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60" windowWidth="20490" windowHeight="10860" firstSheet="4" activeTab="4"/>
  </bookViews>
  <sheets>
    <sheet name=" Gab Awal" sheetId="15" state="hidden" r:id="rId1"/>
    <sheet name="Gab Kor" sheetId="24" state="hidden" r:id="rId2"/>
    <sheet name="Bds" sheetId="11" state="hidden" r:id="rId3"/>
    <sheet name="Btn Kor" sheetId="20" state="hidden" r:id="rId4"/>
    <sheet name="Bgr" sheetId="10" r:id="rId5"/>
    <sheet name="Btn" sheetId="3" state="hidden" r:id="rId6"/>
    <sheet name="Cjr" sheetId="4" state="hidden" r:id="rId7"/>
    <sheet name="Smd" sheetId="8" state="hidden" r:id="rId8"/>
    <sheet name=" Bdu awal" sheetId="13" state="hidden" r:id="rId9"/>
    <sheet name="Bdu 1" sheetId="19" state="hidden" r:id="rId10"/>
    <sheet name="Sheet1" sheetId="25" r:id="rId11"/>
  </sheets>
  <externalReferences>
    <externalReference r:id="rId12"/>
  </externalReferenc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7" i="10" l="1"/>
  <c r="W37" i="10" s="1"/>
  <c r="AH27" i="10" l="1"/>
  <c r="AH20" i="10"/>
  <c r="AG37" i="10"/>
  <c r="AH37" i="10" s="1"/>
  <c r="AG36" i="10"/>
  <c r="AH36" i="10" s="1"/>
  <c r="AG35" i="10"/>
  <c r="AH35" i="10" s="1"/>
  <c r="AG34" i="10"/>
  <c r="AH34" i="10" s="1"/>
  <c r="AG33" i="10"/>
  <c r="AH33" i="10" s="1"/>
  <c r="AG32" i="10"/>
  <c r="AH32" i="10" s="1"/>
  <c r="AG31" i="10"/>
  <c r="AH31" i="10" s="1"/>
  <c r="AG30" i="10"/>
  <c r="AH30" i="10" s="1"/>
  <c r="AG29" i="10"/>
  <c r="AH29" i="10" s="1"/>
  <c r="AG28" i="10"/>
  <c r="AH28" i="10" s="1"/>
  <c r="AG27" i="10"/>
  <c r="AG26" i="10"/>
  <c r="AH26" i="10" s="1"/>
  <c r="AG25" i="10"/>
  <c r="AH25" i="10" s="1"/>
  <c r="AG24" i="10"/>
  <c r="AH24" i="10" s="1"/>
  <c r="AG23" i="10"/>
  <c r="AH23" i="10" s="1"/>
  <c r="AG22" i="10"/>
  <c r="AH22" i="10" s="1"/>
  <c r="AG21" i="10"/>
  <c r="AH21" i="10" s="1"/>
  <c r="AG20" i="10"/>
  <c r="AG19" i="10"/>
  <c r="AH19" i="10" s="1"/>
  <c r="AG18" i="10"/>
  <c r="AH18" i="10" s="1"/>
  <c r="AG17" i="10"/>
  <c r="AH17" i="10" s="1"/>
  <c r="AG16" i="10"/>
  <c r="AH16" i="10" s="1"/>
  <c r="AG15" i="10"/>
  <c r="AH15" i="10" s="1"/>
  <c r="AG14" i="10"/>
  <c r="AH14" i="10" s="1"/>
  <c r="AG13" i="10"/>
  <c r="AH13" i="10" s="1"/>
  <c r="AG12" i="10"/>
  <c r="AH12" i="10" s="1"/>
  <c r="AG11" i="10"/>
  <c r="AH11" i="10" s="1"/>
  <c r="AF38" i="10"/>
  <c r="AE38" i="10"/>
  <c r="AD38" i="10"/>
  <c r="AC38" i="10"/>
  <c r="AB38" i="10"/>
  <c r="AA38" i="10"/>
  <c r="Z38" i="10"/>
  <c r="Y38" i="10"/>
  <c r="X38" i="10"/>
  <c r="AG10" i="10"/>
  <c r="AH10" i="10" s="1"/>
  <c r="AG38" i="10" l="1"/>
  <c r="AH38" i="10"/>
  <c r="AH40" i="10" s="1"/>
  <c r="I9" i="24"/>
  <c r="I10" i="24"/>
  <c r="I11" i="24"/>
  <c r="I12" i="24"/>
  <c r="I13" i="24"/>
  <c r="I14" i="24"/>
  <c r="I23" i="24" l="1"/>
  <c r="I22" i="24"/>
  <c r="I21" i="24"/>
  <c r="I20" i="24"/>
  <c r="I19" i="24"/>
  <c r="I18" i="24"/>
  <c r="I17" i="24"/>
  <c r="I16" i="24"/>
  <c r="I15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L71" i="24"/>
  <c r="I24" i="24" l="1"/>
  <c r="F72" i="24"/>
  <c r="E72" i="24"/>
  <c r="C72" i="24"/>
  <c r="K71" i="24"/>
  <c r="I71" i="24"/>
  <c r="J71" i="24" s="1"/>
  <c r="D71" i="24"/>
  <c r="K70" i="24"/>
  <c r="L70" i="24" s="1"/>
  <c r="I70" i="24"/>
  <c r="J70" i="24" s="1"/>
  <c r="D70" i="24"/>
  <c r="L69" i="24"/>
  <c r="K69" i="24"/>
  <c r="D69" i="24"/>
  <c r="I69" i="24" s="1"/>
  <c r="J69" i="24" s="1"/>
  <c r="K68" i="24"/>
  <c r="D68" i="24"/>
  <c r="I68" i="24" s="1"/>
  <c r="J68" i="24" s="1"/>
  <c r="K67" i="24"/>
  <c r="L67" i="24" s="1"/>
  <c r="D67" i="24"/>
  <c r="I67" i="24" s="1"/>
  <c r="J67" i="24" s="1"/>
  <c r="K66" i="24"/>
  <c r="D66" i="24"/>
  <c r="I66" i="24" s="1"/>
  <c r="J66" i="24" s="1"/>
  <c r="L65" i="24"/>
  <c r="K65" i="24"/>
  <c r="D65" i="24"/>
  <c r="I65" i="24" s="1"/>
  <c r="J65" i="24" s="1"/>
  <c r="K64" i="24"/>
  <c r="L64" i="24" s="1"/>
  <c r="D64" i="24"/>
  <c r="I64" i="24" s="1"/>
  <c r="J64" i="24" s="1"/>
  <c r="K63" i="24"/>
  <c r="D63" i="24"/>
  <c r="I63" i="24" s="1"/>
  <c r="J63" i="24" s="1"/>
  <c r="L62" i="24"/>
  <c r="D62" i="24"/>
  <c r="I62" i="24" s="1"/>
  <c r="J62" i="24" s="1"/>
  <c r="L61" i="24"/>
  <c r="K61" i="24"/>
  <c r="D61" i="24"/>
  <c r="I61" i="24" s="1"/>
  <c r="J61" i="24" s="1"/>
  <c r="L60" i="24"/>
  <c r="K60" i="24"/>
  <c r="D60" i="24"/>
  <c r="I60" i="24" s="1"/>
  <c r="J60" i="24" s="1"/>
  <c r="K59" i="24"/>
  <c r="L59" i="24" s="1"/>
  <c r="I59" i="24"/>
  <c r="J59" i="24" s="1"/>
  <c r="D59" i="24"/>
  <c r="D58" i="24"/>
  <c r="I58" i="24" s="1"/>
  <c r="J58" i="24" s="1"/>
  <c r="K57" i="24"/>
  <c r="L57" i="24" s="1"/>
  <c r="D57" i="24"/>
  <c r="I57" i="24" s="1"/>
  <c r="F44" i="24"/>
  <c r="E44" i="24"/>
  <c r="D44" i="24"/>
  <c r="C44" i="24"/>
  <c r="J23" i="24"/>
  <c r="F23" i="24"/>
  <c r="F22" i="24"/>
  <c r="J22" i="24"/>
  <c r="J21" i="24"/>
  <c r="F21" i="24"/>
  <c r="F20" i="24"/>
  <c r="J20" i="24"/>
  <c r="J19" i="24"/>
  <c r="F19" i="24"/>
  <c r="F18" i="24"/>
  <c r="J18" i="24"/>
  <c r="J17" i="24"/>
  <c r="F17" i="24"/>
  <c r="F16" i="24"/>
  <c r="J16" i="24"/>
  <c r="J15" i="24"/>
  <c r="F15" i="24"/>
  <c r="F14" i="24"/>
  <c r="J14" i="24"/>
  <c r="J13" i="24"/>
  <c r="F13" i="24"/>
  <c r="F12" i="24"/>
  <c r="J12" i="24"/>
  <c r="J11" i="24"/>
  <c r="F11" i="24"/>
  <c r="B11" i="24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F10" i="24"/>
  <c r="J10" i="24"/>
  <c r="F9" i="24"/>
  <c r="E24" i="24"/>
  <c r="D24" i="24"/>
  <c r="F24" i="24" l="1"/>
  <c r="L72" i="24"/>
  <c r="L73" i="24" s="1"/>
  <c r="L74" i="24" s="1"/>
  <c r="K72" i="24"/>
  <c r="J24" i="24"/>
  <c r="I72" i="24"/>
  <c r="D72" i="24"/>
  <c r="I74" i="24" s="1"/>
  <c r="J9" i="24"/>
  <c r="J57" i="24"/>
  <c r="J72" i="24" s="1"/>
  <c r="T26" i="4" l="1"/>
  <c r="V26" i="4" s="1"/>
  <c r="S26" i="4"/>
  <c r="AC26" i="4" s="1"/>
  <c r="T38" i="20" l="1"/>
  <c r="R38" i="20"/>
  <c r="S30" i="20"/>
  <c r="U30" i="20" s="1"/>
  <c r="S29" i="20"/>
  <c r="U29" i="20" s="1"/>
  <c r="S28" i="20"/>
  <c r="U28" i="20" s="1"/>
  <c r="S27" i="20"/>
  <c r="U27" i="20" s="1"/>
  <c r="S26" i="20"/>
  <c r="U26" i="20" s="1"/>
  <c r="R25" i="20"/>
  <c r="S25" i="20" s="1"/>
  <c r="U25" i="20" s="1"/>
  <c r="S24" i="20"/>
  <c r="U24" i="20" s="1"/>
  <c r="U23" i="20"/>
  <c r="S23" i="20"/>
  <c r="S22" i="20"/>
  <c r="U22" i="20" s="1"/>
  <c r="S21" i="20"/>
  <c r="U21" i="20" s="1"/>
  <c r="A21" i="20"/>
  <c r="A22" i="20" s="1"/>
  <c r="A23" i="20" s="1"/>
  <c r="A24" i="20" s="1"/>
  <c r="A25" i="20" s="1"/>
  <c r="A26" i="20" s="1"/>
  <c r="A27" i="20" s="1"/>
  <c r="S20" i="20"/>
  <c r="U20" i="20" s="1"/>
  <c r="A20" i="20"/>
  <c r="U19" i="20"/>
  <c r="S19" i="20"/>
  <c r="S18" i="20"/>
  <c r="U18" i="20" s="1"/>
  <c r="U17" i="20"/>
  <c r="S17" i="20"/>
  <c r="S16" i="20"/>
  <c r="U16" i="20" s="1"/>
  <c r="U15" i="20"/>
  <c r="S15" i="20"/>
  <c r="S14" i="20"/>
  <c r="U14" i="20" s="1"/>
  <c r="U13" i="20"/>
  <c r="S13" i="20"/>
  <c r="S12" i="20"/>
  <c r="U12" i="20" s="1"/>
  <c r="U11" i="20"/>
  <c r="S11" i="20"/>
  <c r="S10" i="20"/>
  <c r="U10" i="20" s="1"/>
  <c r="U38" i="20" l="1"/>
  <c r="S38" i="20"/>
  <c r="T38" i="10" l="1"/>
  <c r="H23" i="15"/>
  <c r="H28" i="15" s="1"/>
  <c r="U40" i="19" l="1"/>
  <c r="S40" i="19"/>
  <c r="R40" i="19"/>
  <c r="U39" i="19"/>
  <c r="S39" i="19"/>
  <c r="S38" i="19"/>
  <c r="U38" i="19" s="1"/>
  <c r="R38" i="19"/>
  <c r="S37" i="19"/>
  <c r="U37" i="19" s="1"/>
  <c r="S36" i="19"/>
  <c r="U36" i="19" s="1"/>
  <c r="U35" i="19"/>
  <c r="S35" i="19"/>
  <c r="U34" i="19"/>
  <c r="S34" i="19"/>
  <c r="S33" i="19"/>
  <c r="U33" i="19" s="1"/>
  <c r="S32" i="19"/>
  <c r="U32" i="19" s="1"/>
  <c r="U31" i="19"/>
  <c r="S31" i="19"/>
  <c r="U30" i="19"/>
  <c r="S30" i="19"/>
  <c r="S29" i="19"/>
  <c r="U29" i="19" s="1"/>
  <c r="S28" i="19"/>
  <c r="U28" i="19" s="1"/>
  <c r="U27" i="19"/>
  <c r="S27" i="19"/>
  <c r="U26" i="19"/>
  <c r="S26" i="19"/>
  <c r="S25" i="19"/>
  <c r="U25" i="19" s="1"/>
  <c r="S24" i="19"/>
  <c r="U24" i="19" s="1"/>
  <c r="U23" i="19"/>
  <c r="S23" i="19"/>
  <c r="U22" i="19"/>
  <c r="S22" i="19"/>
  <c r="S21" i="19"/>
  <c r="U21" i="19" s="1"/>
  <c r="S20" i="19"/>
  <c r="U20" i="19" s="1"/>
  <c r="U19" i="19"/>
  <c r="S19" i="19"/>
  <c r="U18" i="19"/>
  <c r="S18" i="19"/>
  <c r="S17" i="19"/>
  <c r="U17" i="19" s="1"/>
  <c r="S16" i="19"/>
  <c r="U16" i="19" s="1"/>
  <c r="U15" i="19"/>
  <c r="S15" i="19"/>
  <c r="U14" i="19"/>
  <c r="S14" i="19"/>
  <c r="S13" i="19"/>
  <c r="U13" i="19" s="1"/>
  <c r="S12" i="19"/>
  <c r="U12" i="19" s="1"/>
  <c r="A12" i="19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U11" i="19"/>
  <c r="S11" i="19"/>
  <c r="A11" i="19"/>
  <c r="U10" i="19"/>
  <c r="S10" i="19"/>
  <c r="A10" i="19"/>
  <c r="S9" i="19"/>
  <c r="U9" i="19" s="1"/>
  <c r="U8" i="19"/>
  <c r="S8" i="19"/>
  <c r="K22" i="15" l="1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J23" i="15" l="1"/>
  <c r="K23" i="15" s="1"/>
  <c r="G23" i="15" l="1"/>
  <c r="I23" i="15" s="1"/>
  <c r="F23" i="15"/>
  <c r="E23" i="15"/>
  <c r="D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I8" i="15"/>
  <c r="R52" i="13" l="1"/>
  <c r="S52" i="13" s="1"/>
  <c r="R51" i="13"/>
  <c r="S51" i="13" l="1"/>
  <c r="S50" i="13"/>
  <c r="S47" i="13"/>
  <c r="S46" i="13"/>
  <c r="S45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U38" i="13"/>
  <c r="R50" i="13"/>
  <c r="R49" i="13"/>
  <c r="S49" i="13" s="1"/>
  <c r="R48" i="13"/>
  <c r="S48" i="13" s="1"/>
  <c r="R47" i="13"/>
  <c r="R46" i="13"/>
  <c r="R45" i="13"/>
  <c r="R44" i="13"/>
  <c r="S44" i="13" s="1"/>
  <c r="R43" i="13"/>
  <c r="S43" i="13" s="1"/>
  <c r="R42" i="13"/>
  <c r="S42" i="13" s="1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X98" i="11" l="1"/>
  <c r="V98" i="11"/>
  <c r="U95" i="11"/>
  <c r="W95" i="11" s="1"/>
  <c r="W94" i="11"/>
  <c r="U94" i="11"/>
  <c r="U93" i="11"/>
  <c r="T92" i="11"/>
  <c r="T98" i="11" s="1"/>
  <c r="U91" i="11"/>
  <c r="W91" i="11" s="1"/>
  <c r="W90" i="11"/>
  <c r="U90" i="11"/>
  <c r="W89" i="11"/>
  <c r="U89" i="11"/>
  <c r="U88" i="11"/>
  <c r="W88" i="11" s="1"/>
  <c r="U87" i="11"/>
  <c r="W87" i="11" s="1"/>
  <c r="W86" i="11"/>
  <c r="U86" i="11"/>
  <c r="W85" i="11"/>
  <c r="U85" i="11"/>
  <c r="U84" i="11"/>
  <c r="W84" i="11" s="1"/>
  <c r="U83" i="11"/>
  <c r="W83" i="11" s="1"/>
  <c r="W82" i="11"/>
  <c r="U82" i="11"/>
  <c r="W81" i="11"/>
  <c r="U81" i="11"/>
  <c r="U80" i="11"/>
  <c r="W80" i="11" s="1"/>
  <c r="U79" i="11"/>
  <c r="W79" i="11" s="1"/>
  <c r="W78" i="11"/>
  <c r="U78" i="11"/>
  <c r="W77" i="11"/>
  <c r="U77" i="11"/>
  <c r="U76" i="11"/>
  <c r="W76" i="11" s="1"/>
  <c r="U75" i="11"/>
  <c r="W75" i="11" s="1"/>
  <c r="W74" i="11"/>
  <c r="U74" i="11"/>
  <c r="W73" i="11"/>
  <c r="U73" i="11"/>
  <c r="U72" i="11"/>
  <c r="W72" i="11" s="1"/>
  <c r="U71" i="11"/>
  <c r="W71" i="11" s="1"/>
  <c r="W70" i="11"/>
  <c r="U70" i="11"/>
  <c r="W69" i="11"/>
  <c r="U69" i="11"/>
  <c r="U68" i="11"/>
  <c r="W68" i="11" s="1"/>
  <c r="U67" i="11"/>
  <c r="W67" i="11" s="1"/>
  <c r="W66" i="11"/>
  <c r="U66" i="11"/>
  <c r="W65" i="11"/>
  <c r="U65" i="11"/>
  <c r="U64" i="11"/>
  <c r="W64" i="11" s="1"/>
  <c r="U63" i="11"/>
  <c r="W63" i="11" s="1"/>
  <c r="W62" i="11"/>
  <c r="U62" i="11"/>
  <c r="W61" i="11"/>
  <c r="U61" i="11"/>
  <c r="U60" i="11"/>
  <c r="W60" i="11" s="1"/>
  <c r="U59" i="11"/>
  <c r="W59" i="11" s="1"/>
  <c r="W58" i="11"/>
  <c r="U58" i="11"/>
  <c r="W57" i="11"/>
  <c r="U57" i="11"/>
  <c r="U56" i="11"/>
  <c r="W56" i="11" s="1"/>
  <c r="U55" i="11"/>
  <c r="W55" i="11" s="1"/>
  <c r="W54" i="11"/>
  <c r="U54" i="11"/>
  <c r="W53" i="11"/>
  <c r="U53" i="11"/>
  <c r="U52" i="11"/>
  <c r="W52" i="11" s="1"/>
  <c r="U51" i="11"/>
  <c r="W51" i="11" s="1"/>
  <c r="W50" i="11"/>
  <c r="U50" i="11"/>
  <c r="W49" i="11"/>
  <c r="U49" i="11"/>
  <c r="U48" i="11"/>
  <c r="W48" i="11" s="1"/>
  <c r="U47" i="11"/>
  <c r="W47" i="11" s="1"/>
  <c r="W46" i="11"/>
  <c r="U46" i="11"/>
  <c r="W45" i="11"/>
  <c r="U45" i="11"/>
  <c r="U44" i="11"/>
  <c r="W44" i="11" s="1"/>
  <c r="U43" i="11"/>
  <c r="W43" i="11" s="1"/>
  <c r="W42" i="11"/>
  <c r="U42" i="11"/>
  <c r="W41" i="11"/>
  <c r="U41" i="11"/>
  <c r="U40" i="11"/>
  <c r="W40" i="11" s="1"/>
  <c r="U39" i="11"/>
  <c r="W39" i="11" s="1"/>
  <c r="W38" i="11"/>
  <c r="U38" i="11"/>
  <c r="W37" i="11"/>
  <c r="U37" i="11"/>
  <c r="U36" i="11"/>
  <c r="W36" i="11" s="1"/>
  <c r="U35" i="11"/>
  <c r="W35" i="11" s="1"/>
  <c r="W34" i="11"/>
  <c r="U34" i="11"/>
  <c r="W33" i="11"/>
  <c r="U33" i="11"/>
  <c r="U32" i="11"/>
  <c r="W32" i="11" s="1"/>
  <c r="U31" i="11"/>
  <c r="W31" i="11" s="1"/>
  <c r="W30" i="11"/>
  <c r="U30" i="11"/>
  <c r="W29" i="11"/>
  <c r="U29" i="11"/>
  <c r="U28" i="11"/>
  <c r="W28" i="11" s="1"/>
  <c r="U27" i="11"/>
  <c r="W27" i="11" s="1"/>
  <c r="W26" i="11"/>
  <c r="U26" i="11"/>
  <c r="W25" i="11"/>
  <c r="U25" i="11"/>
  <c r="U24" i="11"/>
  <c r="W24" i="11" s="1"/>
  <c r="U23" i="11"/>
  <c r="W23" i="11" s="1"/>
  <c r="W22" i="11"/>
  <c r="U22" i="11"/>
  <c r="W21" i="11"/>
  <c r="U21" i="11"/>
  <c r="U20" i="11"/>
  <c r="W20" i="11" s="1"/>
  <c r="U19" i="11"/>
  <c r="W19" i="11" s="1"/>
  <c r="W18" i="11"/>
  <c r="U18" i="11"/>
  <c r="W17" i="11"/>
  <c r="U17" i="11"/>
  <c r="U16" i="11"/>
  <c r="W16" i="11" s="1"/>
  <c r="U15" i="11"/>
  <c r="W15" i="11" s="1"/>
  <c r="W14" i="11"/>
  <c r="U14" i="11"/>
  <c r="W13" i="11"/>
  <c r="U13" i="11"/>
  <c r="U12" i="11"/>
  <c r="W12" i="11" s="1"/>
  <c r="U11" i="11"/>
  <c r="W1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W10" i="11"/>
  <c r="U10" i="11"/>
  <c r="A10" i="11"/>
  <c r="W9" i="11"/>
  <c r="U9" i="11"/>
  <c r="W98" i="11" l="1"/>
  <c r="U92" i="11"/>
  <c r="W92" i="11"/>
  <c r="U98" i="11"/>
  <c r="V38" i="10" l="1"/>
  <c r="U36" i="10"/>
  <c r="W36" i="10" s="1"/>
  <c r="U35" i="10"/>
  <c r="W35" i="10" s="1"/>
  <c r="U34" i="10"/>
  <c r="W34" i="10" s="1"/>
  <c r="U33" i="10"/>
  <c r="W33" i="10" s="1"/>
  <c r="U32" i="10"/>
  <c r="W32" i="10" s="1"/>
  <c r="U31" i="10"/>
  <c r="W31" i="10" s="1"/>
  <c r="U30" i="10"/>
  <c r="W30" i="10" s="1"/>
  <c r="U29" i="10"/>
  <c r="W29" i="10" s="1"/>
  <c r="U28" i="10"/>
  <c r="W28" i="10" s="1"/>
  <c r="U27" i="10"/>
  <c r="W27" i="10" s="1"/>
  <c r="U26" i="10"/>
  <c r="W26" i="10" s="1"/>
  <c r="U25" i="10"/>
  <c r="W25" i="10" s="1"/>
  <c r="U24" i="10"/>
  <c r="W24" i="10" s="1"/>
  <c r="U23" i="10"/>
  <c r="W23" i="10" s="1"/>
  <c r="U22" i="10"/>
  <c r="W22" i="10" s="1"/>
  <c r="U21" i="10"/>
  <c r="W21" i="10" s="1"/>
  <c r="U20" i="10"/>
  <c r="W20" i="10" s="1"/>
  <c r="U19" i="10"/>
  <c r="W19" i="10" s="1"/>
  <c r="U18" i="10"/>
  <c r="W18" i="10" s="1"/>
  <c r="U17" i="10"/>
  <c r="W17" i="10" s="1"/>
  <c r="U16" i="10"/>
  <c r="W16" i="10" s="1"/>
  <c r="U15" i="10"/>
  <c r="W15" i="10" s="1"/>
  <c r="U14" i="10"/>
  <c r="W14" i="10" s="1"/>
  <c r="U13" i="10"/>
  <c r="W13" i="10" s="1"/>
  <c r="U12" i="10"/>
  <c r="W12" i="10" s="1"/>
  <c r="U11" i="10"/>
  <c r="U10" i="10"/>
  <c r="W10" i="10" s="1"/>
  <c r="U38" i="10" l="1"/>
  <c r="W11" i="10"/>
  <c r="W38" i="10" s="1"/>
  <c r="V51" i="8" l="1"/>
  <c r="Y50" i="8"/>
  <c r="X50" i="8"/>
  <c r="W50" i="8"/>
  <c r="T50" i="8"/>
  <c r="R50" i="8"/>
  <c r="AA49" i="8"/>
  <c r="Z49" i="8"/>
  <c r="U49" i="8"/>
  <c r="S49" i="8"/>
  <c r="AA48" i="8"/>
  <c r="Z48" i="8"/>
  <c r="S48" i="8"/>
  <c r="U48" i="8" s="1"/>
  <c r="AA47" i="8"/>
  <c r="Z47" i="8"/>
  <c r="U47" i="8"/>
  <c r="S47" i="8"/>
  <c r="Z46" i="8"/>
  <c r="AA46" i="8" s="1"/>
  <c r="U46" i="8"/>
  <c r="S46" i="8"/>
  <c r="AA45" i="8"/>
  <c r="Z45" i="8"/>
  <c r="U45" i="8"/>
  <c r="S45" i="8"/>
  <c r="AA44" i="8"/>
  <c r="Z44" i="8"/>
  <c r="S44" i="8"/>
  <c r="U44" i="8" s="1"/>
  <c r="AA43" i="8"/>
  <c r="Z43" i="8"/>
  <c r="U43" i="8"/>
  <c r="S43" i="8"/>
  <c r="Z42" i="8"/>
  <c r="AA42" i="8" s="1"/>
  <c r="U42" i="8"/>
  <c r="S42" i="8"/>
  <c r="AA41" i="8"/>
  <c r="Z41" i="8"/>
  <c r="U41" i="8"/>
  <c r="S41" i="8"/>
  <c r="AA40" i="8"/>
  <c r="Z40" i="8"/>
  <c r="S40" i="8"/>
  <c r="U40" i="8" s="1"/>
  <c r="AA39" i="8"/>
  <c r="Z39" i="8"/>
  <c r="U39" i="8"/>
  <c r="S39" i="8"/>
  <c r="Z38" i="8"/>
  <c r="AA38" i="8" s="1"/>
  <c r="U38" i="8"/>
  <c r="S38" i="8"/>
  <c r="AA37" i="8"/>
  <c r="Z37" i="8"/>
  <c r="U37" i="8"/>
  <c r="S37" i="8"/>
  <c r="AA36" i="8"/>
  <c r="Z36" i="8"/>
  <c r="S36" i="8"/>
  <c r="U36" i="8" s="1"/>
  <c r="AA35" i="8"/>
  <c r="Z35" i="8"/>
  <c r="U35" i="8"/>
  <c r="S35" i="8"/>
  <c r="Z34" i="8"/>
  <c r="AA34" i="8" s="1"/>
  <c r="U34" i="8"/>
  <c r="S34" i="8"/>
  <c r="AA33" i="8"/>
  <c r="Z33" i="8"/>
  <c r="U33" i="8"/>
  <c r="S33" i="8"/>
  <c r="D33" i="8"/>
  <c r="AA32" i="8"/>
  <c r="Z32" i="8"/>
  <c r="U32" i="8"/>
  <c r="S32" i="8"/>
  <c r="D32" i="8"/>
  <c r="AA31" i="8"/>
  <c r="Z31" i="8"/>
  <c r="U31" i="8"/>
  <c r="S31" i="8"/>
  <c r="D31" i="8"/>
  <c r="AA30" i="8"/>
  <c r="Z30" i="8"/>
  <c r="U30" i="8"/>
  <c r="S30" i="8"/>
  <c r="D30" i="8"/>
  <c r="AA29" i="8"/>
  <c r="Z29" i="8"/>
  <c r="U29" i="8"/>
  <c r="S29" i="8"/>
  <c r="D29" i="8"/>
  <c r="AA28" i="8"/>
  <c r="Z28" i="8"/>
  <c r="U28" i="8"/>
  <c r="S28" i="8"/>
  <c r="D28" i="8"/>
  <c r="AA27" i="8"/>
  <c r="Z27" i="8"/>
  <c r="U27" i="8"/>
  <c r="S27" i="8"/>
  <c r="D27" i="8"/>
  <c r="AA26" i="8"/>
  <c r="Z26" i="8"/>
  <c r="U26" i="8"/>
  <c r="S26" i="8"/>
  <c r="D26" i="8"/>
  <c r="AA25" i="8"/>
  <c r="Z25" i="8"/>
  <c r="U25" i="8"/>
  <c r="S25" i="8"/>
  <c r="D25" i="8"/>
  <c r="AA24" i="8"/>
  <c r="Z24" i="8"/>
  <c r="U24" i="8"/>
  <c r="S24" i="8"/>
  <c r="D24" i="8"/>
  <c r="AA23" i="8"/>
  <c r="Z23" i="8"/>
  <c r="S23" i="8"/>
  <c r="AA22" i="8"/>
  <c r="Z22" i="8"/>
  <c r="U22" i="8"/>
  <c r="S22" i="8"/>
  <c r="AA21" i="8"/>
  <c r="Z21" i="8"/>
  <c r="S21" i="8"/>
  <c r="U21" i="8" s="1"/>
  <c r="O21" i="8"/>
  <c r="D21" i="8"/>
  <c r="AA20" i="8"/>
  <c r="Z20" i="8"/>
  <c r="U20" i="8"/>
  <c r="S20" i="8"/>
  <c r="AA19" i="8"/>
  <c r="Z19" i="8"/>
  <c r="S19" i="8"/>
  <c r="U19" i="8" s="1"/>
  <c r="AA18" i="8"/>
  <c r="Z18" i="8"/>
  <c r="U18" i="8"/>
  <c r="S18" i="8"/>
  <c r="Z17" i="8"/>
  <c r="AA17" i="8" s="1"/>
  <c r="U17" i="8"/>
  <c r="S17" i="8"/>
  <c r="AA16" i="8"/>
  <c r="Z16" i="8"/>
  <c r="U16" i="8"/>
  <c r="S16" i="8"/>
  <c r="AA15" i="8"/>
  <c r="Z15" i="8"/>
  <c r="S15" i="8"/>
  <c r="U15" i="8" s="1"/>
  <c r="AA14" i="8"/>
  <c r="Z14" i="8"/>
  <c r="U14" i="8"/>
  <c r="S14" i="8"/>
  <c r="AF13" i="8"/>
  <c r="AG13" i="8" s="1"/>
  <c r="AA13" i="8"/>
  <c r="Z13" i="8"/>
  <c r="V13" i="8"/>
  <c r="U13" i="8"/>
  <c r="S13" i="8"/>
  <c r="Z12" i="8"/>
  <c r="AA12" i="8" s="1"/>
  <c r="U12" i="8"/>
  <c r="S12" i="8"/>
  <c r="AA11" i="8"/>
  <c r="Z11" i="8"/>
  <c r="U11" i="8"/>
  <c r="S11" i="8"/>
  <c r="S50" i="8" s="1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A10" i="8"/>
  <c r="AA50" i="8" s="1"/>
  <c r="Z10" i="8"/>
  <c r="Z50" i="8" s="1"/>
  <c r="V10" i="8"/>
  <c r="V50" i="8" s="1"/>
  <c r="U10" i="8"/>
  <c r="U50" i="8" s="1"/>
  <c r="AB32" i="4" l="1"/>
  <c r="AA32" i="4"/>
  <c r="Z32" i="4"/>
  <c r="Y32" i="4"/>
  <c r="X32" i="4"/>
  <c r="W32" i="4"/>
  <c r="U32" i="4"/>
  <c r="R32" i="4"/>
  <c r="T31" i="4"/>
  <c r="V31" i="4" s="1"/>
  <c r="S31" i="4"/>
  <c r="AC31" i="4" s="1"/>
  <c r="T30" i="4"/>
  <c r="V30" i="4" s="1"/>
  <c r="S30" i="4"/>
  <c r="AC30" i="4" s="1"/>
  <c r="T29" i="4"/>
  <c r="T32" i="4" s="1"/>
  <c r="S29" i="4"/>
  <c r="AC29" i="4" s="1"/>
  <c r="AC32" i="4" s="1"/>
  <c r="AB27" i="4"/>
  <c r="AB33" i="4" s="1"/>
  <c r="AA27" i="4"/>
  <c r="AA33" i="4" s="1"/>
  <c r="Z27" i="4"/>
  <c r="Z33" i="4" s="1"/>
  <c r="Y27" i="4"/>
  <c r="Y33" i="4" s="1"/>
  <c r="X27" i="4"/>
  <c r="X33" i="4" s="1"/>
  <c r="W27" i="4"/>
  <c r="W33" i="4" s="1"/>
  <c r="U27" i="4"/>
  <c r="U33" i="4" s="1"/>
  <c r="R27" i="4"/>
  <c r="R33" i="4" s="1"/>
  <c r="T25" i="4"/>
  <c r="V25" i="4" s="1"/>
  <c r="S25" i="4"/>
  <c r="AC25" i="4" s="1"/>
  <c r="T24" i="4"/>
  <c r="V24" i="4" s="1"/>
  <c r="S24" i="4"/>
  <c r="AC24" i="4" s="1"/>
  <c r="T23" i="4"/>
  <c r="V23" i="4" s="1"/>
  <c r="S23" i="4"/>
  <c r="AC23" i="4" s="1"/>
  <c r="T22" i="4"/>
  <c r="V22" i="4" s="1"/>
  <c r="S22" i="4"/>
  <c r="AC22" i="4" s="1"/>
  <c r="T21" i="4"/>
  <c r="V21" i="4" s="1"/>
  <c r="S21" i="4"/>
  <c r="AC21" i="4" s="1"/>
  <c r="T20" i="4"/>
  <c r="V20" i="4" s="1"/>
  <c r="S20" i="4"/>
  <c r="AC20" i="4" s="1"/>
  <c r="T19" i="4"/>
  <c r="V19" i="4" s="1"/>
  <c r="S19" i="4"/>
  <c r="AC19" i="4" s="1"/>
  <c r="T18" i="4"/>
  <c r="V18" i="4" s="1"/>
  <c r="S18" i="4"/>
  <c r="AC18" i="4" s="1"/>
  <c r="T17" i="4"/>
  <c r="V17" i="4" s="1"/>
  <c r="S17" i="4"/>
  <c r="AC17" i="4" s="1"/>
  <c r="T16" i="4"/>
  <c r="V16" i="4" s="1"/>
  <c r="S16" i="4"/>
  <c r="AC16" i="4" s="1"/>
  <c r="T15" i="4"/>
  <c r="V15" i="4" s="1"/>
  <c r="S15" i="4"/>
  <c r="AC15" i="4" s="1"/>
  <c r="T14" i="4"/>
  <c r="V14" i="4" s="1"/>
  <c r="S14" i="4"/>
  <c r="AC14" i="4" s="1"/>
  <c r="T13" i="4"/>
  <c r="V13" i="4" s="1"/>
  <c r="S13" i="4"/>
  <c r="AC13" i="4" s="1"/>
  <c r="T12" i="4"/>
  <c r="V12" i="4" s="1"/>
  <c r="S12" i="4"/>
  <c r="AC12" i="4" s="1"/>
  <c r="T11" i="4"/>
  <c r="V11" i="4" s="1"/>
  <c r="S11" i="4"/>
  <c r="AC11" i="4" s="1"/>
  <c r="T10" i="4"/>
  <c r="V10" i="4" s="1"/>
  <c r="S10" i="4"/>
  <c r="AC10" i="4" s="1"/>
  <c r="T9" i="4"/>
  <c r="V9" i="4" s="1"/>
  <c r="S9" i="4"/>
  <c r="AC9" i="4" s="1"/>
  <c r="T8" i="4"/>
  <c r="T27" i="4" s="1"/>
  <c r="T33" i="4" s="1"/>
  <c r="S8" i="4"/>
  <c r="AC8" i="4" s="1"/>
  <c r="AC27" i="4" s="1"/>
  <c r="AC33" i="4" l="1"/>
  <c r="S27" i="4"/>
  <c r="V8" i="4"/>
  <c r="V27" i="4" s="1"/>
  <c r="V29" i="4"/>
  <c r="V32" i="4" s="1"/>
  <c r="S32" i="4"/>
  <c r="S33" i="4" l="1"/>
  <c r="V33" i="4"/>
  <c r="T38" i="3" l="1"/>
  <c r="S27" i="3"/>
  <c r="U27" i="3" s="1"/>
  <c r="S26" i="3"/>
  <c r="U26" i="3" s="1"/>
  <c r="R25" i="3"/>
  <c r="R38" i="3" s="1"/>
  <c r="S24" i="3"/>
  <c r="U24" i="3" s="1"/>
  <c r="U23" i="3"/>
  <c r="S23" i="3"/>
  <c r="S22" i="3"/>
  <c r="U22" i="3" s="1"/>
  <c r="S21" i="3"/>
  <c r="U21" i="3" s="1"/>
  <c r="A21" i="3"/>
  <c r="A22" i="3" s="1"/>
  <c r="A23" i="3" s="1"/>
  <c r="A24" i="3" s="1"/>
  <c r="A25" i="3" s="1"/>
  <c r="A26" i="3" s="1"/>
  <c r="A27" i="3" s="1"/>
  <c r="S20" i="3"/>
  <c r="U20" i="3" s="1"/>
  <c r="A20" i="3"/>
  <c r="U19" i="3"/>
  <c r="S19" i="3"/>
  <c r="S18" i="3"/>
  <c r="U18" i="3" s="1"/>
  <c r="U17" i="3"/>
  <c r="S17" i="3"/>
  <c r="S16" i="3"/>
  <c r="U16" i="3" s="1"/>
  <c r="U15" i="3"/>
  <c r="S15" i="3"/>
  <c r="S14" i="3"/>
  <c r="U14" i="3" s="1"/>
  <c r="U13" i="3"/>
  <c r="S13" i="3"/>
  <c r="S12" i="3"/>
  <c r="U12" i="3" s="1"/>
  <c r="U11" i="3"/>
  <c r="S11" i="3"/>
  <c r="S10" i="3"/>
  <c r="U10" i="3" l="1"/>
  <c r="U38" i="3" s="1"/>
  <c r="S25" i="3"/>
  <c r="U25" i="3" s="1"/>
  <c r="S38" i="3" l="1"/>
</calcChain>
</file>

<file path=xl/comments1.xml><?xml version="1.0" encoding="utf-8"?>
<comments xmlns="http://schemas.openxmlformats.org/spreadsheetml/2006/main">
  <authors>
    <author>USER</author>
  </authors>
  <commentList>
    <comment ref="I2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26/PKS/SMD/2021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02/09/2021</t>
        </r>
      </text>
    </comment>
  </commentList>
</comments>
</file>

<file path=xl/sharedStrings.xml><?xml version="1.0" encoding="utf-8"?>
<sst xmlns="http://schemas.openxmlformats.org/spreadsheetml/2006/main" count="4566" uniqueCount="1615">
  <si>
    <t>RENCANA PENDAPATAN DAN PERJANJIAN KERJA SAMA OPTIMALISASI ASET TAHUN 2023</t>
  </si>
  <si>
    <t>DIVISI REGIONAL : JAWA BARAT &amp; BANTEN</t>
  </si>
  <si>
    <t>NO</t>
  </si>
  <si>
    <t>SATUAN KERJA</t>
  </si>
  <si>
    <t>OBYEK KERJASAMA</t>
  </si>
  <si>
    <t>PERUNTUKAN KERJASAMA</t>
  </si>
  <si>
    <t>PERJANJIAN</t>
  </si>
  <si>
    <t>NAMA &amp; IDENTITAS MITRA KERJASAMA</t>
  </si>
  <si>
    <t>MASA PERJANJIAN</t>
  </si>
  <si>
    <t>TOTAL NILAI KERJA SAMA (Rp.)</t>
  </si>
  <si>
    <t>KETERANGAN</t>
  </si>
  <si>
    <t>NAMA OBYEK</t>
  </si>
  <si>
    <t>TANAH (M²)</t>
  </si>
  <si>
    <r>
      <t>BANG (M</t>
    </r>
    <r>
      <rPr>
        <sz val="8"/>
        <rFont val="Calibri"/>
        <family val="2"/>
      </rPr>
      <t>²</t>
    </r>
    <r>
      <rPr>
        <sz val="8"/>
        <rFont val="Tahoma"/>
        <family val="2"/>
      </rPr>
      <t>)</t>
    </r>
  </si>
  <si>
    <t>ALAMAT</t>
  </si>
  <si>
    <r>
      <rPr>
        <sz val="7"/>
        <rFont val="Tahoma"/>
        <family val="2"/>
      </rPr>
      <t>SERTIPIKAT</t>
    </r>
    <r>
      <rPr>
        <sz val="8"/>
        <rFont val="Tahoma"/>
        <family val="2"/>
      </rPr>
      <t xml:space="preserve"> (Belum/   Sudah)</t>
    </r>
  </si>
  <si>
    <t>NOMOR</t>
  </si>
  <si>
    <t>TANGGAL</t>
  </si>
  <si>
    <t>SKEMA KERJA SAMA</t>
  </si>
  <si>
    <t>NAMA</t>
  </si>
  <si>
    <t>IDENTITAS</t>
  </si>
  <si>
    <t>MULAI</t>
  </si>
  <si>
    <t>SELESAI</t>
  </si>
  <si>
    <t>STATUS (Baru/ Perpanjangan)</t>
  </si>
  <si>
    <t>NILAI</t>
  </si>
  <si>
    <t>PPN</t>
  </si>
  <si>
    <t>PBB</t>
  </si>
  <si>
    <t>Jumlah (17+18+19)</t>
  </si>
  <si>
    <t>SEWA</t>
  </si>
  <si>
    <t>KTP</t>
  </si>
  <si>
    <t>Perpanjangan</t>
  </si>
  <si>
    <t>Baru</t>
  </si>
  <si>
    <t>Keterangan (Diisi) :</t>
  </si>
  <si>
    <t>Kolom 1 : Nomor urut.</t>
  </si>
  <si>
    <t>Kolom 2 : Nama satuan kerja (KPH...../KBM...../DepRenc/kantor Divre).</t>
  </si>
  <si>
    <t>Kolom 3 : Nama aset tetap (Contoh : Halaman RD KTU, Bangunan/Gudang...., dll).</t>
  </si>
  <si>
    <t>Kolom 4 : Luas kerja sama (Tanah atau/dan bangunan).</t>
  </si>
  <si>
    <t>Kolom 5 : Alamat obyek kerja sama (Jl..............; desa, kecamatan, kota/kabupaten).</t>
  </si>
  <si>
    <t>Kolom 6 : No. Sertipikat bila sudah bersertipikat.</t>
  </si>
  <si>
    <t>Kolom 7 : Jenis/bentuk usahanya (Contoh : warung makan; kios.....; jalan angkutan...dll).</t>
  </si>
  <si>
    <t>Kolom 8 : Nomor Perjanjian Kerja sama/PKS.</t>
  </si>
  <si>
    <t>Kolom 9 : Tanggal PKS.</t>
  </si>
  <si>
    <t>Kolom 10 : Skema : Sewa/BGS/BSG/KSO/KSU/Sharing lainnya.</t>
  </si>
  <si>
    <t>Kolom 11 : Nama Mitra (nama perorangan/nama perusahaan).</t>
  </si>
  <si>
    <t>Kolom 12 : Alamat domisili Mitra.</t>
  </si>
  <si>
    <t>Kolom 13 : Identitas : KTP/KK/SIM/Akte Notaris/dll.</t>
  </si>
  <si>
    <t>Kolom 14 : Tanggal dimulai kerja sama berdasarkan PKS.</t>
  </si>
  <si>
    <t>Kolom 15 : Tanggal berakhirnya kerja sama berdasarkan PKS.</t>
  </si>
  <si>
    <t>Kolom 16 : PKS baru atau perpanjangan.</t>
  </si>
  <si>
    <t>Kolom 17 : Besaran nilai sewa/sharing yang diterima Perhutani (Rp.).</t>
  </si>
  <si>
    <t>Kolom 18 : Besaran nilai Pajak Pertambahan Nilai (PPN) yang ditanggung Mitra (Rp.).</t>
  </si>
  <si>
    <t>Kolom 19 : Besaran nilai Pajak Bumi Bangunan (PBB) yang ditanggung Mitra (Rp).</t>
  </si>
  <si>
    <t>Kolom 20 : Jumlah = kolom 17 + kolom 18 + kolom 19 (Rp.).</t>
  </si>
  <si>
    <t>Kolom 21 : Target pendapatan tahun berjalan (Rp.).</t>
  </si>
  <si>
    <t>Kolom 22 : Jumlah pendapatan Opset sd bulan sebelumnya (Rp.).</t>
  </si>
  <si>
    <t>Kolom 23 : Jumlah pendapatan Opset minggu sebelumnya dalam bulan berjalan (Rp.).</t>
  </si>
  <si>
    <t>Kolom 24 : Jumlah pendapatan Opset pada minggu ini dalam bulan berjalan (Rp.).</t>
  </si>
  <si>
    <t>Kolom 25 : Jumlah = kolom 23 + kolom 24 (Rp.).</t>
  </si>
  <si>
    <t>Kolom 26 : Jumlah = kolom 22 + kolom 25 (Rp.).</t>
  </si>
  <si>
    <t>Kolom 27 : Penjelasan yang perlu disampaikan.</t>
  </si>
  <si>
    <t xml:space="preserve"> </t>
  </si>
  <si>
    <t>TARGET PENDAPATAN (Rp.)</t>
  </si>
  <si>
    <t>REALISASI PENDAPATAN (Rp.)</t>
  </si>
  <si>
    <t>REALISASI S/D BULAN LALU</t>
  </si>
  <si>
    <t>S/D MINGGU LALU</t>
  </si>
  <si>
    <t>DALAM MINGGU INI</t>
  </si>
  <si>
    <t>S/D MINGGU INI</t>
  </si>
  <si>
    <t>REALISASI S/D BULAN INI</t>
  </si>
  <si>
    <t>25 (23+24)</t>
  </si>
  <si>
    <t>26 (22+25)</t>
  </si>
  <si>
    <t>KPH KUNINGAN</t>
  </si>
  <si>
    <t>Sewa</t>
  </si>
  <si>
    <t>Tempat tinggal</t>
  </si>
  <si>
    <t>-</t>
  </si>
  <si>
    <t>perpanjangan</t>
  </si>
  <si>
    <t>DIVISI REGIONAL : JAWA BARAT &amp; Banten</t>
  </si>
  <si>
    <t>KPH/KBM/Kantor Divre : KPH BANTEN</t>
  </si>
  <si>
    <r>
      <t>BANGUNAN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</si>
  <si>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t>SERTIPIKAT (Belum/Sudah)</t>
  </si>
  <si>
    <t>KPH BANTEN</t>
  </si>
  <si>
    <t>Kios No. 01,11 &amp; 12  di Jl. Juhdi Lingk.Kantin Serang</t>
  </si>
  <si>
    <t>Jl. Juhdi Lingk.Kantin Serang</t>
  </si>
  <si>
    <t>Sudah No.7492662 tgl, 2-10-82</t>
  </si>
  <si>
    <t>KIOS HP</t>
  </si>
  <si>
    <t>02/PKS/Kel.Bis-Aset/Btn/Divre-Janten/2021</t>
  </si>
  <si>
    <t xml:space="preserve"> 02 April 2022</t>
  </si>
  <si>
    <t>Cici Susilawati</t>
  </si>
  <si>
    <t>Kp. Longjaha RT/RW : 008/007 Ds Lialang Kec.Tataktakan Kota Serang</t>
  </si>
  <si>
    <t xml:space="preserve"> 01 April  2023</t>
  </si>
  <si>
    <t>PKS dalam proses Perpanjangan</t>
  </si>
  <si>
    <t>Kios No. 02 di Jl. Juhdi Lingk.Kantin Serang</t>
  </si>
  <si>
    <t>03/PKS/Kel.Bis-Aset/Btn/Divre-Janten/2021</t>
  </si>
  <si>
    <t>Hendarsyah</t>
  </si>
  <si>
    <t>Asrama Brimob RT/RW : 002/008 Lontar  Baru Kec dan Kab. Serang</t>
  </si>
  <si>
    <t>Kios No. 03 di Jl. Juhdi Lingk.Kantin Serang</t>
  </si>
  <si>
    <t>04/PKS/Kel.Bis-Aset/Btn/Divre-Janten/2021</t>
  </si>
  <si>
    <t>Replianus S</t>
  </si>
  <si>
    <t>Kp. Masigit Desa Ciomas Kec. Padarincang Kab. Serang</t>
  </si>
  <si>
    <t>Kios No. 04 di Jl. Juhdi Lingk.Kantin Serang</t>
  </si>
  <si>
    <t>05/PKS/Kel.Bis-Aset/Btn/Divre-Janten/2021</t>
  </si>
  <si>
    <t>Ahmad Komarudin</t>
  </si>
  <si>
    <t>Taman Graha Asri Blok D2 No. 3 RT 001 RW : 019 Kec. Serang Kota Serang</t>
  </si>
  <si>
    <t>Kios No. 05 di Jl. Juhdi Lingk.Kantin Serang</t>
  </si>
  <si>
    <t>06/PKS/Kel.Bis-Aset/Btn/Divre-Janten/2021</t>
  </si>
  <si>
    <t>B.Sopyan Muzib</t>
  </si>
  <si>
    <t>Kp. Ranca lutung RT/RW: 004/002 Desa Sindg sari Kec.Pabuaran Kab.Serang</t>
  </si>
  <si>
    <t>Kios No. 06 di Jl. Juhdi Lingk.Kantin Serang</t>
  </si>
  <si>
    <t>07/PKS/Kel.Bis-Aset/Btn/Divre-Janten/2021</t>
  </si>
  <si>
    <t>Sella Silvia</t>
  </si>
  <si>
    <t>Kp. Kelanggaran RT/RW : 001/002 Desa Panggung jati Kec Taktakan Kota Serang</t>
  </si>
  <si>
    <t>Kios No. 07 di Jl. Juhdi Lingk.Kantin Serang</t>
  </si>
  <si>
    <t>08/PKS/Kel.Bis-Aset/Btn/Divre-Janten/2021</t>
  </si>
  <si>
    <t>Ema Julianti</t>
  </si>
  <si>
    <t>Jln. Juhdi  RT/ RW : 003/004  Kota Baru Kota Serang</t>
  </si>
  <si>
    <t>Kios No. 08 &amp; 09 di Jl. Juhdi Lingk.Kantin Serang</t>
  </si>
  <si>
    <t>09/PKS/Kel.Bis-Aset/Btn/Divre-Janten/2021</t>
  </si>
  <si>
    <t>Hj. Mulyati</t>
  </si>
  <si>
    <t>Kp. Ciloang Jaya RT/RW : 004/001 Desa Panggung Jati Kec.Taktakan Kota.Serang</t>
  </si>
  <si>
    <t>Kios No.10 di Jl. Juhdi Lingk.Kantin Serang</t>
  </si>
  <si>
    <t>10/PKS/Kel.Bis-Aset/Btn/Divre-Janten/2021</t>
  </si>
  <si>
    <t>Harlinas Tattya</t>
  </si>
  <si>
    <t>Komplek BAP. 1 Blok F.8 No.22 RT/RW :  008/12 Desa Unyur Kota Serang</t>
  </si>
  <si>
    <t>Tanah Pekarangan Eks RD Ajun Selatan</t>
  </si>
  <si>
    <t>Jl.Alun-Alun Timur Malingping</t>
  </si>
  <si>
    <t>Sudah No.AF 155506 tgl, 5-9-94</t>
  </si>
  <si>
    <t>Loket Pembayaran Listrik</t>
  </si>
  <si>
    <t xml:space="preserve"> 23/PKS/BTN/DIVRE-JANTEN/2021</t>
  </si>
  <si>
    <t xml:space="preserve"> 27 Juli 2022</t>
  </si>
  <si>
    <t>Fathurohman</t>
  </si>
  <si>
    <t>Kp.Wulangsari Rt.006/003 Desa Malingping Utara -Malingping-Lebak</t>
  </si>
  <si>
    <t xml:space="preserve"> 26 Juli 2023</t>
  </si>
  <si>
    <t>Eks. Rumdin Ajun/KSKPH Banten Selatan</t>
  </si>
  <si>
    <t>Warung Nasi Padang</t>
  </si>
  <si>
    <t xml:space="preserve"> 22/PKS/BTN/DIVRE-JANTEN/2021</t>
  </si>
  <si>
    <t>Rizki Saputra</t>
  </si>
  <si>
    <t>Kp.Pagelaran Rt.006/002 Ds. Pagelaran Kec. Malingping -Lebak</t>
  </si>
  <si>
    <t>Pekarangan Eks. Kantor KBKPH Cipanas</t>
  </si>
  <si>
    <t>Ds.Cipanas Kec.Cipanas Kab.Lebak Banten</t>
  </si>
  <si>
    <t>Sudah No. AB 474865 tgl, 15- 01- 1991</t>
  </si>
  <si>
    <t>Kios Sembako</t>
  </si>
  <si>
    <t>01/Pks/Btn/Divre-Janten/2021</t>
  </si>
  <si>
    <t xml:space="preserve"> 26 Mar 2022</t>
  </si>
  <si>
    <t>Endi Firmansyah</t>
  </si>
  <si>
    <t>Kp. Cipanas Rt.002/001/Ds.Cipanas Kec. Cipanas Kab.Lebak</t>
  </si>
  <si>
    <t xml:space="preserve"> 25 Mar 2023</t>
  </si>
  <si>
    <t>Halaman Rumdin Asper/KBKPH Pandeglang</t>
  </si>
  <si>
    <t>Jl.Alun alun Timur Gardu Tanjank - Pandeglang</t>
  </si>
  <si>
    <t>Terdfr Akt Ttp 0011.1.0103.313.1952</t>
  </si>
  <si>
    <t>Kios Madu</t>
  </si>
  <si>
    <t xml:space="preserve">  18/PKS/BTN/DIVRE-JANTEN/2021</t>
  </si>
  <si>
    <t xml:space="preserve"> 31 Agust 2022</t>
  </si>
  <si>
    <t>Tetti Sumarni</t>
  </si>
  <si>
    <t>Kp.Gardu Tanjak 001/004 Kel.Pandeglang Kec.Pandeglang Kab.Pandeglang</t>
  </si>
  <si>
    <t xml:space="preserve"> 30 Agust 2024</t>
  </si>
  <si>
    <t>Halaman &amp; Rumdin Krph Mandalawangi BKPH Pandeglang</t>
  </si>
  <si>
    <t>Jl.Raya Labuan KM 03 Ciekek Pandeglang</t>
  </si>
  <si>
    <t>Belum Terdfr Akt Ttp 0025.1.0210.313.1984</t>
  </si>
  <si>
    <t>Warung Nasi</t>
  </si>
  <si>
    <t xml:space="preserve"> 20/PKS/BTN/DIVRE-JANTEN/2020</t>
  </si>
  <si>
    <t xml:space="preserve"> 03 Des 2020</t>
  </si>
  <si>
    <t xml:space="preserve"> Indra Putra</t>
  </si>
  <si>
    <t>Lingk.Tegal wangi lama Rt.001/006 Kel. Rawa Arum Kec. Grogol Kota Cilegon</t>
  </si>
  <si>
    <t xml:space="preserve"> 03 Des 2022</t>
  </si>
  <si>
    <t xml:space="preserve"> 02 Des 2024</t>
  </si>
  <si>
    <t>Ex.Halaman &amp; Rumdin Waka Barat &amp; Kasi PSDH</t>
  </si>
  <si>
    <t>Jl.Juhdi No.12 Lingkugan Kantin Kel.Cimuncang Kota Serang</t>
  </si>
  <si>
    <t>Sudah No. 7492662 tgl 02-10-1982</t>
  </si>
  <si>
    <t>Kuliner</t>
  </si>
  <si>
    <t xml:space="preserve"> 42/PKS/BTN/DIRJB/2021</t>
  </si>
  <si>
    <t xml:space="preserve"> 03 Sep 2021</t>
  </si>
  <si>
    <t>Mulyani</t>
  </si>
  <si>
    <t>Puri Indah B-5 No. 10 RT 002/RW 007 Kel.Cikeuruh Jatinangor Smdang</t>
  </si>
  <si>
    <t xml:space="preserve"> 02 Sep 2023</t>
  </si>
  <si>
    <t>Kios No.13 di Jl. Juhdi Lingk.Kantin Serang</t>
  </si>
  <si>
    <t xml:space="preserve"> 23 Sep 2022</t>
  </si>
  <si>
    <t>Mudrikah</t>
  </si>
  <si>
    <t>Taman Banten Lestari Blok F.6c No.26 Kel.Unyur Kec.Serang Kota Serang</t>
  </si>
  <si>
    <t xml:space="preserve"> 22 Sep 2023</t>
  </si>
  <si>
    <t>Eks. Rumdin KRP Kring Merak di Cilegon</t>
  </si>
  <si>
    <t>Jl.Jombang masjid Cilegon- Banten</t>
  </si>
  <si>
    <t>Sudah No.6239051 tgl, 21-12-1981</t>
  </si>
  <si>
    <t>Usaha lain &amp; Makanan</t>
  </si>
  <si>
    <t xml:space="preserve">  12/PKS/BTN/DIVRE-JANTEN/2021</t>
  </si>
  <si>
    <t xml:space="preserve"> 02 Juli 2021</t>
  </si>
  <si>
    <t>Mohammad Siddik</t>
  </si>
  <si>
    <t xml:space="preserve"> 01 Juli 2023</t>
  </si>
  <si>
    <t>Rumdin KRPH Bayah di Bayah kab.Lebak</t>
  </si>
  <si>
    <t>Ds Bayah Kec.Bayah Kab.Lebak Banten</t>
  </si>
  <si>
    <t>Sudah No. AB 904257    tgl 09 September 1991</t>
  </si>
  <si>
    <t>Salon</t>
  </si>
  <si>
    <t>Suparman</t>
  </si>
  <si>
    <t>KP.Bayah Tugu Rt.02/09 Ds.Bayah Barat Kec.Bayah Kab.Lebak Banten</t>
  </si>
  <si>
    <t>Proses</t>
  </si>
  <si>
    <t>PKS dalam proses</t>
  </si>
  <si>
    <t>KPH CIANJUR</t>
  </si>
  <si>
    <t>Nilai pendapatan bersih</t>
  </si>
  <si>
    <r>
      <t>BANG (M</t>
    </r>
    <r>
      <rPr>
        <b/>
        <sz val="8"/>
        <rFont val="Calibri"/>
        <family val="2"/>
      </rPr>
      <t>²</t>
    </r>
    <r>
      <rPr>
        <b/>
        <sz val="8"/>
        <rFont val="Tahoma"/>
        <family val="2"/>
      </rPr>
      <t>)</t>
    </r>
  </si>
  <si>
    <r>
      <rPr>
        <b/>
        <sz val="7"/>
        <rFont val="Tahoma"/>
        <family val="2"/>
      </rPr>
      <t>SERTIPIKAT</t>
    </r>
    <r>
      <rPr>
        <b/>
        <sz val="8"/>
        <rFont val="Tahoma"/>
        <family val="2"/>
      </rPr>
      <t xml:space="preserve"> (Belum/   Sudah)</t>
    </r>
  </si>
  <si>
    <t>PPh</t>
  </si>
  <si>
    <t>Jumlah (17+19+20)</t>
  </si>
  <si>
    <t>Tanah Pek. Blok Cidamar Cidaun </t>
  </si>
  <si>
    <t>Kp. Landbau RT 02 RW 08 Ds. Cipanas Kec. Cipanas</t>
  </si>
  <si>
    <t>Sudah</t>
  </si>
  <si>
    <t>Tempat Parkir</t>
  </si>
  <si>
    <t>Abdul Gofar</t>
  </si>
  <si>
    <t>Kp. Lanbau RT 02 RW 08 Desa Cipanas Kec Cipanas Kab. Cianjur</t>
  </si>
  <si>
    <t>Pekarangan RD. KRPH Pacet (Lanbow)</t>
  </si>
  <si>
    <t>Rumah tinggal &amp; Cuci steem</t>
  </si>
  <si>
    <t>Faisal.P</t>
  </si>
  <si>
    <t>Tapek &amp; Bangunan Eks RD KTU (Kantor Notaris)</t>
  </si>
  <si>
    <t>Jl. Dr Muwaardi No.133 Cianjur</t>
  </si>
  <si>
    <t>Kantor Notaris</t>
  </si>
  <si>
    <t>Riama Luciana S</t>
  </si>
  <si>
    <t xml:space="preserve">Komp. Departemen Koprasi No. C-63, RT 003 RW 15 Mekarsari Kec. Cimanggis Kota Depok </t>
  </si>
  <si>
    <t>Tapek &amp; Bangunan Eks RD KTU (Warung )</t>
  </si>
  <si>
    <t>Warung Ceu Mumun</t>
  </si>
  <si>
    <t>Dede Suherlan</t>
  </si>
  <si>
    <t xml:space="preserve">Kp. Cipucung RT 03 RW 02 Desa Kebon Karet Kec. Cianjur Kab. Cianjur </t>
  </si>
  <si>
    <t>Tapek &amp; Bangunan Eks RD KTU (Warung Somad)</t>
  </si>
  <si>
    <t>Warung Somad</t>
  </si>
  <si>
    <t>Somad Supyandi</t>
  </si>
  <si>
    <t xml:space="preserve">Kp. Kebon Manggu RT 001 /022 Kel. Bojong herang Kec. Cianjur Kab. Cianjur </t>
  </si>
  <si>
    <t>Tapek &amp; Bangunan Eks RD KTU (Loundy)</t>
  </si>
  <si>
    <t>Loundry</t>
  </si>
  <si>
    <t>Erwin Susilo</t>
  </si>
  <si>
    <t>Jl. Guru H.Isa No. 5 RT 01 RW 03 Desa Pamoyanan Kec. Cianjur Kab. Cianjur</t>
  </si>
  <si>
    <t>Tapek &amp; Bangunan Eks RD KTU (DEPOT Madu)</t>
  </si>
  <si>
    <t>PT. Palawi Resorsis</t>
  </si>
  <si>
    <t>Jl. Desa Tengah Komp. Perkantoran Pemda Cibinong, Cibinong Tengah Bogor</t>
  </si>
  <si>
    <t>Tapek &amp; Bangunan Eks RD KTU (Nasi Goreng)</t>
  </si>
  <si>
    <t>Warung Nasi goreng</t>
  </si>
  <si>
    <t>Munasik</t>
  </si>
  <si>
    <t xml:space="preserve">Kp. Tarik Kolot RT 001 RW 006 Desa Bojong Herang Kec. Cianjur Kab. Cianjur </t>
  </si>
  <si>
    <t>Tapek &amp; Bangunan Eks RD KTU (Warung jamu)</t>
  </si>
  <si>
    <t>Kios Jamu</t>
  </si>
  <si>
    <t>Frangky YogI</t>
  </si>
  <si>
    <t xml:space="preserve">Jl. Teratai No 1 RT 01 RW 09 Padang Serai Kota Padang Simtra Barat </t>
  </si>
  <si>
    <t>Tanah Blok Banjarpinang </t>
  </si>
  <si>
    <t xml:space="preserve">Kp. Pasir Cina Desa Cipendawa Kec. Pacet Kab. Cianjur </t>
  </si>
  <si>
    <t>Tempat Jualan/Kios</t>
  </si>
  <si>
    <t>Said Hudri</t>
  </si>
  <si>
    <t>Kp. Sudi RT 002 RW 012 Desa Nagrak Kec. Cianjur Kab. Cianjur</t>
  </si>
  <si>
    <t>Eks RD Asper Gede Timur  </t>
  </si>
  <si>
    <t>Desa Jambudipa Kec. Warungkondang Kab. Cianjur</t>
  </si>
  <si>
    <t xml:space="preserve">Tatang rifai </t>
  </si>
  <si>
    <t>Jl. Laksa Luar RT 010/RW 001  Kel. Jembatan Lima Kec. Tambora JakPus</t>
  </si>
  <si>
    <t>Eks.RD.KBM Sar. Asper Gede Timur </t>
  </si>
  <si>
    <t>Suryani</t>
  </si>
  <si>
    <t>Kp. Warung Kondang RT 05 RW 11 Desa Jambudipa Kec. Warungkondang Kab. Cianjur</t>
  </si>
  <si>
    <t>Halaman Rd.Polhut.Mob (RM Alam Sunda)</t>
  </si>
  <si>
    <t>Rumah Makan</t>
  </si>
  <si>
    <t>Vhandi Adam</t>
  </si>
  <si>
    <t xml:space="preserve">Kp. Sindang RT/RW 003/006 Kel/Desa Sukanagalih Kec. Pacet </t>
  </si>
  <si>
    <t>Tanah Pekarangan Kantor Asper Cianjur</t>
  </si>
  <si>
    <t>Kp. Pos Rt/Rw 02/01 Desa Cijedil Kecamatan Cugenang Kabupaten Cianjur</t>
  </si>
  <si>
    <t>Kios</t>
  </si>
  <si>
    <t>Sapturi</t>
  </si>
  <si>
    <t>Kp. Pos RT 02 RW 01 Desa Cijendil Kec. Cugenang Kab. Cianjur</t>
  </si>
  <si>
    <t>31/06/2023</t>
  </si>
  <si>
    <t>Izul Lailly Akbar</t>
  </si>
  <si>
    <t>Tapek  RD KTU (Gudang Arsip)</t>
  </si>
  <si>
    <t>Travel Trans Siliwangi</t>
  </si>
  <si>
    <t>Rahadian Andri S</t>
  </si>
  <si>
    <t>Jln. Jingga Kusuma Wetan No. 46-KBP RT 03 RW 011 Desa Cipeundeuy Kec. Padalarang Kab. BB</t>
  </si>
  <si>
    <t>Pekarangan (Pos) RD KRPH Cibeber</t>
  </si>
  <si>
    <t>Kp. Songgom RT/RW 02/02 Desa Cipetir Kec. Cibeber Kab. Cianjur</t>
  </si>
  <si>
    <t>Bengkel Motor</t>
  </si>
  <si>
    <t>Dede Saukani</t>
  </si>
  <si>
    <t xml:space="preserve">Cluster Pesona 2 Blok AA No. 2 RT/RW 001/15 Desa/Kelurahan Nagrak Kab. Cianjur </t>
  </si>
  <si>
    <t>Tanah pekarangan KRPH Cibeber</t>
  </si>
  <si>
    <t>Cuci steem</t>
  </si>
  <si>
    <t>Dalam Kawasan Hutan</t>
  </si>
  <si>
    <t>Cianjur</t>
  </si>
  <si>
    <t>Tower XL</t>
  </si>
  <si>
    <t>Petak 36c-2 RPH Campaka BKPH Sukanagara Utara</t>
  </si>
  <si>
    <t>Kawasan hutan</t>
  </si>
  <si>
    <t>Tower</t>
  </si>
  <si>
    <t>Nilai Manfaat</t>
  </si>
  <si>
    <t>PT.XL. Axiata, Tbk</t>
  </si>
  <si>
    <t>PT</t>
  </si>
  <si>
    <t>Mohon untuk target tahun 2023 tower tidak dimasukan ke Opset</t>
  </si>
  <si>
    <t>Tower Inti Bangun Sejahtera</t>
  </si>
  <si>
    <t>Petak 36c1 dan Petak 28a RPH Campaka BKPH Sukanagara Utara</t>
  </si>
  <si>
    <t xml:space="preserve">Tower </t>
  </si>
  <si>
    <t>PT. Inti Bangun Sejahtera</t>
  </si>
  <si>
    <t>Jl. Riau No. 23 RT/RW 009/005 Kel. Gondangdia Kec. Menteng Jakarta Pusat</t>
  </si>
  <si>
    <t>Tower Daya Mitra Telekomunikasi</t>
  </si>
  <si>
    <t>Petak 26 RPH Cibinong BKPH Tanggeung</t>
  </si>
  <si>
    <t>PT. Dayamitra Telekomunikasi</t>
  </si>
  <si>
    <t>Gedung Landmark  Tower Lantai 27, Jalan Gatot Subroto Kav. 52 Kode Pos 12710,</t>
  </si>
  <si>
    <t>Cianjur,        Agustus  2022</t>
  </si>
  <si>
    <t>Bandung,    Agustus 2022</t>
  </si>
  <si>
    <t>KSS Sarpra, Opset &amp; IT</t>
  </si>
  <si>
    <t>Kasi Sarpra, IT &amp; Opset</t>
  </si>
  <si>
    <t>SONI SUJANA</t>
  </si>
  <si>
    <t>S u p a r l a n</t>
  </si>
  <si>
    <t>Mamat Rahmat</t>
  </si>
  <si>
    <t>KPH MAJALENGKA</t>
  </si>
  <si>
    <t>Belum</t>
  </si>
  <si>
    <t>Warung</t>
  </si>
  <si>
    <t>01-01-2021</t>
  </si>
  <si>
    <t>31-12-2022</t>
  </si>
  <si>
    <t>Sembako</t>
  </si>
  <si>
    <t>09-02-2022</t>
  </si>
  <si>
    <t>08-02-2023</t>
  </si>
  <si>
    <t>REALISASI PENDAPATAN DAN PERJANJIAN KERJA SAMA OPTIMALISASI ASET TAHUN 2022</t>
  </si>
  <si>
    <t>DIVISI REGIONAL      : JAWA BARAT &amp; BANTEN</t>
  </si>
  <si>
    <t>KPH                          : SUMEDANG</t>
  </si>
  <si>
    <t>BULAN                     :      Agustus  2022</t>
  </si>
  <si>
    <t>TANAH (M²)/(Ha)</t>
  </si>
  <si>
    <t>BANGUNAN (M²)</t>
  </si>
  <si>
    <t>KPH SUMEDANG</t>
  </si>
  <si>
    <t>BKPH Ujungjaya</t>
  </si>
  <si>
    <t>Tanah DK /EX Jalan Lori</t>
  </si>
  <si>
    <t>Jl. Raya Cijelag - Kamurang</t>
  </si>
  <si>
    <t>Akses Jalan</t>
  </si>
  <si>
    <t xml:space="preserve"> 06/PKS/SMD/2020</t>
  </si>
  <si>
    <t>01/01/2020</t>
  </si>
  <si>
    <t>PT. Tomo Food Industry (Toni Fourdthianto))</t>
  </si>
  <si>
    <t>Jl. Cilember No. 267B RT/RW 004/006 Kel Cigugur Tengah Kec Cimahi Tengah Kota Cimahi</t>
  </si>
  <si>
    <t xml:space="preserve"> 3277022905720014</t>
  </si>
  <si>
    <t>013/PPB/KPH SMD/2018</t>
  </si>
  <si>
    <t>01/01/2018</t>
  </si>
  <si>
    <t>Yosia Andika Pakiding</t>
  </si>
  <si>
    <t>132/PKS/SMD/2018</t>
  </si>
  <si>
    <t>17/12/2018</t>
  </si>
  <si>
    <t xml:space="preserve">PT. Petrosida gresik </t>
  </si>
  <si>
    <t>jl. KIG raya utara kav. O no 5, Gresik, jawa timur</t>
  </si>
  <si>
    <t>Akte no 6. tanggal 16 juli 2016</t>
  </si>
  <si>
    <t>02/PKS/SMD/2022</t>
  </si>
  <si>
    <t>11/12/2021</t>
  </si>
  <si>
    <t>PT. Wika - Jaya Konstruksi KSO</t>
  </si>
  <si>
    <t>Komplek Bumi Oranye blok D 5 no 3, Bandung</t>
  </si>
  <si>
    <t>BKPH Manglayang Timur</t>
  </si>
  <si>
    <t>Ex Rd. KRPH Cipancar</t>
  </si>
  <si>
    <t>JL. Pager Betis Cipancar</t>
  </si>
  <si>
    <t>Tempat Tinggal</t>
  </si>
  <si>
    <t>47/PKS/SMD/2020</t>
  </si>
  <si>
    <t>15/06/2020</t>
  </si>
  <si>
    <t>Nani sumarni</t>
  </si>
  <si>
    <t>Desa Baginda  Rt 02 Rw 05, Sumedang Selatan, Sumedang</t>
  </si>
  <si>
    <t>14/06/2022</t>
  </si>
  <si>
    <t>05/PKS/SMD/2020</t>
  </si>
  <si>
    <t>03/08/2019</t>
  </si>
  <si>
    <t>Iwan Sofyan</t>
  </si>
  <si>
    <t>Clustter Parthenon B-12 kota Delta Mas rt 16 rw 7, Cikarang, Bekasi</t>
  </si>
  <si>
    <t>3216200607770002</t>
  </si>
  <si>
    <t>07/PKS/SMD/2021</t>
  </si>
  <si>
    <t>27/05/2021</t>
  </si>
  <si>
    <t>H. Suparno PT Warna Jaya Sentosa</t>
  </si>
  <si>
    <t>Jl. Cibogo rt 03 rw 19, leuwigajah, cimahi selatan</t>
  </si>
  <si>
    <t>,3277011207620012</t>
  </si>
  <si>
    <t>36/PKS/SMD/2021</t>
  </si>
  <si>
    <t>08/10/2021</t>
  </si>
  <si>
    <t>UJANG KARSA</t>
  </si>
  <si>
    <t>sanyere dsn. Cibuluh rt 01 rw 04 ,desa cibuluh, kec ujungjaya, sumedang</t>
  </si>
  <si>
    <t>160810802620001</t>
  </si>
  <si>
    <t>07/10/2022</t>
  </si>
  <si>
    <t>12/PKS/SMD/2020</t>
  </si>
  <si>
    <t>02/02/2020</t>
  </si>
  <si>
    <t>BUDI PRADANA</t>
  </si>
  <si>
    <t>Dsn. Pande rt 01 rw 02, cibuluh, ujungjaya, sumedang</t>
  </si>
  <si>
    <t>3211250411790002</t>
  </si>
  <si>
    <t>73/PKS/SMD/2019</t>
  </si>
  <si>
    <t>13/11/2019</t>
  </si>
  <si>
    <t>N GIGIS AMPERAWATI</t>
  </si>
  <si>
    <t>Perum Kowilhan II blok C 5 n 1 rt 3 rw 3, desa bambu apus, cipayung kotamadya jakarta timur</t>
  </si>
  <si>
    <t>3175106708660006</t>
  </si>
  <si>
    <t>73/12/2019</t>
  </si>
  <si>
    <t>12/11/2020</t>
  </si>
  <si>
    <t>BKPH Tomo Utara</t>
  </si>
  <si>
    <t>Tanah DK ek. TPK Bugel</t>
  </si>
  <si>
    <t>51/PKS/SMD/2020</t>
  </si>
  <si>
    <t>12/10/2020</t>
  </si>
  <si>
    <t>RAHYA</t>
  </si>
  <si>
    <t>Dsn Bugel rt 02 rw 01, Tomo, Sumedang</t>
  </si>
  <si>
    <t>3211240404630001</t>
  </si>
  <si>
    <t>11/PKS/SMD/2020</t>
  </si>
  <si>
    <t>03/02/2020</t>
  </si>
  <si>
    <t>ACENG SUNANDAR</t>
  </si>
  <si>
    <t>Dsn. Pande Rt01 Rw 01, Ujungjaya, Sumedang</t>
  </si>
  <si>
    <t>,3211250808810000</t>
  </si>
  <si>
    <t>00-02-2021</t>
  </si>
  <si>
    <t>Tanah DK</t>
  </si>
  <si>
    <t>Kp. Jaganala Desa Cjambu</t>
  </si>
  <si>
    <t>Lahan Parkin Wisata</t>
  </si>
  <si>
    <t>71/PKS/SMD/2020</t>
  </si>
  <si>
    <t>15/09/2020</t>
  </si>
  <si>
    <t>PT. DEA NASUHA</t>
  </si>
  <si>
    <t>jl. Cikuda Rt 03 Rw 01 desa cipeles, jatinangor</t>
  </si>
  <si>
    <t>Akte Notaris nomor 3 tanngal 8 september 2011</t>
  </si>
  <si>
    <t>Kawasan Hutan</t>
  </si>
  <si>
    <t>Menara dalam kawasan</t>
  </si>
  <si>
    <t>06/PKS/SMD/2021</t>
  </si>
  <si>
    <t>10/07/2020</t>
  </si>
  <si>
    <t>PT. Sarana Inti Persada</t>
  </si>
  <si>
    <t>Jl. Ibrahim Adjie, Kiaracondong no. 402, Bandung</t>
  </si>
  <si>
    <t>3674026903650007</t>
  </si>
  <si>
    <t>Kios Warung</t>
  </si>
  <si>
    <t>80/PKS/SMD/2020</t>
  </si>
  <si>
    <t>17/12/2020</t>
  </si>
  <si>
    <t>Hadilah</t>
  </si>
  <si>
    <t>Blok Sanyere Dsn. Cibuluh RT.001 RW.004</t>
  </si>
  <si>
    <t>3211250101680009</t>
  </si>
  <si>
    <t>16/12/2021</t>
  </si>
  <si>
    <t>81/PKS/SMD/2020</t>
  </si>
  <si>
    <t>Jamil</t>
  </si>
  <si>
    <t>3211252703450001</t>
  </si>
  <si>
    <t>82/PKS/SMD/2020</t>
  </si>
  <si>
    <t>Imas Mastoh</t>
  </si>
  <si>
    <t>3211255005810006</t>
  </si>
  <si>
    <t>83/PKS/SMD/2020</t>
  </si>
  <si>
    <t>Suhatnof</t>
  </si>
  <si>
    <t>Blok Desa RT.006 RW.002 Desa SukaSlamet</t>
  </si>
  <si>
    <t>3671051111620003</t>
  </si>
  <si>
    <t>84/PKS/SMD/2020</t>
  </si>
  <si>
    <t>Dasli</t>
  </si>
  <si>
    <t>Dusun Cibuluh RT. 02 RW. 05 Desa Cibuluh</t>
  </si>
  <si>
    <t>32112508011620001</t>
  </si>
  <si>
    <t>85/PKS/SMD/2020</t>
  </si>
  <si>
    <t>Misran</t>
  </si>
  <si>
    <t>Dusun Sanyere RT. 01 RW. 04 Desa Cibuluh</t>
  </si>
  <si>
    <t>3211251904830002</t>
  </si>
  <si>
    <t>86/PKS/SMD/2020</t>
  </si>
  <si>
    <t>Ayungsih</t>
  </si>
  <si>
    <t>Dusun CibuluhRT. 01 RW. 04 Desa Cibuluh</t>
  </si>
  <si>
    <t>3211254904810001</t>
  </si>
  <si>
    <t>87/PKS/SMD/2020</t>
  </si>
  <si>
    <t>21/12/2020</t>
  </si>
  <si>
    <t>Ade Narsa</t>
  </si>
  <si>
    <t>Dusun Bugel RT. 01 RW. 01 Desa Bugel, Tomo, Sumedang</t>
  </si>
  <si>
    <t>3211241303710000</t>
  </si>
  <si>
    <t>20/12/2021</t>
  </si>
  <si>
    <t>79/PKS/SMD/2020</t>
  </si>
  <si>
    <t>Eje Karja</t>
  </si>
  <si>
    <t xml:space="preserve">Dsn. Cibuluh RT.002 RW.004 </t>
  </si>
  <si>
    <t>3211250106420001</t>
  </si>
  <si>
    <t>78/PKS/SMD/2020</t>
  </si>
  <si>
    <t>Rudi</t>
  </si>
  <si>
    <t>3211250711900001</t>
  </si>
  <si>
    <t>77/PKS/SMD/2020</t>
  </si>
  <si>
    <t>Didit Tarainto</t>
  </si>
  <si>
    <t>3211253112850010</t>
  </si>
  <si>
    <t>05/PKS/SMD/2021</t>
  </si>
  <si>
    <t>23/04/2021</t>
  </si>
  <si>
    <t>PT. Cipta Karya Jabar Tol (Herman)</t>
  </si>
  <si>
    <t>Jl. Nusa Indah no 16 rt 03 rw 13, Lowokwaaru, Malang</t>
  </si>
  <si>
    <t>737113190460000</t>
  </si>
  <si>
    <t>21/04/2022</t>
  </si>
  <si>
    <t>Akses Jalan (Alfamart)</t>
  </si>
  <si>
    <t>88/PKS/SMD/2020</t>
  </si>
  <si>
    <t>11/01/2020</t>
  </si>
  <si>
    <t>Riza Irawan</t>
  </si>
  <si>
    <t>3273301104780000</t>
  </si>
  <si>
    <t>10/01/2022</t>
  </si>
  <si>
    <t xml:space="preserve">             -</t>
  </si>
  <si>
    <t>1/PKS/SMD/2021</t>
  </si>
  <si>
    <t xml:space="preserve"> EKE</t>
  </si>
  <si>
    <t>Dusun Cikule Rt 003 RW 004 Desa Sakurjaya Kecamatan Ujungjaya</t>
  </si>
  <si>
    <t>3211250511730004</t>
  </si>
  <si>
    <t>19/20/2022</t>
  </si>
  <si>
    <t>II/PKS/SMD/2021</t>
  </si>
  <si>
    <t xml:space="preserve"> CICIH S</t>
  </si>
  <si>
    <t>Dusun Cilega Rt 001 RW 003 Desa Sakurjaya Kecamatan Ujungjaya</t>
  </si>
  <si>
    <t>3211255609690004</t>
  </si>
  <si>
    <t>III/PKS/SMD/2021</t>
  </si>
  <si>
    <t>YENI H</t>
  </si>
  <si>
    <t>321125560480002</t>
  </si>
  <si>
    <t>IV/PKS/SMD/2021</t>
  </si>
  <si>
    <t>NINING</t>
  </si>
  <si>
    <t>Dusun Cilega Rt 001 RW 002 Desa Sakurjaya Kecamatan Ujungjaya</t>
  </si>
  <si>
    <t>3211254503680002</t>
  </si>
  <si>
    <t>IX/PKS/SMD/2021</t>
  </si>
  <si>
    <t>IDI S</t>
  </si>
  <si>
    <t>Dusun Cilega Rt 003 RW 003 Desa Sakurjaya Kecamatan Ujungjaya</t>
  </si>
  <si>
    <t>3211251603550002</t>
  </si>
  <si>
    <t>VIII/PKS/SMD/2021</t>
  </si>
  <si>
    <t xml:space="preserve"> AAS S</t>
  </si>
  <si>
    <t>Dusun Nanjungjaya Rt 003 RW 007 Desa Ujungjaya Kecamatan Ujungjaya</t>
  </si>
  <si>
    <t>321125120874006</t>
  </si>
  <si>
    <t xml:space="preserve">              -</t>
  </si>
  <si>
    <t>VI/PKS/SMD/2021</t>
  </si>
  <si>
    <t>UUN S</t>
  </si>
  <si>
    <t>Dusun Pasi Panday Rt 005 RW 005 Desa Ujungjaya Kecamatan Ujungjaya</t>
  </si>
  <si>
    <t>V/PKS/SMD/2021</t>
  </si>
  <si>
    <t>OOM K</t>
  </si>
  <si>
    <t>Dusun Cilega Rt 001 RW 001 Desa Ujungjaya Kecamatan Ujungjaya</t>
  </si>
  <si>
    <t>321125440570008</t>
  </si>
  <si>
    <t>X/PKS/SMD/2021</t>
  </si>
  <si>
    <t>YULI S</t>
  </si>
  <si>
    <t>Dusun Cilega Rt 003 RW 003 Desa Ujungjaya Kecamatan Ujungjaya</t>
  </si>
  <si>
    <t>XI/PKS/SMD/2021</t>
  </si>
  <si>
    <t xml:space="preserve"> WIDIA W</t>
  </si>
  <si>
    <t>Dusun Cikowang Rt 003 RW 005 Desa Sakurjaya Kecamatan Ujungjaya</t>
  </si>
  <si>
    <t>3211251303570001</t>
  </si>
  <si>
    <t>35/PKS/SMD/2021</t>
  </si>
  <si>
    <t xml:space="preserve"> SITI</t>
  </si>
  <si>
    <t>Dusun Cibuluh  RT/RW .001/004 Desa Cibuluh  Kec Ujungjaya Kab Sumedang</t>
  </si>
  <si>
    <t>3211254610750001</t>
  </si>
  <si>
    <t xml:space="preserve"> WAGE</t>
  </si>
  <si>
    <t>Dusun Pande RT/RW .001/003 Desa Cibuluh  Kec Ujungjaya Kab Sumedang</t>
  </si>
  <si>
    <t>3211250911720007</t>
  </si>
  <si>
    <t>VII/PKS/SMD/2021</t>
  </si>
  <si>
    <t xml:space="preserve"> GONO S</t>
  </si>
  <si>
    <t>Dusun Ujungjaya Rt 001 RW 004 Desa Ujungjaya Kecamatan Ujungjaya</t>
  </si>
  <si>
    <t>3211255902910004</t>
  </si>
  <si>
    <t>Jumlah :</t>
  </si>
  <si>
    <t>ERP JUNI  2022</t>
  </si>
  <si>
    <t>KPH BOGOR</t>
  </si>
  <si>
    <t>Tan Pek Eks Asper/KBKPH Lewiliang</t>
  </si>
  <si>
    <t>`</t>
  </si>
  <si>
    <t>Jl.Warung Borong RT/RW 003/002 Desa Bojong Rangkas Kec.Ciampea Kab Bgr</t>
  </si>
  <si>
    <t>Kios Buah Buahan</t>
  </si>
  <si>
    <t>Ade Supriyadi</t>
  </si>
  <si>
    <t>Kp.Cisasah RT/RW 002/006 Desa Purwasari Kec.Dramaga Kab.Bogor</t>
  </si>
  <si>
    <t>10 -01 2022</t>
  </si>
  <si>
    <t>9-01 2022</t>
  </si>
  <si>
    <t>Warung  Rokok</t>
  </si>
  <si>
    <t>Karman setiawan</t>
  </si>
  <si>
    <t>Kp.Dusun Cikoneng RT/RW 002/004 Desa Linggajaya Kec.Ciwaru Kab.Kuningan</t>
  </si>
  <si>
    <t>9 - 3- 2022</t>
  </si>
  <si>
    <t>8 - 3- 2023</t>
  </si>
  <si>
    <t>Tan Pek dan RD KRPH Gn.Karang</t>
  </si>
  <si>
    <t>Jl.Cagak RT/RW 04/01 Desa Kelapa Nunggal Kec.Kelapa Nunggal Kab Bogor</t>
  </si>
  <si>
    <t>22/071.3/PKS/Bgr/Divre-Janten/2021</t>
  </si>
  <si>
    <t>26 Februari  2022</t>
  </si>
  <si>
    <t>Imas Solihat</t>
  </si>
  <si>
    <t>Kp.Klapanunggal Rt/RW 04/01 Desa Klapanunggal Kec.Klapanunggal Kab.Bogor</t>
  </si>
  <si>
    <t>26 -02- 2022</t>
  </si>
  <si>
    <t>25 -02- 2023</t>
  </si>
  <si>
    <t>Tanah DK Babakan Madang</t>
  </si>
  <si>
    <t xml:space="preserve">Jl.Babakan Madang RT/RW 01/02 Desa Babakan Madang Kec.Babakan Madang </t>
  </si>
  <si>
    <t>9/071.3/PKS/Bgr/Divre-Janten/2020</t>
  </si>
  <si>
    <t>04 Agustus  2021</t>
  </si>
  <si>
    <t>Nuraini</t>
  </si>
  <si>
    <t>Jl.Kali Abang Nangka Perwira RT/RW 003/006 Desa Perwira Kec.Bekasi Utara Kab.Bekasi</t>
  </si>
  <si>
    <t>04 -08- 2022</t>
  </si>
  <si>
    <t>03 -08- 2022</t>
  </si>
  <si>
    <t xml:space="preserve"> Eks RD KSPH Bogor</t>
  </si>
  <si>
    <t>Jl.Sukasari II No.27 Bogor</t>
  </si>
  <si>
    <t>19/071.3/PKS/Bgr/Divre-Janten/2020</t>
  </si>
  <si>
    <t>31 Agustus  2020</t>
  </si>
  <si>
    <t>Helena Surya</t>
  </si>
  <si>
    <t>Jl.Cisitu no.190 Dago Bandung</t>
  </si>
  <si>
    <t>31 -11-  2020</t>
  </si>
  <si>
    <t>31 -10-  2022</t>
  </si>
  <si>
    <t xml:space="preserve"> Tanah pekarangan Rumah Dinas KRPH Maribaya</t>
  </si>
  <si>
    <t xml:space="preserve">Kp.Pasir Beureum RT/RW 04/04 Desa Jagabaya Kec.Parung Panjang Kab.Bogor </t>
  </si>
  <si>
    <t xml:space="preserve">Warung </t>
  </si>
  <si>
    <t>14/071.3/PKS/Bgr/Divre-Janten/2020</t>
  </si>
  <si>
    <t>7 Maret  2021</t>
  </si>
  <si>
    <t>Mulyadi</t>
  </si>
  <si>
    <t>Kp.Pasir Beureum RT/RW 03.04 Desa Jagabaya Kec.Parung Panjang Kab.Bogor</t>
  </si>
  <si>
    <t>7 -03- 2021</t>
  </si>
  <si>
    <t>7 -03- 2022</t>
  </si>
  <si>
    <t>Eks TP dan Rumdin KRPH.Babakan Madang/ Kios</t>
  </si>
  <si>
    <t>Warung Seblak</t>
  </si>
  <si>
    <t>10/071.3/PKS/Bgr/Divre-Janten/2020</t>
  </si>
  <si>
    <t>8 Agustus 2021</t>
  </si>
  <si>
    <t xml:space="preserve"> Apep Setiana</t>
  </si>
  <si>
    <t>Dusun Sinar Galih RT/RW038/008 Kelurahan Sinar Tanjung Pataruman Banjar</t>
  </si>
  <si>
    <t>10 -8- 2022</t>
  </si>
  <si>
    <t>09 -8- 2023</t>
  </si>
  <si>
    <t>Ruang Koperasi Kantor KPH.Bogor</t>
  </si>
  <si>
    <t>Jl.KSR Dadi Kusmayadi Komp.Perkantoran Pemda Kel.Tengah Kec.Cibinong</t>
  </si>
  <si>
    <t>Rumah makan</t>
  </si>
  <si>
    <t>12/071.3/PKS/Bgr/Divre-Janten/2020</t>
  </si>
  <si>
    <t>14 Agustus 2021</t>
  </si>
  <si>
    <t>Juheriyah</t>
  </si>
  <si>
    <t>Kp.Cipayung RT/RW 003/006 Kec Tengah Kab.Bogor</t>
  </si>
  <si>
    <t>14 -8- 2021</t>
  </si>
  <si>
    <t>14 -8- 2022</t>
  </si>
  <si>
    <t>Warung makan</t>
  </si>
  <si>
    <t>15/071.3/PKS/Bgr/Divre-Janten/2020</t>
  </si>
  <si>
    <t>10 Oktober 2021</t>
  </si>
  <si>
    <t>Miswati</t>
  </si>
  <si>
    <t>Dusun Glimbur  Kel.Lerpak Kec.Geger Kab.Bangkalan</t>
  </si>
  <si>
    <t>10 -10- 2021</t>
  </si>
  <si>
    <t>10 -10- 2022</t>
  </si>
  <si>
    <t xml:space="preserve"> Kios Opset Cariu No. 2</t>
  </si>
  <si>
    <t>Jl.Brigjen Darsono no.1 RT/RW 005/002 Desa Cariu Ke.Cariu Kab.Bogor</t>
  </si>
  <si>
    <t>20/071.3/PKS/Bgr/Divre-Janten/2020</t>
  </si>
  <si>
    <t>04 Desember 2021</t>
  </si>
  <si>
    <t>Jojor Marlina</t>
  </si>
  <si>
    <t>Perum Griya Cariu Indah F1/2 RT/RW 06/02 Desa Tegal Panjang Kec.Cariu Kab.Bogor</t>
  </si>
  <si>
    <t>04 -12- 2021</t>
  </si>
  <si>
    <t>04 -12- 202</t>
  </si>
  <si>
    <t>Eks Kantor Asper Ujung Karawang</t>
  </si>
  <si>
    <t>Jl.Menteng no.22 RT/RW 02/017 Kel.Lagoa Kec.Koja Kab.Jakarta Utara</t>
  </si>
  <si>
    <t>23/071.3/PKS/Bgr/Divre-Janten/2020</t>
  </si>
  <si>
    <t>20 Desember 2021</t>
  </si>
  <si>
    <t>Sanaly Wijaya</t>
  </si>
  <si>
    <t>Jl.Menteng no.22 RT/RW 002/003 Kel.Lagoa Kec Koja Jakarta Utara</t>
  </si>
  <si>
    <t>20 -12- 2021</t>
  </si>
  <si>
    <t>20 -12- 2022</t>
  </si>
  <si>
    <t xml:space="preserve"> Kios Opset Cariu No. 1</t>
  </si>
  <si>
    <t>Warung sembako</t>
  </si>
  <si>
    <t>19/071.3/PKS/Bgr/Divre-Janten/2019</t>
  </si>
  <si>
    <t>18 Desember 2021</t>
  </si>
  <si>
    <t>Anita Lubis</t>
  </si>
  <si>
    <t>Bekasi Timur Regency Blok F RT/RW 002/004 Desa Cimuning Kec.Mustika Jaya Kab.Bekasi</t>
  </si>
  <si>
    <t>18 -12- 2021</t>
  </si>
  <si>
    <t>18 -12- 2022</t>
  </si>
  <si>
    <t>Tanah Pekarangan Dinas Asper Pr.Pjg (Warung Kopi)</t>
  </si>
  <si>
    <t>Jl.Moch.Toha no.55 Desa Parung Panjang  Kec.Parung panjang Kab. Bogor</t>
  </si>
  <si>
    <t>Warung Rokok</t>
  </si>
  <si>
    <t>41/071.3/PKS/Bgr/Divre-Janten/2021</t>
  </si>
  <si>
    <t>02 Maret  2022</t>
  </si>
  <si>
    <t>Sidik Suranto</t>
  </si>
  <si>
    <t>Kp.Kaum RT/RW 001/001 Desa Parung Panjang Kec.Parung Panjang Kab.Bogor</t>
  </si>
  <si>
    <t>02-3- 2022</t>
  </si>
  <si>
    <t>01-3- 2023</t>
  </si>
  <si>
    <t xml:space="preserve"> Kios Opset Cariu No. 3</t>
  </si>
  <si>
    <t>Jl.Brigjen Darsono no.1 RT/RW 005/002 Desa Cariu Kec.Cariu Kab.Bogor</t>
  </si>
  <si>
    <t>Penjahit</t>
  </si>
  <si>
    <t>21/071.3/PKS/Bgr/Divre-Janten/2020</t>
  </si>
  <si>
    <t>26 Desember 2021</t>
  </si>
  <si>
    <t>Ocim</t>
  </si>
  <si>
    <t>Kp.Picung RT/RW 003/001 Desa Kuta Mekar Kec.Cariu Kab.Bogor</t>
  </si>
  <si>
    <t>26 -12- 2021</t>
  </si>
  <si>
    <t>26 -12- 2022</t>
  </si>
  <si>
    <t>Pek. Kantor Asper Parung Panjang</t>
  </si>
  <si>
    <t>Jl.Moch.Toha no.55 Desa Parung  Panjang  Kec.Parung  panjang Kab. Bogor</t>
  </si>
  <si>
    <t>Lapak Pedagang</t>
  </si>
  <si>
    <t>26/071.3/PKS/Bgr/Divre-Janten/2021</t>
  </si>
  <si>
    <t>15 Juni 2021</t>
  </si>
  <si>
    <t>Ade Darman</t>
  </si>
  <si>
    <t>Kp.Sukamanah RT/RW 001/004 Desa Parung Panjang Kec.Parung Panjang Kab.Bogor</t>
  </si>
  <si>
    <t>15 -6- 2021</t>
  </si>
  <si>
    <t>15 -6- 2022</t>
  </si>
  <si>
    <t>Tanah Pek Ktr Asper Ujung Kerawang</t>
  </si>
  <si>
    <t>Kp. Gandu RT/RW 003/001 No.33 Desa Sukamulya Kec.Sukatani Kab.Bekasi</t>
  </si>
  <si>
    <t>Bengkel Elektronik</t>
  </si>
  <si>
    <t>7/071.3/PKS/Bgr/Divre-Janten/2020</t>
  </si>
  <si>
    <t>01  Mei 2021</t>
  </si>
  <si>
    <t>Aja Sutarja</t>
  </si>
  <si>
    <t>Kp.Gandu RT/RW 002/001 Desa Sukamulya Kec.Sukatani Kab.Bekasi</t>
  </si>
  <si>
    <t>01 -5- 2021</t>
  </si>
  <si>
    <t>01 -5- 2022</t>
  </si>
  <si>
    <t>RD.KRPH Singkil Asper Ujung Kerawang</t>
  </si>
  <si>
    <t>Kp.Kedung Cinde RT/RW 002/005 Desa Pantai Bakti Kec.Muara Gembong Kab.Bekasi</t>
  </si>
  <si>
    <t>Rumah Tinggal</t>
  </si>
  <si>
    <t>8/071.3/PKS/Bgr/Divre-Janten/2020</t>
  </si>
  <si>
    <t>28 Juli 2021</t>
  </si>
  <si>
    <t>Nurul Aini</t>
  </si>
  <si>
    <t>Kp.Walang Jl.Mesjid RT/RW 008/003 Desa Rawa Badak Selatan Kec.Koja Jakarta Utara</t>
  </si>
  <si>
    <t>28 -7- 2021</t>
  </si>
  <si>
    <t>28 -7- 2022</t>
  </si>
  <si>
    <t>Ex Rumah Dinas KRPH Kring Bekasi</t>
  </si>
  <si>
    <t>Kp.Ciketing RT/RW 01/04 Desa Mustika Jaya Kec.Mustika Jaya Kab.Bekasi</t>
  </si>
  <si>
    <t>22/071.3/PKS/Bgr/Divre-Janten/2020</t>
  </si>
  <si>
    <t>01 Desember 2021</t>
  </si>
  <si>
    <t>Endang Hilman</t>
  </si>
  <si>
    <t>01 -12- 2021</t>
  </si>
  <si>
    <t>01 -12- 2022</t>
  </si>
  <si>
    <t>Pekarangan RD Babakan Madang</t>
  </si>
  <si>
    <t>Kp.Sukamantri RT/RW 03/01 Desa Karang Tengah Kec.Babakan Madang Kab Bgr</t>
  </si>
  <si>
    <t>Warung Makan</t>
  </si>
  <si>
    <t>130/071.3/PKS/Bgr/Divre-Janten/2020</t>
  </si>
  <si>
    <t>01 November 2021</t>
  </si>
  <si>
    <t>Abdul Chair</t>
  </si>
  <si>
    <t>Jl.Bangka II F No. 16 RT 004 RW 013 Kel.Pela Mampang Kec.Mampang Prapatan Jaksel</t>
  </si>
  <si>
    <t>01 -11- 2021</t>
  </si>
  <si>
    <t>01 -11- 2023</t>
  </si>
  <si>
    <t>16/071.3/PKS/Bgr/Divre-Janten/2020</t>
  </si>
  <si>
    <t>29 Oktober 2021</t>
  </si>
  <si>
    <t>Siti Sunarsih</t>
  </si>
  <si>
    <t>Kp.Tegal Waru RT/RW 004/001 Desa Tegal Waru Kec.Ciampea Kab.Bogor</t>
  </si>
  <si>
    <t>29 -10 2021</t>
  </si>
  <si>
    <t>29 -10 2023</t>
  </si>
  <si>
    <t>RD.KRPH Gn Karang Asper  Jonggol</t>
  </si>
  <si>
    <t xml:space="preserve"> 13/071.3/PKS/Bgr/Divre-Janten/2020</t>
  </si>
  <si>
    <t>14 September 2021</t>
  </si>
  <si>
    <t>14 -9- 2021</t>
  </si>
  <si>
    <t>14 -9- 2022</t>
  </si>
  <si>
    <t>EX RD.KRPH.Pura Seda BKPH.Leuwi Liang</t>
  </si>
  <si>
    <t>Kp.Kaum RT /RW 001/002 Desa Puraseda Kec.Leuwi Liang Kab Bogor</t>
  </si>
  <si>
    <t>66/071.3/PKS/BGR/Divre-Janten/2021</t>
  </si>
  <si>
    <t>05 Juli 2021</t>
  </si>
  <si>
    <t>Agustin Darsono</t>
  </si>
  <si>
    <t>05 -7- 2021</t>
  </si>
  <si>
    <t>05 -7- 2022</t>
  </si>
  <si>
    <t>Bangunan kios Ruko Babakan Madang</t>
  </si>
  <si>
    <t>Konter HP</t>
  </si>
  <si>
    <t>91 /071.3/PKS/Bgr/Divre-Janten/2021</t>
  </si>
  <si>
    <t>05 Agustus 2021</t>
  </si>
  <si>
    <t>BONG TJHIN NYAN</t>
  </si>
  <si>
    <t>kp. Cibarengkok Rt009/ Rw 003 Desa sumur Batu Kec. Babakan Madang</t>
  </si>
  <si>
    <t>05 -8- 2022</t>
  </si>
  <si>
    <t>04 -8- 2023</t>
  </si>
  <si>
    <t>Tanah Pekarangan dan RD KRPH Cipayung</t>
  </si>
  <si>
    <t>Kp.Citeko RT/RW 01/04 No.9 Desa Citeko Kec.Cisarua Kab.Bogor</t>
  </si>
  <si>
    <t>24/071.3/PKS/Bgr/Divre-Janten/2020</t>
  </si>
  <si>
    <t>12 Mei 2022</t>
  </si>
  <si>
    <t>Dede Wahyudin</t>
  </si>
  <si>
    <t>Kp.Citeko RT/RW 002/009 Desa Citeko Kec.Cisarua Kab.Bogor</t>
  </si>
  <si>
    <t>12 -5- 2022</t>
  </si>
  <si>
    <t>11 -5- 2023</t>
  </si>
  <si>
    <t>Rumah Dinas Polhut</t>
  </si>
  <si>
    <t>Jaenal Abidin</t>
  </si>
  <si>
    <t>Kp.Warung Borong RT/RW 003/002 Desa Bojong Rangkas Kec.Ciampea Kab Bgr</t>
  </si>
  <si>
    <t>03 -1- 2022</t>
  </si>
  <si>
    <t>01 -1- 2023</t>
  </si>
  <si>
    <t>Tanah Pekaranagan Ex. Kantor Asper/BKPH Tangerang</t>
  </si>
  <si>
    <t>Jl.Daan Mogot Kelurahan Sukarasa Kec. Kecamatan tangerang</t>
  </si>
  <si>
    <t>BF 675907</t>
  </si>
  <si>
    <t>PT Indomarco Prismata</t>
  </si>
  <si>
    <t>27/071.3/PKS/Bgr/Divre-Janten/2021</t>
  </si>
  <si>
    <t>Jl raya Serang Km. 09 No.1A RT/RW :03/01 Zona Industri Manis Kel.Kadu Kec. Curug Kota Tangerang</t>
  </si>
  <si>
    <t>26 -3- 2021</t>
  </si>
  <si>
    <t>26 -3- 2023</t>
  </si>
  <si>
    <t>Tanah  Pekarangan Ex. RD. Gn. Karang</t>
  </si>
  <si>
    <t>Jl. Raya Narogong KM. 26 Kel. Kelapa Nunggal Kec.Kelapa Nunggal Kabupaten Bogor</t>
  </si>
  <si>
    <t>BH 198946</t>
  </si>
  <si>
    <t>09 Sept 2021</t>
  </si>
  <si>
    <t>A.Zakiyyul Hakim</t>
  </si>
  <si>
    <t>Jl. Raya Bogor KM 46.7 Kel. Nangggewer Kec. Cibinong Kab. Bogor</t>
  </si>
  <si>
    <t>09 -9- 2021</t>
  </si>
  <si>
    <t>08 -9- 2023</t>
  </si>
  <si>
    <t>REALISASI PENDAPATAN DAN PERJANJIAN KERJA SAMA OPTIMALISASI ASET TAHUN 2023</t>
  </si>
  <si>
    <t>DIVISI REGIONAL   : JAWA BARAT &amp; BANTEN</t>
  </si>
  <si>
    <t>KPH                             :  BANDUNG SELATAN</t>
  </si>
  <si>
    <t>BKPH</t>
  </si>
  <si>
    <t>RPH</t>
  </si>
  <si>
    <r>
      <t>BANGUNAN (M</t>
    </r>
    <r>
      <rPr>
        <b/>
        <sz val="9"/>
        <rFont val="Calibri"/>
        <family val="2"/>
      </rPr>
      <t>²</t>
    </r>
    <r>
      <rPr>
        <b/>
        <sz val="9"/>
        <rFont val="Tahoma"/>
        <family val="2"/>
      </rPr>
      <t>)</t>
    </r>
  </si>
  <si>
    <t>BANDUNG SELATAN</t>
  </si>
  <si>
    <t>PANGALENGAN</t>
  </si>
  <si>
    <t>Pekarangan Rumdin Kantor BKPH Pangalengan</t>
  </si>
  <si>
    <t>Tanah Pekarangan (DK) Kantor BKPH Pangalengan, JL. Raya Pangalengan</t>
  </si>
  <si>
    <t>AU 013413</t>
  </si>
  <si>
    <t>Kios Sembako (BIP)</t>
  </si>
  <si>
    <t>77/PKS/PPB/BDS/Divre-Janten/2021</t>
  </si>
  <si>
    <t>Dayat</t>
  </si>
  <si>
    <t>Komp GPA jl. Lumba lumba lok F 12 RT 003 / RW 012 DS. Pangalengan Kec Pangalengan Kab Bandung</t>
  </si>
  <si>
    <t>76/PKS/PPB/BDS/Divre-Janten/2021</t>
  </si>
  <si>
    <t>Ade Wawan</t>
  </si>
  <si>
    <t>Kp. Babakan Laksana RT 008 /RW 011 Kel Pangalengan Kec. Pangalengan Kab Bandung</t>
  </si>
  <si>
    <t>80/PKS/PPB/BDS/Divre-Janten/2021</t>
  </si>
  <si>
    <t>Ade Rahmat</t>
  </si>
  <si>
    <t>Kp. Babakan Laksana RT 002 /RW 011 Kel Pangalengan Kec. Pangalengan Kab Bandung</t>
  </si>
  <si>
    <t>75/PKS/PPB/BDS/Divre-Janten/2021</t>
  </si>
  <si>
    <t>Ajat Sudrajat/A Gim/Eri Nuryadin</t>
  </si>
  <si>
    <t>79/PKS/PPB/BDS/Divre-Janten/2021</t>
  </si>
  <si>
    <t>Linda Fitria</t>
  </si>
  <si>
    <t>Kp. Babakan Laksana RT 004 /RW 011 Kel Pangalengan Kec. Pangalengan Kab Bandung</t>
  </si>
  <si>
    <t>74/PKS/PPB/BDS/Divre-Janten/2021</t>
  </si>
  <si>
    <t xml:space="preserve"> H Usep Rahmat Saepudin/Ida Farida</t>
  </si>
  <si>
    <t>Kp. Pasanggrahan Kulon RT 001 / RW 008 Ds. Pangalengan Kec. Pangalengan Kab Bandung</t>
  </si>
  <si>
    <t>Kios Las Karbit (BIP)</t>
  </si>
  <si>
    <t>72/PKS/PPB/BDS/Divre-Janten/2021</t>
  </si>
  <si>
    <t>Ajang Jejeh</t>
  </si>
  <si>
    <t>Kp. Mekar Mulya RT 003 / RW 024 Ds. Marga Mulya Kec. Pangalengan  Kab.  Bandung</t>
  </si>
  <si>
    <t>73/PKS/PPB/BDS/Divre-Janten/2021</t>
  </si>
  <si>
    <t>Sulistio</t>
  </si>
  <si>
    <t>Komp. Kebon Kopi Blok B No 10 Rt 001 / RW 015 Ds. Margamulya Kec Pangalengan Kab Bandung</t>
  </si>
  <si>
    <t>51/PKS/PPB/BDS/Divre-Janten/2021</t>
  </si>
  <si>
    <t>Jajang Solihin</t>
  </si>
  <si>
    <t>Kp. Pasirmulya kulon RT 005 / RW 007 Ds.  Margamulya Kec. Pangalengan Kab Bandung</t>
  </si>
  <si>
    <t>50/PKS/PPB/BDS/Divre-Janten/2021</t>
  </si>
  <si>
    <t>Komarudin</t>
  </si>
  <si>
    <t>Kp Pasanggrahan RT 003 / RW 007 DS. Pangalengan Kec Pangalengan Kab Bandung</t>
  </si>
  <si>
    <t>83/PKS/PPB/BDS/Divre-Janten/2021</t>
  </si>
  <si>
    <t>Warga</t>
  </si>
  <si>
    <t>82/PKS/PPB/BDS/Divre-Janten/2021</t>
  </si>
  <si>
    <t>H. Yana Rodiana</t>
  </si>
  <si>
    <t>70/PKS/PPB/BDS/Divre-Janten/2021</t>
  </si>
  <si>
    <t>Ade/santi</t>
  </si>
  <si>
    <t>Kp. Pangharepan RT 003 / RW 008 Kel Pangalengan Kec Pangalengan Kab Bandung</t>
  </si>
  <si>
    <t>71/PKS/PPB/BDS/Divre-Janten/2021</t>
  </si>
  <si>
    <t>Asep Dikdik Makmur</t>
  </si>
  <si>
    <t>68/PKS/PPB/BDS/Divre-Janten/2021</t>
  </si>
  <si>
    <t>Gandi Koswara</t>
  </si>
  <si>
    <t>Kp. Babakan Anyar RT 002 / RW 010 Ds. Pangalengan Kec Pangalengan Kab Bandung</t>
  </si>
  <si>
    <t>66/PKS/PPB/BDS/Divre-Janten/2021</t>
  </si>
  <si>
    <t>Asep Yayan/M Gagant Purnama</t>
  </si>
  <si>
    <t>Komp. Kebon Kopi RT 001 / RW 015 Ds. Margamulya Kec Pangalengan Kab Bandung</t>
  </si>
  <si>
    <t>78/PKS/PPB/BDS/Divre-Janten/2021</t>
  </si>
  <si>
    <t>Cecep Nurdin</t>
  </si>
  <si>
    <t>81/PKS/PPB/BDS/Divre-Janten/2021</t>
  </si>
  <si>
    <t>Dadang Koswara</t>
  </si>
  <si>
    <t>Kp. Babakan Laksana RT 005 /RW 011 Kel Pangalengan Kec. Pangalengan Kab Bandung</t>
  </si>
  <si>
    <t>65/PKS/PPB/BDS/Divre-Janten/2021</t>
  </si>
  <si>
    <t>Suratno</t>
  </si>
  <si>
    <t>Kp. Legok Kondang RT 005 / RW 009 Ds Pangalengan Kec Pangalengan Kab Bandung</t>
  </si>
  <si>
    <t>69/PKS/PPB/BDS/Divre-Janten/2021</t>
  </si>
  <si>
    <t>H. Erom</t>
  </si>
  <si>
    <t>Kp. Pangharepan RT 002 / RW 008 Ds. Pangalengan Kec. Pangalengan Kab Bandung</t>
  </si>
  <si>
    <t>67/PKS/PPB/BDS/Divre-Janten/2021</t>
  </si>
  <si>
    <t>H. Entur</t>
  </si>
  <si>
    <t>Kios Klontong</t>
  </si>
  <si>
    <t>44/PKS/PPB/BDS/Divre-Janten/2021</t>
  </si>
  <si>
    <t>Dikki Sidik Abdulah</t>
  </si>
  <si>
    <t>Kp. Padamukti RT 004 / RW 007 Kel Margamukti Kec, Pangalengan Kab. Bandung</t>
  </si>
  <si>
    <t xml:space="preserve">kios kue </t>
  </si>
  <si>
    <t>55/PKS/PPB/BDS/Divre-Janten/2021</t>
  </si>
  <si>
    <t>Cucu Mulyana/endang</t>
  </si>
  <si>
    <t>Kp. Babakan Mulyana RT 005 /RW 007 Kel Pangalengan Kec. Pangalengan Kab Bandung</t>
  </si>
  <si>
    <t>43/PKS/PPB/BDS/Divre-Janten/2021</t>
  </si>
  <si>
    <t>Dadang Darsiwa</t>
  </si>
  <si>
    <t>Kp. Ciawi RT 002 / RW 002 Kel Pangalengan Kec Pangalengan Kab Bandung</t>
  </si>
  <si>
    <t>56/PKS/PPB/BDS/Divre-Janten/2021</t>
  </si>
  <si>
    <t>Ajang Usep</t>
  </si>
  <si>
    <t>Kp. Langbong RT 001/RW 014 Kel. Pangalengan Kec Pangalengan Kab Bandung</t>
  </si>
  <si>
    <t>Kios Sembako (LKN)</t>
  </si>
  <si>
    <t>87/PKS/PPB/BDS/Divre-Janten/2021</t>
  </si>
  <si>
    <t>H. Kelon</t>
  </si>
  <si>
    <t>Kp. Kiara Sirna Wangi RT 002 / RW 005 Kel. Pulosari Kec Pangalengan Kab Bandung</t>
  </si>
  <si>
    <t>89/PKS/PPB/BDS/Divre-Janten/2021</t>
  </si>
  <si>
    <t>H. Nanang Cahyana, S. Ag</t>
  </si>
  <si>
    <t>Jl. Serma Muhtar RT 002 / RW 005 Kel Cisitu Kec Pangalengan Kab Bandung</t>
  </si>
  <si>
    <t>Kios hasil bumi (LKN)</t>
  </si>
  <si>
    <t>86/PKS/PPB/BDS/Divre-Janten/2021</t>
  </si>
  <si>
    <t>H. Wawan Kustiawan</t>
  </si>
  <si>
    <t>Kp. Pangharepan RT 001 / RW 008 Kel Pangalengan Kec Pangalengan Kab Bandung</t>
  </si>
  <si>
    <t>Kios Sayur Mayur</t>
  </si>
  <si>
    <t>88/PKS/PPB/BDS/Divre-Janten/2021</t>
  </si>
  <si>
    <t>Endang</t>
  </si>
  <si>
    <t>Kios alat listrik (LKN)</t>
  </si>
  <si>
    <t>84/PKS/PPB/BDS/Divre-Janten/2021</t>
  </si>
  <si>
    <t>Mohadoli</t>
  </si>
  <si>
    <t>Kp Babakan Parki RT 001 / RW 005 Kel Pangalengan Kec Pangalengan Kab Bandung</t>
  </si>
  <si>
    <t>Kios elektronik (LKN)</t>
  </si>
  <si>
    <t>85/PKS/PPB/BDS/Divre-Janten/2021</t>
  </si>
  <si>
    <t>Uka</t>
  </si>
  <si>
    <t>Kios Beras</t>
  </si>
  <si>
    <t>57/PKS/PPB/BDS/Divre-Janten/2021</t>
  </si>
  <si>
    <t>Dede Sumpena</t>
  </si>
  <si>
    <t>Kp. Cisuruli RT 003/ RW 012 Kel. Margamulya Kec Pangalengan Kab Bandung</t>
  </si>
  <si>
    <t>KANCANA</t>
  </si>
  <si>
    <t xml:space="preserve">Pekarangan Rumdin KRPH Kancana </t>
  </si>
  <si>
    <t>Tanah Pekarangan (DK) Rumdin KRPH Kancana Pangalengan, JL. Raya Pangalengan</t>
  </si>
  <si>
    <t>BJ 957378</t>
  </si>
  <si>
    <t>Kios Sayuran (PUJAPIN)</t>
  </si>
  <si>
    <t>49/PKS/PPB/BDS/Divre-Janten/2021</t>
  </si>
  <si>
    <t>Yusuf Taujuri</t>
  </si>
  <si>
    <t>Kp. Baru Jaya RT 008 / RW 003 Kel Sukamanah Kec Pangalengan Kab Bandung</t>
  </si>
  <si>
    <t>Kios Sembako (PUJAPIN)</t>
  </si>
  <si>
    <t>95/PKS/PPB/BDS/Divre-Janten/2021</t>
  </si>
  <si>
    <t>Mamat Achdiat</t>
  </si>
  <si>
    <t>Kp. Sukadana RT 001 / RW 021 Kel. Margamulya Kec. Pangalengan Kab. Bandung</t>
  </si>
  <si>
    <t>96/PKS/PPB/BDS/Divre-Janten/2021</t>
  </si>
  <si>
    <t>Indra Rosdiana</t>
  </si>
  <si>
    <t>Kp. Barusalam RT 008 / RW 004 Kel. Sukamanah Kec Pangalengan Kab Bandung</t>
  </si>
  <si>
    <t>97/PKS/PPB/BDS/Divre-Janten/2021</t>
  </si>
  <si>
    <t>Rosidin Hidayat</t>
  </si>
  <si>
    <t>Kp. Wargamekar RT 001 / RW 019 Kel Sukamanah Kec Pangalengan Kab Bandung</t>
  </si>
  <si>
    <t>94/PKS/PPB/BDS/Divre-Janten/2021</t>
  </si>
  <si>
    <t>Aan</t>
  </si>
  <si>
    <t>Tempat Cuci Motor (PUJAPIN)</t>
  </si>
  <si>
    <t>93/PKS/PPB/BDS/Divre-Janten/2021</t>
  </si>
  <si>
    <t xml:space="preserve">H. Dede Sutisna </t>
  </si>
  <si>
    <t>Kp. Rancamanyar RT 002 / RW 008 Kel Margamukti Kec Pangalengan Kab Bandung</t>
  </si>
  <si>
    <t xml:space="preserve">TBR. TIMUR </t>
  </si>
  <si>
    <t>PATROL</t>
  </si>
  <si>
    <t>Jl. Raya Cibeber Desa Lebakmuncang Kec Ciwidey Kabupaten Bandung</t>
  </si>
  <si>
    <t>Bangunan Material</t>
  </si>
  <si>
    <t>146/PKS/PPB/BDS/Divre-Janten/2022</t>
  </si>
  <si>
    <t>30/12/2021</t>
  </si>
  <si>
    <t>Fsugara</t>
  </si>
  <si>
    <t>Kp. Waluri RT 003 / RW 015 Desa Lebakmuncang Kec. Ciwidey Kabupaten Bandung</t>
  </si>
  <si>
    <t>29/12/2022</t>
  </si>
  <si>
    <t>147/PKS/PPB/BDS/Divre-Janten/2022</t>
  </si>
  <si>
    <t>Andi</t>
  </si>
  <si>
    <t>Kp. Ciinjuk RT 009 / RW 023 Desa Ciwidey Kec Lebakmuncang Kabupaten Bandung</t>
  </si>
  <si>
    <t>148/PKS/PPB/BDS/Divre-Janten/2022</t>
  </si>
  <si>
    <t>Aa Rahmat</t>
  </si>
  <si>
    <t xml:space="preserve">KP. Mekarjaya RT 002 / RW 014 Desa Panyocokan Kec Ciwidey Kabupaten Bandung  </t>
  </si>
  <si>
    <t>Warung kupat</t>
  </si>
  <si>
    <t>149/PKS/PPB/BDS/Divre-Janten/2022</t>
  </si>
  <si>
    <t>Neng Yanti Sulastri</t>
  </si>
  <si>
    <t>Kp. Sukahaji RT 001 / RW 016 Desa Lebakmuncang Kec Ciwidey Kabupaten Bandung</t>
  </si>
  <si>
    <t>Warung lotek</t>
  </si>
  <si>
    <t>150/PKS/PPB/BDS/Divre-Janten/2022</t>
  </si>
  <si>
    <t>Alis Masitoh</t>
  </si>
  <si>
    <t>Kp. Waluri RT 001 / RW 015 Desa Lebakmuncang Kec. Ciwidey Kabupaten Bandung</t>
  </si>
  <si>
    <t>151/PKS/PPB/BDS/Divre-Janten/2022</t>
  </si>
  <si>
    <t>Entin Kartini</t>
  </si>
  <si>
    <t xml:space="preserve">Kp. Ciparay RT 001 / RW 016 Desa Lebakmuncang Kec. Ciwidey Kabupaten Bandung </t>
  </si>
  <si>
    <t>Warung bakso</t>
  </si>
  <si>
    <t>152/PKS/PPB/BDS/Divre-Janten/2022</t>
  </si>
  <si>
    <t>Pipit</t>
  </si>
  <si>
    <t>Kp. Cikaray RT 001 / RW 016 Desa Lebakmuncang Kec. Ciwidey  Kabupaten Bandung</t>
  </si>
  <si>
    <t>Warung pakan burung</t>
  </si>
  <si>
    <t>153/PKS/PPB/BDS/Divre-Janten/2022</t>
  </si>
  <si>
    <t>Maman Sutiman</t>
  </si>
  <si>
    <t>Kp. Tabrik RT 001/ RW 016 Desa Margamulya Kec Pasirjambu Kabupaten Bandung</t>
  </si>
  <si>
    <t>pangkas rambut</t>
  </si>
  <si>
    <t>154/PKS/PPB/BDS/Divre-Janten/2022</t>
  </si>
  <si>
    <t>Dikdik Herdian- Eliyani</t>
  </si>
  <si>
    <t>Kp. Cijembel RT 002 / RW 007 Desa Lebakmuncang Kec. Ciwidey Kabupaten Bandung</t>
  </si>
  <si>
    <t>Bungkus jok</t>
  </si>
  <si>
    <t>156/PKS/PPB/BDS/Divre-Janten/2022</t>
  </si>
  <si>
    <t>cindy Ardilawati</t>
  </si>
  <si>
    <t>Waung Es</t>
  </si>
  <si>
    <t>157/PKS/PPB/BDS/Divre-Janten/2022</t>
  </si>
  <si>
    <t>Usep Rahmat</t>
  </si>
  <si>
    <t>Warung pakan ayam</t>
  </si>
  <si>
    <t>158/PKS/PPB/BDS/Divre-Janten/2022</t>
  </si>
  <si>
    <t>Iyan Yana Cahyana</t>
  </si>
  <si>
    <t>Kp. Tonjong RT  004 / RW 007 Desa Panundaan Kec. Ciwidey Kabupaten Bandung</t>
  </si>
  <si>
    <t>showroom Motor</t>
  </si>
  <si>
    <t>159/PKS/PPB/BDS/Divre-Janten/2022</t>
  </si>
  <si>
    <t>Dani Sunandar</t>
  </si>
  <si>
    <t>Kp. Tonjong RT  002 / RW 030 Desa Ciwidey  Kec. Ciwidey Kabupaten Bandung</t>
  </si>
  <si>
    <t>160/PKS/PPB/BDS/Divre-Janten/2022</t>
  </si>
  <si>
    <t>Iyang Candaya</t>
  </si>
  <si>
    <t>Kp. Sukamanah RT 004 / RW 014 Desa Lebak Muncang Kec Ciwidey Kabupaten Bandung</t>
  </si>
  <si>
    <t>Warung nasi</t>
  </si>
  <si>
    <t>161/PKS/PPB/BDS/Divre-Janten/2022</t>
  </si>
  <si>
    <t>Ilyas Sahidin</t>
  </si>
  <si>
    <t>Kp. Gambung RT 001 / RW 016 Desa Sukawening Kec. Ciwidey Kabupaten Bandung</t>
  </si>
  <si>
    <t>Warung kelontongan</t>
  </si>
  <si>
    <t>162/PKS/PPB/BDS/Divre-Janten/2022</t>
  </si>
  <si>
    <t>Kp. Sukasari Mekar RT 002 / RW 019  Desa Ciwidey Kecamatan Ciwidey Kabupaten Bandung</t>
  </si>
  <si>
    <t>Warung kopi</t>
  </si>
  <si>
    <t>163/PKS/PPB/BDS/Divre-Janten/2022</t>
  </si>
  <si>
    <t>Elis Patimah</t>
  </si>
  <si>
    <t>Gudang pupuk Kandang</t>
  </si>
  <si>
    <t>164/PKS/PPB/BDS/Divre-Janten/2022</t>
  </si>
  <si>
    <t>Dadan Sutisna</t>
  </si>
  <si>
    <t>Warung Kopi</t>
  </si>
  <si>
    <t>165/PKS/PPB/BDS/Divre-Janten/2022</t>
  </si>
  <si>
    <t>Nani</t>
  </si>
  <si>
    <t>Kp. Ciwidey tengah RT 001 / RW 010 Desa Ciwidey Kecamatan Ciwidey Kabupaten Bandung</t>
  </si>
  <si>
    <t>166/PKS/PPB/BDS/Divre-Janten/2022</t>
  </si>
  <si>
    <t>Ade Sambas</t>
  </si>
  <si>
    <t>Kp. Sindangsari RT 021 / RT 016 Desa Ciwidey Kec Ciwidey Kabupaten Bandung</t>
  </si>
  <si>
    <t>167/PKS/PPB/BDS/Divre-Janten/2022</t>
  </si>
  <si>
    <t>Nenah Suhanah</t>
  </si>
  <si>
    <t>Warung bandrek</t>
  </si>
  <si>
    <t>168/PKS/PPB/BDS/Divre-Janten/2022</t>
  </si>
  <si>
    <t>Imas</t>
  </si>
  <si>
    <t>169/PKS/PPB/BDS/Divre-Janten/2022</t>
  </si>
  <si>
    <t>Idan Kusman</t>
  </si>
  <si>
    <t xml:space="preserve">Kp. Griya Sukasari RT 001 / RW 018 Desa Ciwidey Kec Ciwidey Kabupaten Bandung </t>
  </si>
  <si>
    <t>173/PKS/PPB/BDS/Divre-Janten/2022</t>
  </si>
  <si>
    <t>24/02/2022</t>
  </si>
  <si>
    <t>Ahmad</t>
  </si>
  <si>
    <t>Kp. Makbul RT 003 / RW 004 Desa Margamulya Kec PasirJambu Kabupaten Bandung</t>
  </si>
  <si>
    <t>23/02/2023</t>
  </si>
  <si>
    <t>175/PKS/PPB/BDS/Divre-Janten/2022</t>
  </si>
  <si>
    <t>Gimin</t>
  </si>
  <si>
    <t>Kp. Ciinjuk RT 003 / RW 007 Desa Ciwidey Kec Lebakmuncang Kabupaten Bandung</t>
  </si>
  <si>
    <t>176/PKS/PPB/BDS/Divre-Janten/2022</t>
  </si>
  <si>
    <t>H. Nyanjang Rahim</t>
  </si>
  <si>
    <t>Kp. Babakan Lampit RT 003 / RW 007 Desa Panundaan Kecamatan Ciwidey Kab Bandung</t>
  </si>
  <si>
    <t>177/PKS/PPB/BDS/Divre-Janten/2022</t>
  </si>
  <si>
    <t>H. isep Yayan Hudaya</t>
  </si>
  <si>
    <t>Jl. Pamekarsari RT 001 / RW 002 Desa Ciwidey Kec Ciwidey Kabupaten Bandung</t>
  </si>
  <si>
    <t>Jalan Raya Cibeber Desa Lebakmuncang Kecamatan Ciwidey Kabupanten Bandung</t>
  </si>
  <si>
    <t>178/PKS/PPB/BDS/Divre-Janten/2022</t>
  </si>
  <si>
    <t>Sopyan</t>
  </si>
  <si>
    <t>Kp. Mumunggang RT 03 / RT 014 Desa Ciwidey Kec. Ciwidey Kabupaten Bandung</t>
  </si>
  <si>
    <t>179/PKS/PPB/BDS/Divre-Janten/2022</t>
  </si>
  <si>
    <t>Ady Reswanto</t>
  </si>
  <si>
    <t>Jl. Kp. Sukamanah RT 001/ RW  023 Ds. Lebakmuncang Kecamatan Ciwidey Kab Bandung</t>
  </si>
  <si>
    <t>180/PKS/PPB/BDS/Divre-Janten/2022</t>
  </si>
  <si>
    <t>Zaenal Mutaqin</t>
  </si>
  <si>
    <t>KP. Cikiray RT 001 / RW 016 Desa Lebakmuncang Kec Ciwidey Kabupaten Bandung</t>
  </si>
  <si>
    <t>CIWIDEY</t>
  </si>
  <si>
    <t>PATUHA</t>
  </si>
  <si>
    <t>Tower Solusindo</t>
  </si>
  <si>
    <t>Kawasan Hutan Petak 3e RPH Patuha, BKPH Ciwidey KPH Bandung Selatan</t>
  </si>
  <si>
    <t>141/PKS/PPB/BDS/Divre-Janten/2022</t>
  </si>
  <si>
    <t>Pemanfaatan</t>
  </si>
  <si>
    <t>Ismet</t>
  </si>
  <si>
    <t>Jln  Tubagus Ismail 144 Rt 003/RW 12 Kel. Sekeloa Kec Coblong Kota Bandung</t>
  </si>
  <si>
    <t>Surat Kuasa</t>
  </si>
  <si>
    <t>31/12/2022</t>
  </si>
  <si>
    <t>CIMANGGU</t>
  </si>
  <si>
    <t>Tower Protelindo</t>
  </si>
  <si>
    <t>Kawasan Hutan Petak 80 A RPH Cimanggu, BKPH Tambakruyung Timur KPH Bandung Selatan</t>
  </si>
  <si>
    <t>185/PKS/PPB/BDS/Div.Janten/2022</t>
  </si>
  <si>
    <t>Arun Probowinoto/PT. Protelindo</t>
  </si>
  <si>
    <t>Menara BCA Lantai 55, Jl. MH Tamrin no 1 Jakarta 10310</t>
  </si>
  <si>
    <t>Pekarangan/Halaman Eks TPK Ciwidey</t>
  </si>
  <si>
    <t xml:space="preserve">Jl. Babakan Tiga Desa Ciwidey Kec. Ciwidey Kab. Bandung </t>
  </si>
  <si>
    <t>BJ 567069</t>
  </si>
  <si>
    <t>Kios Etalase Pakaian</t>
  </si>
  <si>
    <t>46/PKS/PPB/BDS/Divre-Janten/2021</t>
  </si>
  <si>
    <t>15/08/2021</t>
  </si>
  <si>
    <t>Iis Dewiyana</t>
  </si>
  <si>
    <t>Kp. Babakan Tenjolaya RT 003 / RW 004 Ds Tenjolaya Kec Pasir Jambu Kab Bandung</t>
  </si>
  <si>
    <t>14/08/2022</t>
  </si>
  <si>
    <t>Kios Salon Rias</t>
  </si>
  <si>
    <t>59/PKS/PPB/BDS/Divre-Janten/2021</t>
  </si>
  <si>
    <t>28/07/2021</t>
  </si>
  <si>
    <t>27/07/2022</t>
  </si>
  <si>
    <t>Kios counter HP</t>
  </si>
  <si>
    <t>62/PKS/PPB/BDS/Divre-Janten/2021</t>
  </si>
  <si>
    <t>Iwan Sopandi</t>
  </si>
  <si>
    <t>Kp. Babakan Tiga RT 001 / RW 001 Kel Ciwidey Kec Ciwidey Kab Bandung</t>
  </si>
  <si>
    <t>Kios Pakaian</t>
  </si>
  <si>
    <t>60/PKS/PPB/BDS/Divre-Janten/2021</t>
  </si>
  <si>
    <t>Edi Nugraha</t>
  </si>
  <si>
    <t>Ciwidey Tengah RT 003 / RW 010 Kel Ciwidey Kec Ciwidey Kab Bandung</t>
  </si>
  <si>
    <t>Kios Suplier Gas</t>
  </si>
  <si>
    <t>58/PKS/PPB/BDS/Divre-Janten/2021</t>
  </si>
  <si>
    <t>Yati Sumiati</t>
  </si>
  <si>
    <t>Cimuncang Tengah RT 001 / RW 007 Kel Ciwidey Kec Ciwidey Kab . Bandung</t>
  </si>
  <si>
    <t>Garasi Mobil</t>
  </si>
  <si>
    <t>48/PKS/PPB/BDS/Divre-Janten/2021</t>
  </si>
  <si>
    <t>Kios Dagang Pakaian</t>
  </si>
  <si>
    <t>63/PKS/PPB/BDS/Divre-Janten/2021</t>
  </si>
  <si>
    <t>Tasza Nur Adinda</t>
  </si>
  <si>
    <t>Cukang Genteng RT 002 / RW 001 Kel Cukang Genteng Kec Pasir Jambu Kab Bandung</t>
  </si>
  <si>
    <t>61/PKS/PPB/BDS/Divre-Janten/2021</t>
  </si>
  <si>
    <t>Wilin Anggita</t>
  </si>
  <si>
    <t>Bojong Kawung RT 003 / RW 005 Kel Mekarmaju Kec Pasir Jambu Kab Bandung</t>
  </si>
  <si>
    <t>Kios di halaman RD Asper Ciwidey</t>
  </si>
  <si>
    <t>Jl. Kampung Warung RT 006 / RW 001 Kec Pasir Jambu Kab. Bandung</t>
  </si>
  <si>
    <t>AH 728902</t>
  </si>
  <si>
    <t>Warteg</t>
  </si>
  <si>
    <t>199/PKS/PPB/BDS/Divre-Janten/2022</t>
  </si>
  <si>
    <t>Jl. Cimahi RT 04 RW 02 Kelurahan Burangrang Kecamatan Tegal Selatan Kota Tegal</t>
  </si>
  <si>
    <t>Pekarangan Rumdin Kantor BKPH Ciwidey</t>
  </si>
  <si>
    <t>Kios Salon</t>
  </si>
  <si>
    <t>143/PKS/PPB/BDS/Divre-Janten/2022</t>
  </si>
  <si>
    <t>Rudi Komarudin</t>
  </si>
  <si>
    <t>Blok Salasa RT 002 / RW 002 Kel. Kawunggirang Kec. Majalengka Kab. Bandung</t>
  </si>
  <si>
    <t>145/PKS/PPB/BDS/Divre-Janten/2022</t>
  </si>
  <si>
    <t>Ambar Dela D</t>
  </si>
  <si>
    <t>Kp. Cihanjawar RT 001 / RW 005 Ds. Margamulya Kec Pasir Jambu Kab. Bandung</t>
  </si>
  <si>
    <t>GUNUNG HALU</t>
  </si>
  <si>
    <t>Pekarangan RD Asper Gn. Halu</t>
  </si>
  <si>
    <t>Jl. Raya Gunung Halu Kabupaten Bandung Barat</t>
  </si>
  <si>
    <t>Salon/Pangkas Rambut</t>
  </si>
  <si>
    <t>64/PKS/PPB/BDS/Divreg Janten/2021</t>
  </si>
  <si>
    <t>Deny Sugara</t>
  </si>
  <si>
    <t>Kp. Taman Jaya RT 002 / RW 020 Kel Sirna jaya Kec, Gunung Halu Kab Bandung Barat</t>
  </si>
  <si>
    <t>KPH</t>
  </si>
  <si>
    <t>Pekarangan RD Waka Barat</t>
  </si>
  <si>
    <t>Jl. Rangkas Bitung no 2 A Kota Bandung</t>
  </si>
  <si>
    <t>Kios UMKM Kuliner</t>
  </si>
  <si>
    <t>130/PKS/PPB/BDS/Divreg Janten/2021</t>
  </si>
  <si>
    <t>Jajang Karno</t>
  </si>
  <si>
    <t xml:space="preserve">Gg. Marhaban No 291 / 41 A RT 003 / RW 001 Kel Sukamaju Kec Cibreunying kota Bandung </t>
  </si>
  <si>
    <t>16/11/2021</t>
  </si>
  <si>
    <t>15/11/2022</t>
  </si>
  <si>
    <t>Pekarangan &amp; ruangan (DK) Kantor KPH Bdg Selatan</t>
  </si>
  <si>
    <t>Jl. Cirebon No 4 Bandung Kel Kacapiring Kec Batununggal Kota Bandung</t>
  </si>
  <si>
    <t>A 1184515</t>
  </si>
  <si>
    <t>Dejima Kohii Cofeeshop</t>
  </si>
  <si>
    <t>124/PKS/PPB/BDS/Divre-Janten/2021</t>
  </si>
  <si>
    <t>Muhammad Jeviera Jehan</t>
  </si>
  <si>
    <t>Jl. Jakarta Dalam III no 78 /123 Kel. Kacapiring Kec Batununggal Kota Bandung</t>
  </si>
  <si>
    <t>24/10/2023</t>
  </si>
  <si>
    <t>RD Waka Timur</t>
  </si>
  <si>
    <t>Tanah aset perusahaan Dk jl Maleber Utara (komp.kehutanan)</t>
  </si>
  <si>
    <t>Jl. Maleber Utara Komp Kehutanan RT 008 / RW 008  Kel. Maleber Kec Andir kota Bandung</t>
  </si>
  <si>
    <t>AH 737325</t>
  </si>
  <si>
    <t>MBTS (mobile base transmision statiun)</t>
  </si>
  <si>
    <t>202/PKS/PPB/BDS/Divre Janten/2022</t>
  </si>
  <si>
    <t>Rahmad Hidayat</t>
  </si>
  <si>
    <t>Jl. Tanah Abang I no 12F RT 008 / RW 008 Kel Petojon Selatan Kec Gambir kota Jakarta Pusat</t>
  </si>
  <si>
    <t>Tanah DK pekarangan &amp; Banungan Rumdin Perhutani</t>
  </si>
  <si>
    <t>Jl. Raya Citaman Nagreg KM 36 Bandung Kampung Andir RT 005 / RW 007 DS Citaman Kec Nagereg</t>
  </si>
  <si>
    <t>BS 056504</t>
  </si>
  <si>
    <t>183/PKS/PPB/BDS/Divre.Janten/2022</t>
  </si>
  <si>
    <t>Fahmi Adam</t>
  </si>
  <si>
    <t>Perumahan Griya Taman Lestari RT 002 / RW 009 Ds. Gudang Kec. Tanjungsari Kab. Sumedang</t>
  </si>
  <si>
    <t>Mengetahui,</t>
  </si>
  <si>
    <t>Adm Perhutani KPH  Bandung Selatan</t>
  </si>
  <si>
    <t>Arif Marghamam S. Hut</t>
  </si>
  <si>
    <t>SERTIFIKAT (Belum/Sudah)</t>
  </si>
  <si>
    <t>KPH GARUT</t>
  </si>
  <si>
    <t>DIVISI REGIONAL</t>
  </si>
  <si>
    <t>JAWA BARAT</t>
  </si>
  <si>
    <t>KPH BANDUNG UTARA</t>
  </si>
  <si>
    <t>BULAN</t>
  </si>
  <si>
    <t>Juli (Minggu 1)</t>
  </si>
  <si>
    <t>1</t>
  </si>
  <si>
    <t>2</t>
  </si>
  <si>
    <t>3</t>
  </si>
  <si>
    <t>4</t>
  </si>
  <si>
    <t>Column1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</si>
  <si>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</si>
  <si>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</si>
  <si>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</si>
  <si>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</si>
  <si>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</si>
  <si>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</si>
  <si>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</si>
  <si>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</si>
  <si>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</si>
  <si>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</si>
  <si>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</si>
  <si>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</si>
  <si>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</si>
  <si>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</si>
  <si>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</si>
  <si>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</si>
  <si>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</si>
  <si>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27</t>
  </si>
  <si>
    <t>Pemanfaatan Jalan Desa Cijanggel</t>
  </si>
  <si>
    <t>Ds. Kertawangi, Kec Cisarua, Kab, Bandung Barat</t>
  </si>
  <si>
    <t>Sewa Jalan</t>
  </si>
  <si>
    <t>Ronny Lukito</t>
  </si>
  <si>
    <t>Komp. Galeria 168 C-1</t>
  </si>
  <si>
    <t>Proses perpanjangan</t>
  </si>
  <si>
    <t>Pemanfaatan Sewa Jalan Dalam Kawasan RPH Rajamandala</t>
  </si>
  <si>
    <t>0.4</t>
  </si>
  <si>
    <t>Ds. Sarimukti, Kec Cipatat, Kab, Bandung Barat</t>
  </si>
  <si>
    <t>110/NKK-Jalan/Pdl-BDU/Divreg-Janten/2020</t>
  </si>
  <si>
    <t>19-08-2020</t>
  </si>
  <si>
    <t>Sopian</t>
  </si>
  <si>
    <t>Jln. Raya Caringin, no 359</t>
  </si>
  <si>
    <t>18-08-2022</t>
  </si>
  <si>
    <t>Pemanfaatan Eks. R. Satpam Kantor Unit Lama A</t>
  </si>
  <si>
    <t>Jalan Laswi No. 1</t>
  </si>
  <si>
    <t>AB   885932</t>
  </si>
  <si>
    <t xml:space="preserve">Mie Baso Restorja </t>
  </si>
  <si>
    <t>11/PKS/Sarpra&amp;Aset/HKTA-BDU/DivregJanten/2021</t>
  </si>
  <si>
    <t>01-03-2021</t>
  </si>
  <si>
    <t>Supriatna</t>
  </si>
  <si>
    <t>Jln. Samoja Dalam RT 003, RW 006</t>
  </si>
  <si>
    <t>28-02-2022</t>
  </si>
  <si>
    <t>Proses SKK</t>
  </si>
  <si>
    <t>Pemanfaatan Eks. Kantor Unit Lama B</t>
  </si>
  <si>
    <t xml:space="preserve">RM &amp; Outlet Zifast </t>
  </si>
  <si>
    <t>01/PKS/Sarpra&amp;Aset/HKTA-BDU/DivregJanten/2021</t>
  </si>
  <si>
    <t>Puspa Indana</t>
  </si>
  <si>
    <t>Jln. Bhayangkara No. 15</t>
  </si>
  <si>
    <t>31-12-2021</t>
  </si>
  <si>
    <t>Pemanfaatan Eks. Kantor Unit Lama C Bawah</t>
  </si>
  <si>
    <t>03/PKS/Sarpra/BDU/Divreg Janten/2022</t>
  </si>
  <si>
    <t>Juffry Isa</t>
  </si>
  <si>
    <t>Jl.Terusan Jakarta 78C Antapani</t>
  </si>
  <si>
    <t>PKS Berjalan</t>
  </si>
  <si>
    <t>Pemanfaatan Eks. Kantor Unit Lama E</t>
  </si>
  <si>
    <t>12/PKS/Sarpra&amp;Aset/HKTA-BDU/DivregJanten/2021</t>
  </si>
  <si>
    <t>Rahmat Amin</t>
  </si>
  <si>
    <t>Pemanfaatan Eks. Kantor Unit Lama F</t>
  </si>
  <si>
    <t xml:space="preserve">Service Printer </t>
  </si>
  <si>
    <t>13/PKS/Sarpra&amp;Aset/HKTA-BDU/DivregJanten/2021</t>
  </si>
  <si>
    <t>Ir. Lucy Mardijana</t>
  </si>
  <si>
    <t>Komp. Permata Biru Blok AS, No. 194</t>
  </si>
  <si>
    <t>Pembayaran Per Tahun</t>
  </si>
  <si>
    <t>Pemanfaatan Eks. Kantor Unit Lama G</t>
  </si>
  <si>
    <t xml:space="preserve">Outlet Madu </t>
  </si>
  <si>
    <t>07/PKS/Sarpra&amp;Aset/HKTA-BDU/DivregJanten/2021</t>
  </si>
  <si>
    <t>Zainal Asikin,SE.MM</t>
  </si>
  <si>
    <t>Jln. Taman Semeru No. 12A</t>
  </si>
  <si>
    <t>Habis tidak diperpanjang</t>
  </si>
  <si>
    <t>Pemanfaatan Eks. Kantor Unit Lama H</t>
  </si>
  <si>
    <t xml:space="preserve">Apotek K-24 </t>
  </si>
  <si>
    <t xml:space="preserve">      /PKS/Sarpra&amp;Aset/HKTA-BDU/DivregJanten/2021</t>
  </si>
  <si>
    <t>Fadillah Satria Gama</t>
  </si>
  <si>
    <t>Jln. Sukanagara No. 06</t>
  </si>
  <si>
    <t>Pemanfaatan Eks. Kantor Unit Lama I</t>
  </si>
  <si>
    <t xml:space="preserve">Kedai Kopi Siliwangi </t>
  </si>
  <si>
    <t>08/PKS/Sarpra&amp;Aset/HKTA-BDU/DivregJanten/2021</t>
  </si>
  <si>
    <t>Iwan K</t>
  </si>
  <si>
    <t>Jln Yupiter Barat XI-H2 NO. 33</t>
  </si>
  <si>
    <t>Pemanfaatan Eks. Kantor Unit Lama J</t>
  </si>
  <si>
    <t>Tuko Kue / Cizz (</t>
  </si>
  <si>
    <t>Sella Vidya Ramanda</t>
  </si>
  <si>
    <t>Jl. Tirtawening 18 001/002 Cisurupan Cibiru</t>
  </si>
  <si>
    <t>Pemanfaatan Eks. Kantor Unit Lama K</t>
  </si>
  <si>
    <t xml:space="preserve">Kedai Seafood </t>
  </si>
  <si>
    <t>02/PKS/Sarpra/BDU/Divreg Janten/2022</t>
  </si>
  <si>
    <t>Halim Iskandar</t>
  </si>
  <si>
    <t>Jl.H. Kurdi Timur No.11 010/001 Astana Anyar</t>
  </si>
  <si>
    <t>Pemanfaatan Eks. Kantor Unit Lama L</t>
  </si>
  <si>
    <t>01/PKS/Sarpra/BDU/Divreg Janten/2022</t>
  </si>
  <si>
    <t>09/02/2022</t>
  </si>
  <si>
    <t>Ben Wiryawan</t>
  </si>
  <si>
    <t>Jln. Rajamantri Tengah IV/8, RT 012, RW 004</t>
  </si>
  <si>
    <t>08-02-2024</t>
  </si>
  <si>
    <t>Pemanfaatan Gudang Belakang Unit Lama</t>
  </si>
  <si>
    <t xml:space="preserve">       /PKS/Sarpra&amp;Aset/HKTA-BDU/DivregJanten/2021</t>
  </si>
  <si>
    <t>01-05-2021</t>
  </si>
  <si>
    <t>Heru Senjaya</t>
  </si>
  <si>
    <t>Jl. R.E Martadinata</t>
  </si>
  <si>
    <t>31-06-2021</t>
  </si>
  <si>
    <t>Pemanfaatan Eks. Kantor Unit Lama N</t>
  </si>
  <si>
    <t xml:space="preserve">Gudang BRI </t>
  </si>
  <si>
    <t>05/PKS/Sarpra/BDU/Divreg Janten/2022</t>
  </si>
  <si>
    <t>Daniel K</t>
  </si>
  <si>
    <t>Jln. H. Safari No. 40A, RT 004, RW 006</t>
  </si>
  <si>
    <t>Pemanfaatan Eks. Kantor Unit Lama O</t>
  </si>
  <si>
    <t>09/PKS/Sarpra&amp;Aset/HKTA-BDU/DivregJanten/2021</t>
  </si>
  <si>
    <t>Rian</t>
  </si>
  <si>
    <t>Jln. Ibu Sanki, Gg Setiamanah No. 36</t>
  </si>
  <si>
    <t>Pemanfaatan Eks. Kantor Unit Lama P</t>
  </si>
  <si>
    <t xml:space="preserve">Outlet Tahu Yun Yi </t>
  </si>
  <si>
    <t xml:space="preserve">  17  /PKS/Sarpra&amp;Aset/HKTA-BDU/DivregJanten/2021</t>
  </si>
  <si>
    <t>02-06-2021</t>
  </si>
  <si>
    <t>Putriandra Maharani</t>
  </si>
  <si>
    <t>Jln. Cisitu Lama No 8/160</t>
  </si>
  <si>
    <t>31-05-2022</t>
  </si>
  <si>
    <t>Pemanfaatan Eks. Kantor Unit Lama R</t>
  </si>
  <si>
    <t xml:space="preserve">Barbershop </t>
  </si>
  <si>
    <t>Komp. Puri Budi Asri F-22</t>
  </si>
  <si>
    <t>Proses Penawaran</t>
  </si>
  <si>
    <t>Pemanfaatan Eks. Kantor Unit Lama S</t>
  </si>
  <si>
    <t xml:space="preserve">Kandang Susu </t>
  </si>
  <si>
    <t>Pemanfaatan Eks. Kantor Unit Lama T</t>
  </si>
  <si>
    <t>Rumah Makan / Kedai Ramu</t>
  </si>
  <si>
    <t>27/PKS/Sarpra&amp;Aset/HKTA-BDU/DivregJanten/2020</t>
  </si>
  <si>
    <t>Hendri Donal</t>
  </si>
  <si>
    <t xml:space="preserve">Jalan Pratista Timur III No.19 </t>
  </si>
  <si>
    <t>Pemanfaatan Eks. Kantor Unit Lama V</t>
  </si>
  <si>
    <t>26/PKS/Sarpra&amp;Aset/HKTA-BDU/DivregJanten/2020</t>
  </si>
  <si>
    <t>01-08-2020</t>
  </si>
  <si>
    <t>Alamsyah Putra D</t>
  </si>
  <si>
    <t>Komp. Pasir Jati No.B44, Kel. Jati Endah</t>
  </si>
  <si>
    <t>31-07-2021</t>
  </si>
  <si>
    <t>Pemanfaatan Eks. Kantor Unit Lama W</t>
  </si>
  <si>
    <t>28/PKS/Sarpra&amp;Aset/HKTA-BDU/DivregJanten/2020</t>
  </si>
  <si>
    <t>19-11-2020</t>
  </si>
  <si>
    <t>Ben Wirawan</t>
  </si>
  <si>
    <t>18-11-2022</t>
  </si>
  <si>
    <t xml:space="preserve">Pemanfaatan Tanah Pek. RD KRPH Cibodas </t>
  </si>
  <si>
    <t>Jalan Kayu Ambon, Lembang</t>
  </si>
  <si>
    <t xml:space="preserve">Kantor Advokat </t>
  </si>
  <si>
    <t xml:space="preserve">  19 /PKS/Sarpra&amp;Aset/HKTA-BDU/DivregJanten/2020</t>
  </si>
  <si>
    <t>01-07-2020</t>
  </si>
  <si>
    <t>Undang</t>
  </si>
  <si>
    <t>Jln. Dangdeur No.11</t>
  </si>
  <si>
    <t>30-06-2021</t>
  </si>
  <si>
    <t xml:space="preserve">JNE </t>
  </si>
  <si>
    <t>15/PKS/Sarpra&amp;Aset/HKTA-BDU/DivregJanten/2020</t>
  </si>
  <si>
    <t>01-01-2020</t>
  </si>
  <si>
    <t>Otih</t>
  </si>
  <si>
    <t>Kp. Sukanagara RT 002, RW 004, Kel. Pager Wangi</t>
  </si>
  <si>
    <t xml:space="preserve">PemanfaatanTanah Pek. RD KRPH Cibodas </t>
  </si>
  <si>
    <t xml:space="preserve">Toko Kuliner </t>
  </si>
  <si>
    <t>20/PKS/Sarpra&amp;Aset/HKTA-BDU/DivregJanten/2020</t>
  </si>
  <si>
    <t>Muhidin</t>
  </si>
  <si>
    <t xml:space="preserve">Pemanfaatan Tanah Pek. Asper MBR </t>
  </si>
  <si>
    <t>Jalan Nagrog 22</t>
  </si>
  <si>
    <t xml:space="preserve">Torch </t>
  </si>
  <si>
    <t>05/PKS/Sarpra&amp;Aset/HKTA-BDU/DivregJanten/2021</t>
  </si>
  <si>
    <t>R. Mauolana</t>
  </si>
  <si>
    <t>Kp. Babakan Rt 001, RW 002, Kel. Langensari</t>
  </si>
  <si>
    <t xml:space="preserve">Pemanfaatan Eks, Kantor &amp; RD Asper Cicalengka </t>
  </si>
  <si>
    <t>Jalan Raya Cicalengka, Kec. Tenjolaya</t>
  </si>
  <si>
    <t>AC   582969</t>
  </si>
  <si>
    <t xml:space="preserve">Bengkel Mobil </t>
  </si>
  <si>
    <t>02/PKS/Sarpra&amp;Aset/HKTA-BDU/DivregJanten/2021</t>
  </si>
  <si>
    <t>Cece Sutisna</t>
  </si>
  <si>
    <t>Jln. Cisaranten Wetan RT 002, RW 002</t>
  </si>
  <si>
    <t>Pemanfaatan Tanah Pek. Eks. KRPH Lembang</t>
  </si>
  <si>
    <t>Jalan Raya Pasar Lembang</t>
  </si>
  <si>
    <t>04/PKS/KUM/DIVRE JANTEN/2020</t>
  </si>
  <si>
    <t>Indomart</t>
  </si>
  <si>
    <t>Kp. Warung Peteuy, RT 004, Cicalengka</t>
  </si>
  <si>
    <t xml:space="preserve">Pemanfaatan RD Kasi PSDH </t>
  </si>
  <si>
    <t>Jalan Cilengkrang II</t>
  </si>
  <si>
    <t xml:space="preserve">Laundry </t>
  </si>
  <si>
    <t>23/PKS/Sarpra&amp;Aset/HKTA-BDU/Divreg Janten</t>
  </si>
  <si>
    <t>04-09-2019</t>
  </si>
  <si>
    <t>Nani Romdaeni</t>
  </si>
  <si>
    <t>Jln. Palasari V No. 27</t>
  </si>
  <si>
    <t xml:space="preserve">Pemanfaatan Eks. RD KRPH Kring </t>
  </si>
  <si>
    <t>Jalan Raya Rancaekek Cipacing</t>
  </si>
  <si>
    <t xml:space="preserve">     18/PKS/Sarpra&amp;Aset/HKTA-BDU/DivregJanten/2021</t>
  </si>
  <si>
    <t>06-07-2019</t>
  </si>
  <si>
    <t>H. Tatang Sunjani</t>
  </si>
  <si>
    <t>Jln. Dewi Sartika Rt 002, Rw 002, Kel. Cigereleng</t>
  </si>
  <si>
    <t>05-07-2022</t>
  </si>
  <si>
    <t xml:space="preserve">Pemanfaatan Eks. Pusbahnas </t>
  </si>
  <si>
    <t>Jalan Setiabudi Kota Bandung</t>
  </si>
  <si>
    <t>AC   547425</t>
  </si>
  <si>
    <t>Tempat Penjualan Kusen</t>
  </si>
  <si>
    <t>24/PKS/Sarpra&amp;Aset/HKTA-BDU/Divreg Janten</t>
  </si>
  <si>
    <t>01-09-2019</t>
  </si>
  <si>
    <t>M. Totoh Gunawan</t>
  </si>
  <si>
    <t>Gg. Mahardi 003/002, Desa Lembang</t>
  </si>
  <si>
    <t>31-08-2021</t>
  </si>
  <si>
    <t xml:space="preserve">Pemanfaatan Eks. RD KUHH </t>
  </si>
  <si>
    <t>Gg.Kaum Kulon Ujungberung Kota Bandung</t>
  </si>
  <si>
    <t>AC 582968</t>
  </si>
  <si>
    <t xml:space="preserve">Indomart </t>
  </si>
  <si>
    <t>25/PKS/Sarpra&amp;Aset/HKTA-BDU/DivregJanten/2020</t>
  </si>
  <si>
    <t>01-10-2020</t>
  </si>
  <si>
    <t>Sumilah</t>
  </si>
  <si>
    <t>Ds. Cigending, RT 003, RW 010, Kel. Pasirwangi</t>
  </si>
  <si>
    <t>30-09-2021</t>
  </si>
  <si>
    <t>Pemanfaatan  Pekarangan Eks. Pusbahnas</t>
  </si>
  <si>
    <t>AN 942368</t>
  </si>
  <si>
    <t xml:space="preserve">Cuci Motor </t>
  </si>
  <si>
    <t>14/PKS/Sarpra&amp;Aset/HKTA-BDU/DivregJanten/2021</t>
  </si>
  <si>
    <t xml:space="preserve">Pemanfaatan Tanah Pekarangan Cisarua </t>
  </si>
  <si>
    <t>Jalan Kol.Masturi Cisarua Kab.Bandung Barat</t>
  </si>
  <si>
    <t>AH   928330</t>
  </si>
  <si>
    <t xml:space="preserve">RM Ampera </t>
  </si>
  <si>
    <t>17/PKS/Sarpra&amp;Aset/HKTA-BDU/DivregJanten/2021</t>
  </si>
  <si>
    <t>24-05-2021</t>
  </si>
  <si>
    <t>Nandang Koswara</t>
  </si>
  <si>
    <t>Kp. Cisarua Rt 004, Rw 006, Desa Kertawangi</t>
  </si>
  <si>
    <t>23-05-2023</t>
  </si>
  <si>
    <t xml:space="preserve">Pemanfaatan Eks Kantor PHW </t>
  </si>
  <si>
    <t>AG   438670</t>
  </si>
  <si>
    <t xml:space="preserve">Rumah Makan </t>
  </si>
  <si>
    <t>Pemanfaatan Eks Kantor KBM IHH</t>
  </si>
  <si>
    <t>Jalan A.H.Nasution Ujungberung</t>
  </si>
  <si>
    <t>AQ  194915</t>
  </si>
  <si>
    <t xml:space="preserve">Bimbel </t>
  </si>
  <si>
    <t>Pesta Pora Abadi</t>
  </si>
  <si>
    <t>Pemanfaatan Rumdin Eks KRPH Nagreg</t>
  </si>
  <si>
    <t>03/PKS/Sarpra&amp;Aset/HKTA-BDU/DivregJanten/2021</t>
  </si>
  <si>
    <t>Undang Yayan</t>
  </si>
  <si>
    <t>Cicalengka</t>
  </si>
  <si>
    <t>Pemanfaatan Eks RD RPH Sindangwangi</t>
  </si>
  <si>
    <t>AR  607754</t>
  </si>
  <si>
    <t>04/PKS/Sarpra&amp;Aset/HKTA-BDU/DivregJanten/2021</t>
  </si>
  <si>
    <t>Ali Makin</t>
  </si>
  <si>
    <t>Pemanfaatan Tanah Pek RD TPK Cikalong Wetan</t>
  </si>
  <si>
    <t>Jalan Cikalongwetan ciptagumati Kab.Bandung Barat</t>
  </si>
  <si>
    <t>AF   149780</t>
  </si>
  <si>
    <t>Penjualan Tanaman</t>
  </si>
  <si>
    <t>20/PKS/Sarpra&amp;Aset/HKTA-BDU/DivregJanten/2021</t>
  </si>
  <si>
    <t>01-08-2021</t>
  </si>
  <si>
    <t>Rahmat Raharjo</t>
  </si>
  <si>
    <t>Kp.Warungjati Cikalong wetan</t>
  </si>
  <si>
    <t>31-05-2023</t>
  </si>
  <si>
    <t>Komkpensasi Eksisting Menara Pemancar Telekomunikasi</t>
  </si>
  <si>
    <t>Petak 48b BKPH Lembang</t>
  </si>
  <si>
    <t>001/Sarpra/Bdu/Divre-Janten/2022</t>
  </si>
  <si>
    <t>Dedi Praba saputra</t>
  </si>
  <si>
    <t>Menara BCA Lt.55 Jl.MH.Thamrin No.01 Jakarta</t>
  </si>
  <si>
    <t>30-12-2021</t>
  </si>
  <si>
    <t>29-12-2022</t>
  </si>
  <si>
    <t>baru</t>
  </si>
  <si>
    <t>26/SKM/BDU/DIVREG JANTEN/2021</t>
  </si>
  <si>
    <t>28-12-2021</t>
  </si>
  <si>
    <t>Agus Kuswaya</t>
  </si>
  <si>
    <t>Jl.Ibu Ganiah C36 003/002, Cibeber, Cimahi</t>
  </si>
  <si>
    <t>26-09-2021</t>
  </si>
  <si>
    <t>25-09-2022</t>
  </si>
  <si>
    <t>Pemanfaatan Tanah Pekarangan Jl.Setiabudi Bandung</t>
  </si>
  <si>
    <t>Jalan. Setiabudi 376 Bandung</t>
  </si>
  <si>
    <t>Asep Beben</t>
  </si>
  <si>
    <t>kp. Pasirwangi 005/011 Lembang</t>
  </si>
  <si>
    <t>Ade Mulyono</t>
  </si>
  <si>
    <t>Gedung Telkom Landmark Tower Menara 1, Jl.Jend.Gatot Subroto Kav.52Kuningan Barat Jaksel</t>
  </si>
  <si>
    <t>20-12-2021</t>
  </si>
  <si>
    <t>19-12-2022</t>
  </si>
  <si>
    <t>PLT.Adm Perhutani KPH  KPH BANDUNG UTARA</t>
  </si>
  <si>
    <t>KTU KPH KPH BANDUNG UTARA</t>
  </si>
  <si>
    <t>ARIF MARGHANA, S.HUT, MM.</t>
  </si>
  <si>
    <t>MOHAMAD RIDWAN</t>
  </si>
  <si>
    <t>PHT 19730615199811001</t>
  </si>
  <si>
    <t>PHT19791025 200807 100</t>
  </si>
  <si>
    <t>Awan.N</t>
  </si>
  <si>
    <t>Bagus</t>
  </si>
  <si>
    <t>50</t>
  </si>
  <si>
    <t>Sewa Tanah Pekarangan Cilengkrang blok pinus</t>
  </si>
  <si>
    <t>Yaya Dachyarna</t>
  </si>
  <si>
    <t>Cilengkrang II</t>
  </si>
  <si>
    <t>RENCANA/TARGET PENDAPATAN OPTIMALISASI ASET</t>
  </si>
  <si>
    <t>DIVISI REGIONAL/PeFI :  DIVISI REGIONAL JAWA BARAT &amp; BANTEN</t>
  </si>
  <si>
    <t>TAHUN 2023</t>
  </si>
  <si>
    <t>UNIT KERJA/KPH</t>
  </si>
  <si>
    <t>SATUAN</t>
  </si>
  <si>
    <t>VOLUME</t>
  </si>
  <si>
    <t xml:space="preserve">  TARGET (Rp.) TAHUN 2022</t>
  </si>
  <si>
    <t>% thd Tahun 2022</t>
  </si>
  <si>
    <t>PKS</t>
  </si>
  <si>
    <t>Bangunan Daan Mogot yang di sewa Indomeret akan dibayar th.2023 = 2 thn</t>
  </si>
  <si>
    <t>KPH SUKABUMI</t>
  </si>
  <si>
    <t>Terdapat Pks yang dibayar 2 tahun di tahun 2022</t>
  </si>
  <si>
    <t>KPH PURWAKARTA</t>
  </si>
  <si>
    <t>KPH BANDUNG SELATAN</t>
  </si>
  <si>
    <t>KPH TASIKMALAYA</t>
  </si>
  <si>
    <t>KPH CIAMIS</t>
  </si>
  <si>
    <t>Penambahan Pendapatan dari Tanah Pekarangan RD Panjalu</t>
  </si>
  <si>
    <t>Penambahan Pendapatan dari TPK Ciledug</t>
  </si>
  <si>
    <t>KPH INDRAMAYU</t>
  </si>
  <si>
    <t>KANTOR DIVRE</t>
  </si>
  <si>
    <t>JUMLAH</t>
  </si>
  <si>
    <t>Perpanjang</t>
  </si>
  <si>
    <t>% thd Prog 2022</t>
  </si>
  <si>
    <t xml:space="preserve">  Prognosa sd Des (Rp.) TAHUN 2022</t>
  </si>
  <si>
    <t>NOMOR SKK</t>
  </si>
  <si>
    <t xml:space="preserve">Kantor Unit III Lama </t>
  </si>
  <si>
    <t>48</t>
  </si>
  <si>
    <t>Jl. Laswi No 1 Kelurahan Kacapiring Kec.Batununggal Kota Bandung</t>
  </si>
  <si>
    <t>Kantor TORCH</t>
  </si>
  <si>
    <t>01 B/PKS/Sarpra/BDU/Divreg Janten/2022</t>
  </si>
  <si>
    <t>Ben Wirawan Sudarmaji</t>
  </si>
  <si>
    <t>Jl.Dangdeur Indah No 11 RT 005 RW 001 Kelurahan Sukagalih Kec Sukajadi Kota bandung</t>
  </si>
  <si>
    <t>51</t>
  </si>
  <si>
    <t>Toko Busana</t>
  </si>
  <si>
    <t>Jl. H.Kurdi Timur No 11 RT 010 RW 001 Kelurahan Karasak Kec. Astana Anyar Kota Bandung</t>
  </si>
  <si>
    <t>32</t>
  </si>
  <si>
    <t>Dragon Hot Chicken</t>
  </si>
  <si>
    <t>Sella Vidya Irmanda</t>
  </si>
  <si>
    <t>Jl. Tirtawening No 18 RT 001 RW 002 Kelurahan Cisurupan Kec. Cibiru Kota Bandung</t>
  </si>
  <si>
    <t xml:space="preserve">Jl. Jend.A.Yani No 276 Kelurahan Kacapiring Kec Batununggal kota Bandung </t>
  </si>
  <si>
    <t xml:space="preserve">Kuliner Ramen </t>
  </si>
  <si>
    <t>04/PKS/Sarpra/BDU/Divreg Janten/2022</t>
  </si>
  <si>
    <t xml:space="preserve">Jl. Terusan Jalan Jakarta No 78C RT 001 RW 001 Kelurahan Antapani Tengah Kec Antapani Kota Bandung </t>
  </si>
  <si>
    <t>01-04-2022</t>
  </si>
  <si>
    <t>31-03-2024</t>
  </si>
  <si>
    <t>Outlet Kuliner</t>
  </si>
  <si>
    <t>Daniel Kristano</t>
  </si>
  <si>
    <t>Komplek Permata Indah Blok H-16 RT 005 RW 005 Kelurahan Caringin Kec.Bandung Kulon kota Bandung</t>
  </si>
  <si>
    <t>01-01-2022</t>
  </si>
  <si>
    <t>Pekarangan Rumah Dinas Ajun</t>
  </si>
  <si>
    <t>0</t>
  </si>
  <si>
    <t>Jl. Setiabudi No.367 Kota Bandung</t>
  </si>
  <si>
    <t xml:space="preserve">Kedai Makanan </t>
  </si>
  <si>
    <t>06/PKS/Sarpra/BDU/Divreg Janten/2022</t>
  </si>
  <si>
    <t>Asep Beben Setiawan</t>
  </si>
  <si>
    <t>KP. Pasir Wangi RT 005 RW 011 Kelurahan Gudang Kahuripan Kec Lembang Kabupaten Bandung Barat</t>
  </si>
  <si>
    <t xml:space="preserve">Tanah Pekarangan Kosong </t>
  </si>
  <si>
    <t>600</t>
  </si>
  <si>
    <t>Jl. Cilengkrang II Kelurahan Palasari Kec. Cibiru Kota Bandung</t>
  </si>
  <si>
    <t>Parkir Kendaraan</t>
  </si>
  <si>
    <t>07/PKS/Sarpra/BDU/Divreg Janten/2022</t>
  </si>
  <si>
    <t xml:space="preserve">Jl. Cilengkrang II Kelurahan Palasari kec Cibiru Kota Bandung </t>
  </si>
  <si>
    <t xml:space="preserve">Baru </t>
  </si>
  <si>
    <t>Tanah Pekarangan Eks KBM</t>
  </si>
  <si>
    <t>2000</t>
  </si>
  <si>
    <t xml:space="preserve">Jalan AH Nasution /Jalan Cilengkrang  II Kelurahan Palasari Kec UjungBerung Kota Bandung </t>
  </si>
  <si>
    <t xml:space="preserve">Gacoan </t>
  </si>
  <si>
    <t>09/PKS/Sarpra/BDU/Divreg Janten/2022</t>
  </si>
  <si>
    <t>28-04-2022</t>
  </si>
  <si>
    <t>Ari Yohan arjoto</t>
  </si>
  <si>
    <t xml:space="preserve">Jl. Terusan Sulfat 3K No 141 Kel Sawojajar Kec Kedung Kandang Kota Malang </t>
  </si>
  <si>
    <t>27-10-2024</t>
  </si>
  <si>
    <t xml:space="preserve">Rumah Dinas KPRH </t>
  </si>
  <si>
    <t>70</t>
  </si>
  <si>
    <t>Jl. Raya Cilengkrang Kelurahan Tenolaya Kec. Cicalengka Kabupaten Bandung</t>
  </si>
  <si>
    <t xml:space="preserve">Rumah Makan Pecel Lele </t>
  </si>
  <si>
    <t>10/PKS/Sarpra/BDU/Divreg Janten/2022</t>
  </si>
  <si>
    <t>17-06-2022</t>
  </si>
  <si>
    <t xml:space="preserve">Ali Makin </t>
  </si>
  <si>
    <t>Kp. Kebon Kalapa RT 001 RW 005 Kel. Penenjoan Kec. Cicalengka Kabupaten Bandung</t>
  </si>
  <si>
    <t>45</t>
  </si>
  <si>
    <t>11/PKS/Sarpra/BDU/Divreg Janten/2022</t>
  </si>
  <si>
    <t xml:space="preserve">Kp.Sukaasih RT 002 RW 006 Kelurahan Karanganyar Kec.Kawalu Kota Tasikmalaya </t>
  </si>
  <si>
    <t>32,8</t>
  </si>
  <si>
    <t xml:space="preserve">Jl.Jend .A.Yani No 278 Kelurahan Kacapiring Kec. Batununggal Kota Bandung </t>
  </si>
  <si>
    <t>Kreasi Mandiri</t>
  </si>
  <si>
    <t>12/PKS/Sarpra/BDU/Divreg Janten/2022</t>
  </si>
  <si>
    <t xml:space="preserve">Komplek Permata Biru Blok AS No 194 RT 008 RW 023 Kelurahan Cinunuk Kec. Cileunyi Kabupaten Bandung </t>
  </si>
  <si>
    <t>54</t>
  </si>
  <si>
    <t>Kedai Kopi Siliwangi</t>
  </si>
  <si>
    <t>13/PKS/Sarpra/BDU/Divreg Janten/2022</t>
  </si>
  <si>
    <t>Jl. Yupiter Barat XI Blok H2 No. 33 RT 007 RW 002 Kelurahan Sekejati Kec. Buah Batu Kota Bandung</t>
  </si>
  <si>
    <t>perpanjang</t>
  </si>
  <si>
    <t>Gudang Belakang Kantor Unit Lama Kelurahan Kacapiring Kec. Batutunggal Kota Bandung</t>
  </si>
  <si>
    <t>Gudang Kopi Siliwangi</t>
  </si>
  <si>
    <t>14/PKS/Sarpra/BDU/Divreg Janten/2022</t>
  </si>
  <si>
    <t>110</t>
  </si>
  <si>
    <t>Toko Kue Chizz</t>
  </si>
  <si>
    <t>15/PKS/Sarpra/BDU/Divreg Janten/2022</t>
  </si>
  <si>
    <t>Jl. Martanegara No.52 Kelurahan Turangga Kec. Lengkong Kota Bandung</t>
  </si>
  <si>
    <t>40</t>
  </si>
  <si>
    <t>Barber Shop</t>
  </si>
  <si>
    <t>16/PKS/Sarpra/BDU/Divreg Janten/2022</t>
  </si>
  <si>
    <t>Rian Zulfikar</t>
  </si>
  <si>
    <t>Jl. Ibu sanki Gg. Setiamanah No.36 RT.003 RW.013 Kelurahan Cibeber Kec. Cimahi Selatan Kota Cimahi</t>
  </si>
  <si>
    <t>Toko Lins Caffé Camp</t>
  </si>
  <si>
    <t>17/PKS/Sarpra/BDU/Divreg Janten/2022</t>
  </si>
  <si>
    <t>Ahmad Suhandi Purwana</t>
  </si>
  <si>
    <t>Jl. Cianjur No. 12 RT. 003 RW. 005 Kelurahan Batununggal Kota Bandung</t>
  </si>
  <si>
    <t>01-07-2022</t>
  </si>
  <si>
    <t>30-06-2023</t>
  </si>
  <si>
    <t>Kantor Advokat</t>
  </si>
  <si>
    <t>18/PKS/Sarpra/BDU/Divreg Janten/2022</t>
  </si>
  <si>
    <t>Hendry Donal, SH.,MH</t>
  </si>
  <si>
    <t>Jl. Pratista Timur III No. 19 RT 007 RW. 015 Kelurahan Antapani Kec. Kacamatan Antapani Kota Bandung</t>
  </si>
  <si>
    <t>31-12-2023</t>
  </si>
  <si>
    <t xml:space="preserve">Pekarangan Rumah Dinas KPRH </t>
  </si>
  <si>
    <t>Jl. Kayu Ambon Ds. Lembang Kec. Lembang Kabupaten Bandung Barat</t>
  </si>
  <si>
    <t>Bengkel Mobil</t>
  </si>
  <si>
    <t>19/PKS/Sarpra/BDU/Divreg Janten/2022</t>
  </si>
  <si>
    <t xml:space="preserve">Undang </t>
  </si>
  <si>
    <t>Kp. Sukanegara RT.002 RW.002 Sukanegara Kelurahan Pager wangi Kacamatan Lembang Kabupaten Bandung Barat</t>
  </si>
  <si>
    <t>Warung Nasi &amp; Kusen Kayu</t>
  </si>
  <si>
    <t>20/PKS/Sarpra/BDU/Divreg Janten/2022</t>
  </si>
  <si>
    <t>Otih Hasanah</t>
  </si>
  <si>
    <t>Kp. Sukanegara RT.002 RW.004 Kelurahan Pager Wangi Kacamatan Lembang Kabupaten Bandung Barat</t>
  </si>
  <si>
    <t>80</t>
  </si>
  <si>
    <t>Laundry</t>
  </si>
  <si>
    <t>21/PKS/Sarpra/BDU/Divreg Janten/2022</t>
  </si>
  <si>
    <t xml:space="preserve">Muhidin </t>
  </si>
  <si>
    <t xml:space="preserve">Kp. Sukamulya RT. 001 RW. 002 Kelurahan Cibodas Kacamatan Lembang Kabupaten Bandung Barat </t>
  </si>
  <si>
    <t>Pekarangan Asper/KBKPH Manglayang</t>
  </si>
  <si>
    <t xml:space="preserve">Jl. Nagrog No. 22 Kelurahan Pasang Graham Kec. Ujung Berung Kota Bandung </t>
  </si>
  <si>
    <t>Conter MOF Call</t>
  </si>
  <si>
    <t>22/PKS/Sarpra/BDU/Divreg Janten/2022</t>
  </si>
  <si>
    <t>RD. Maolana Alarmia</t>
  </si>
  <si>
    <t>Jl. Cisaranten Wetan RT. 002 RW. 002 Kelurahan Cisaranten Wetan Kec. Cinambo Kota Bandung</t>
  </si>
  <si>
    <t>Coffe Shop Mamayo</t>
  </si>
  <si>
    <t>23/PKS/Sarpra/BDU/Divreg Janten/2022</t>
  </si>
  <si>
    <t>Mochammad Bagus Ramdani</t>
  </si>
  <si>
    <t>Jl. Sukabumi Dalam RT. 010 RW. 006 Kelurahan Kacapiring Kec. Batununggal Kota Bandung</t>
  </si>
  <si>
    <t>130</t>
  </si>
  <si>
    <t>24/PKS/Sarpra/BDU/Divreg Janten/2022</t>
  </si>
  <si>
    <t>Puspha Indhana</t>
  </si>
  <si>
    <t xml:space="preserve">Jl. Bhayangkara  Gg. Kaswari No. 15 RT. 003 RW. 005 Kelurahan Selabatu Kec. Cikole Kota Sukabumi </t>
  </si>
  <si>
    <t xml:space="preserve">Jl. Jend.H.Yani No. 76 Kelurahan Kacapirang Kec. Batununggal Kota Bandung </t>
  </si>
  <si>
    <t>Kedai Baso Restorja</t>
  </si>
  <si>
    <t>25/PKS/Sarpra/BDU/Divreg Janten/2022</t>
  </si>
  <si>
    <t>Jl. Samoja Dalam RT. 003 RW. 006 Kelurahan Samoja Kec. Batununggal Kota Bandung</t>
  </si>
  <si>
    <t>01-03-2022</t>
  </si>
  <si>
    <t>Kantor Dan Rumah Dinas Asper</t>
  </si>
  <si>
    <t>1.150</t>
  </si>
  <si>
    <t>Jl. Cicalengka N0. 180 Kelurahan Tenjolaya Kec. Cicalengka Kabupaten Bandung</t>
  </si>
  <si>
    <t>Bengkel, Kusen Kayu &amp; Gerai Handphone</t>
  </si>
  <si>
    <t>26/PKS/Sarpra/BDU/Divreg Janten/2022</t>
  </si>
  <si>
    <t xml:space="preserve">Cece Sutisna </t>
  </si>
  <si>
    <t>Jl. Kp Warung Peteuy RT. 041 RW. 002 Kelurahan Panenjoan Kec. Cicalengka No. 180</t>
  </si>
  <si>
    <t>Tanah Pekarangan Kosong DI CILENGKRANG</t>
  </si>
  <si>
    <t>ooutlet madu</t>
  </si>
  <si>
    <t>palawi</t>
  </si>
  <si>
    <t>Tanah Pekarangan Kosong</t>
  </si>
  <si>
    <t>336</t>
  </si>
  <si>
    <t>kantor Torch</t>
  </si>
  <si>
    <t>1010</t>
  </si>
  <si>
    <t>Rumah Makan Ampera</t>
  </si>
  <si>
    <t>45/PKS/Btn/Divre-Janten/2022</t>
  </si>
  <si>
    <t>bayar sewa Perbulan</t>
  </si>
  <si>
    <t>46/PKS/Btn/Divre-Janten/2022</t>
  </si>
  <si>
    <t>47/PKS/Btn/Divre-Janten/2022</t>
  </si>
  <si>
    <t>48/PKS/Btn/Divre-Janten/2022</t>
  </si>
  <si>
    <t>49/PKS/Btn/Divre-Janten/2022</t>
  </si>
  <si>
    <t>50/PKS/Btn/Divre-Janten/2022</t>
  </si>
  <si>
    <t>51/PKS/Btn/Divre-Janten/2022</t>
  </si>
  <si>
    <t>52/PKS/Btn/Divre-Janten/2022</t>
  </si>
  <si>
    <t>53/PKS/Btn/Divre-Janten/2022</t>
  </si>
  <si>
    <t>54/PKS/Btn/Divre-Janten/2022</t>
  </si>
  <si>
    <t>Bayar pertahun</t>
  </si>
  <si>
    <t>55/PKS/Btn/Divre-Janten/2022</t>
  </si>
  <si>
    <t>44/Pks/Btn/Divre-Janten/2021</t>
  </si>
  <si>
    <t>56/PKS/Btn/Divre-Janten/2022</t>
  </si>
  <si>
    <t>Bayar per 2 tahun</t>
  </si>
  <si>
    <t>59/PKS/Btn/Divre-Janten/2022</t>
  </si>
  <si>
    <t>57/PKS/Btn/Divre-Janten/2022</t>
  </si>
  <si>
    <t>29 Juli 2022</t>
  </si>
  <si>
    <t xml:space="preserve"> 29 Juli 2022</t>
  </si>
  <si>
    <t xml:space="preserve"> 28 Juli 2023</t>
  </si>
  <si>
    <t>58/PKS/Btn/Divre-Janten/2022</t>
  </si>
  <si>
    <t>30 agust 2022</t>
  </si>
  <si>
    <t>Eman Suherman</t>
  </si>
  <si>
    <t>Kp.Sampaleun RT.02/03 Desa Haurgajrug Kec.Cipanas kab.Lebak</t>
  </si>
  <si>
    <t>30 Agust 2022</t>
  </si>
  <si>
    <t>29 Agust 2023</t>
  </si>
  <si>
    <t>Halaman &amp; Rumdin Krph Gn.Karang BKPH Pandeglang</t>
  </si>
  <si>
    <t>Jl.Alun alun Timur Pandeglang</t>
  </si>
  <si>
    <t>Kios Kuliner</t>
  </si>
  <si>
    <t>30 Sep 2022</t>
  </si>
  <si>
    <t>Primkopkar KPH Banten</t>
  </si>
  <si>
    <t>Jl.Yumaga No.09 Kota Serang Banten</t>
  </si>
  <si>
    <t>30 Sept 2022</t>
  </si>
  <si>
    <t>29 Sept 2023</t>
  </si>
  <si>
    <t>Pekarangan Kantor Asper/BKPH Pandeglang</t>
  </si>
  <si>
    <t>Sudah No.6222543 tgl, 11-5-81</t>
  </si>
  <si>
    <t>Jalan DK dari DK 1 s/d DK 74</t>
  </si>
  <si>
    <t>Cimanggu Titisan Sukaraja Warung Kondang</t>
  </si>
  <si>
    <t xml:space="preserve">  TARGET (Rp.) TAHUN 2023 (awal)</t>
  </si>
  <si>
    <t xml:space="preserve">  TARGET (Rp.) TAHUN 2023 (koreksi)</t>
  </si>
  <si>
    <t>No</t>
  </si>
  <si>
    <t>%</t>
  </si>
  <si>
    <t>REALISASI PENDAPATAN OPSET sd. DESEMBER 2022</t>
  </si>
  <si>
    <t>&amp; RENCANA PENDAPATAN OPSET TAHUN 2023 DIVRE JANTEN</t>
  </si>
  <si>
    <t>SATKER</t>
  </si>
  <si>
    <t>RKAP 2022</t>
  </si>
  <si>
    <t>REALISASI SD DESEMBER 2022</t>
  </si>
  <si>
    <t>RENCANA PENDAPATAN 2023</t>
  </si>
  <si>
    <t>(JUTA)</t>
  </si>
  <si>
    <t>BDU</t>
  </si>
  <si>
    <t>IDR</t>
  </si>
  <si>
    <t>GRT</t>
  </si>
  <si>
    <t>SMD</t>
  </si>
  <si>
    <t>BTN</t>
  </si>
  <si>
    <t>PWK</t>
  </si>
  <si>
    <t>BGR</t>
  </si>
  <si>
    <t>BDS</t>
  </si>
  <si>
    <t>CJR</t>
  </si>
  <si>
    <t>KNG</t>
  </si>
  <si>
    <t>REALISASI DESEMBER 2022</t>
  </si>
  <si>
    <t>RENCANA</t>
  </si>
  <si>
    <t>REALISASI</t>
  </si>
  <si>
    <t>CMS</t>
  </si>
  <si>
    <t>MJL</t>
  </si>
  <si>
    <t>SMI</t>
  </si>
  <si>
    <t>TSM</t>
  </si>
  <si>
    <t>DIVRE</t>
  </si>
  <si>
    <t>RENCANA 2022</t>
  </si>
  <si>
    <t>REALISASI 2022</t>
  </si>
  <si>
    <t>kenaikan 3 %</t>
  </si>
  <si>
    <t>RKAP Direksi</t>
  </si>
  <si>
    <t>RKAP 2023 KPH</t>
  </si>
  <si>
    <t>clear</t>
  </si>
  <si>
    <t>REALISASI PENDAPATAN                                                                                        (Rp.)</t>
  </si>
  <si>
    <t>M2</t>
  </si>
  <si>
    <t>Didiet S Saputro</t>
  </si>
  <si>
    <t>YULI KURNIASIH</t>
  </si>
  <si>
    <t>Administratur/KKPH.Bogor</t>
  </si>
  <si>
    <t>PHT.19670711200406200</t>
  </si>
  <si>
    <t>Tanah Pekarangan Ex RD Gobang</t>
  </si>
  <si>
    <t>Udin</t>
  </si>
  <si>
    <t>Kp.Cijantur Rt.004/006 Ds.Rabak Kecamatan Rumpin</t>
  </si>
  <si>
    <t>Jalan Raya Rumpin</t>
  </si>
  <si>
    <t>03/071.3/PKS/Bgr/Divre-Janten/2023</t>
  </si>
  <si>
    <t>10 Januari 2023</t>
  </si>
  <si>
    <t>9 Maret  2023</t>
  </si>
  <si>
    <t>07/PKS/Bgr/Divre-Janten/2023</t>
  </si>
  <si>
    <t>03 Januari 2023</t>
  </si>
  <si>
    <t>26 Maret 2023</t>
  </si>
  <si>
    <t>10 Maret 2023</t>
  </si>
  <si>
    <t>10 -3- 2023</t>
  </si>
  <si>
    <t>10 -3- 2024</t>
  </si>
  <si>
    <t>09/PKS/Bgr/Divre-Janten/2023</t>
  </si>
  <si>
    <t>08/PKS/Bgr/Divre-Janten/2023</t>
  </si>
  <si>
    <t>10/PKS/Bgr/Divre-Janten/2023</t>
  </si>
  <si>
    <t>BULAN MEI/MINGGU I TAHUN 2023</t>
  </si>
  <si>
    <t>Bogor,    5 Mei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</si>
</sst>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\-_);_(@_)"/>
    <numFmt numFmtId="166" formatCode="_-* #,##0.00_-;\-* #,##0.00_-;_-* &quot;-&quot;??_-;_-@_-"/>
    <numFmt numFmtId="167" formatCode="_-* #,##0_-;\-* #,##0_-;_-* &quot;-&quot;??_-;_-@_-"/>
    <numFmt numFmtId="168" formatCode="_(* #,##0_);_(* \(#,##0\);_(* &quot;-&quot;??_);_(@_)"/>
    <numFmt numFmtId="169" formatCode="dd/mm/yyyy;@"/>
    <numFmt numFmtId="170" formatCode="_ * #,##0_ ;_ * \-#,##0_ ;_ * &quot;-&quot;??_ ;_ @_ "/>
    <numFmt numFmtId="171" formatCode="_-* #,##0_-;\-* #,##0_-;_-* &quot;-&quot;_-;_-@_-"/>
    <numFmt numFmtId="172" formatCode="_(* #,##0.00_);_(* \(#,##0.00\);_(* &quot;-&quot;_);_(@_)"/>
    <numFmt numFmtId="173" formatCode="[$-F800]dddd\,\ mmmm\ dd\,\ yyyy"/>
    <numFmt numFmtId="174" formatCode="_(* #,##0.00_);_(* \(#,##0.00\);_(* \-??_);_(@_)"/>
    <numFmt numFmtId="175" formatCode="@* &quot;:&quot;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7"/>
      <name val="Tahoma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name val="Calibri"/>
      <family val="2"/>
      <scheme val="minor"/>
    </font>
    <font>
      <b/>
      <i/>
      <u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Tahoma"/>
      <family val="2"/>
    </font>
    <font>
      <sz val="9"/>
      <color theme="1"/>
      <name val="Tahoma"/>
      <family val="2"/>
    </font>
    <font>
      <sz val="9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  <charset val="1"/>
    </font>
    <font>
      <sz val="10"/>
      <color rgb="FF00000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sz val="8"/>
      <name val="Tahoma"/>
      <family val="2"/>
    </font>
    <font>
      <b/>
      <sz val="8"/>
      <color theme="1"/>
      <name val="Tahoma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7"/>
      <name val="Tahoma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  <font>
      <sz val="10"/>
      <name val="Perpetua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b/>
      <sz val="9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color rgb="FFFF0000"/>
      <name val="Tahoma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Calibri"/>
      <family val="2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i/>
      <u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F3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25" fillId="0" borderId="0"/>
    <xf numFmtId="171" fontId="25" fillId="0" borderId="0" applyFont="0" applyFill="0" applyBorder="0" applyAlignment="0" applyProtection="0"/>
    <xf numFmtId="0" fontId="1" fillId="0" borderId="0"/>
    <xf numFmtId="41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4" fontId="39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6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38" fillId="0" borderId="0"/>
    <xf numFmtId="41" fontId="1" fillId="0" borderId="0" applyFont="0" applyFill="0" applyBorder="0" applyAlignment="0" applyProtection="0"/>
    <xf numFmtId="166" fontId="38" fillId="0" borderId="0" applyFont="0" applyFill="0" applyBorder="0" applyAlignment="0" applyProtection="0"/>
    <xf numFmtId="0" fontId="25" fillId="0" borderId="0" applyBorder="0" applyProtection="0"/>
    <xf numFmtId="174" fontId="25" fillId="0" borderId="0" applyFill="0" applyBorder="0" applyAlignment="0" applyProtection="0"/>
    <xf numFmtId="166" fontId="1" fillId="0" borderId="0" applyFont="0" applyFill="0" applyBorder="0" applyAlignment="0" applyProtection="0"/>
    <xf numFmtId="0" fontId="48" fillId="0" borderId="0"/>
    <xf numFmtId="41" fontId="58" fillId="0" borderId="0" applyFont="0" applyFill="0" applyBorder="0" applyAlignment="0" applyProtection="0"/>
    <xf numFmtId="165" fontId="48" fillId="0" borderId="0" applyFill="0" applyBorder="0" applyAlignment="0" applyProtection="0"/>
    <xf numFmtId="0" fontId="1" fillId="0" borderId="0"/>
    <xf numFmtId="0" fontId="48" fillId="0" borderId="0"/>
    <xf numFmtId="43" fontId="62" fillId="0" borderId="0" applyFont="0" applyFill="0" applyBorder="0" applyAlignment="0" applyProtection="0"/>
    <xf numFmtId="4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862">
    <xf numFmtId="0" fontId="0" fillId="0" borderId="0" xfId="0"/>
    <xf numFmtId="0" fontId="2" fillId="0" borderId="0" xfId="0" applyFont="1"/>
    <xf numFmtId="0" fontId="6" fillId="0" borderId="0" xfId="0" applyFont="1"/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8" xfId="0" applyBorder="1"/>
    <xf numFmtId="0" fontId="0" fillId="0" borderId="0" xfId="0" applyAlignment="1">
      <alignment vertical="top"/>
    </xf>
    <xf numFmtId="0" fontId="0" fillId="0" borderId="23" xfId="0" applyBorder="1" applyAlignment="1">
      <alignment vertical="top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165" fontId="10" fillId="0" borderId="27" xfId="0" applyNumberFormat="1" applyFont="1" applyBorder="1"/>
    <xf numFmtId="0" fontId="0" fillId="0" borderId="28" xfId="0" applyBorder="1"/>
    <xf numFmtId="0" fontId="3" fillId="0" borderId="0" xfId="0" applyFont="1"/>
    <xf numFmtId="0" fontId="13" fillId="0" borderId="0" xfId="0" applyFont="1"/>
    <xf numFmtId="165" fontId="0" fillId="0" borderId="0" xfId="0" applyNumberFormat="1"/>
    <xf numFmtId="0" fontId="14" fillId="0" borderId="0" xfId="0" applyFont="1"/>
    <xf numFmtId="41" fontId="0" fillId="0" borderId="0" xfId="2" applyFont="1"/>
    <xf numFmtId="0" fontId="4" fillId="4" borderId="1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41" fontId="0" fillId="0" borderId="21" xfId="2" applyFont="1" applyFill="1" applyBorder="1" applyAlignment="1">
      <alignment horizontal="left"/>
    </xf>
    <xf numFmtId="41" fontId="10" fillId="0" borderId="21" xfId="2" applyFont="1" applyFill="1" applyBorder="1" applyAlignment="1">
      <alignment horizontal="left"/>
    </xf>
    <xf numFmtId="168" fontId="18" fillId="0" borderId="21" xfId="3" applyNumberFormat="1" applyFont="1" applyFill="1" applyBorder="1"/>
    <xf numFmtId="0" fontId="21" fillId="0" borderId="10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0" fillId="0" borderId="31" xfId="0" applyBorder="1"/>
    <xf numFmtId="0" fontId="24" fillId="5" borderId="21" xfId="5" applyFont="1" applyFill="1" applyBorder="1"/>
    <xf numFmtId="41" fontId="10" fillId="0" borderId="32" xfId="6" applyNumberFormat="1" applyFont="1" applyFill="1" applyBorder="1" applyAlignment="1">
      <alignment horizontal="left"/>
    </xf>
    <xf numFmtId="0" fontId="15" fillId="0" borderId="21" xfId="7" applyFont="1" applyBorder="1"/>
    <xf numFmtId="41" fontId="10" fillId="0" borderId="21" xfId="2" quotePrefix="1" applyFont="1" applyFill="1" applyBorder="1" applyAlignment="1">
      <alignment horizontal="left"/>
    </xf>
    <xf numFmtId="171" fontId="26" fillId="5" borderId="21" xfId="8" applyFont="1" applyFill="1" applyBorder="1"/>
    <xf numFmtId="0" fontId="27" fillId="0" borderId="0" xfId="0" applyFont="1"/>
    <xf numFmtId="0" fontId="26" fillId="5" borderId="21" xfId="9" applyFont="1" applyFill="1" applyBorder="1"/>
    <xf numFmtId="41" fontId="0" fillId="0" borderId="21" xfId="2" applyFont="1" applyBorder="1"/>
    <xf numFmtId="171" fontId="0" fillId="0" borderId="21" xfId="0" applyNumberFormat="1" applyBorder="1"/>
    <xf numFmtId="0" fontId="0" fillId="0" borderId="34" xfId="0" applyBorder="1"/>
    <xf numFmtId="41" fontId="10" fillId="0" borderId="21" xfId="6" applyNumberFormat="1" applyFont="1" applyFill="1" applyBorder="1" applyAlignment="1">
      <alignment horizontal="left"/>
    </xf>
    <xf numFmtId="0" fontId="28" fillId="0" borderId="10" xfId="0" applyFont="1" applyBorder="1"/>
    <xf numFmtId="41" fontId="29" fillId="0" borderId="0" xfId="2" applyFont="1" applyFill="1"/>
    <xf numFmtId="41" fontId="6" fillId="0" borderId="0" xfId="2" applyFont="1" applyFill="1"/>
    <xf numFmtId="0" fontId="1" fillId="0" borderId="21" xfId="5" applyBorder="1"/>
    <xf numFmtId="41" fontId="0" fillId="0" borderId="21" xfId="2" applyFont="1" applyFill="1" applyBorder="1"/>
    <xf numFmtId="0" fontId="10" fillId="0" borderId="21" xfId="9" applyFont="1" applyBorder="1"/>
    <xf numFmtId="41" fontId="1" fillId="0" borderId="21" xfId="2" applyFont="1" applyFill="1" applyBorder="1" applyAlignment="1">
      <alignment horizontal="left"/>
    </xf>
    <xf numFmtId="171" fontId="26" fillId="0" borderId="21" xfId="8" applyFont="1" applyFill="1" applyBorder="1"/>
    <xf numFmtId="41" fontId="6" fillId="0" borderId="0" xfId="0" applyNumberFormat="1" applyFont="1"/>
    <xf numFmtId="170" fontId="1" fillId="0" borderId="10" xfId="10" applyNumberFormat="1" applyFont="1" applyFill="1" applyBorder="1" applyAlignment="1"/>
    <xf numFmtId="171" fontId="20" fillId="0" borderId="21" xfId="8" applyFont="1" applyBorder="1" applyAlignment="1">
      <alignment vertical="center"/>
    </xf>
    <xf numFmtId="0" fontId="0" fillId="0" borderId="21" xfId="5" applyFont="1" applyBorder="1"/>
    <xf numFmtId="0" fontId="29" fillId="0" borderId="20" xfId="0" applyFont="1" applyBorder="1"/>
    <xf numFmtId="0" fontId="26" fillId="0" borderId="21" xfId="9" applyFont="1" applyBorder="1"/>
    <xf numFmtId="41" fontId="10" fillId="0" borderId="18" xfId="2" applyFont="1" applyFill="1" applyBorder="1" applyAlignment="1">
      <alignment horizontal="left"/>
    </xf>
    <xf numFmtId="0" fontId="10" fillId="0" borderId="18" xfId="9" applyFont="1" applyBorder="1"/>
    <xf numFmtId="170" fontId="10" fillId="0" borderId="21" xfId="11" applyNumberFormat="1" applyFont="1" applyFill="1" applyBorder="1" applyAlignment="1"/>
    <xf numFmtId="15" fontId="10" fillId="0" borderId="21" xfId="9" quotePrefix="1" applyNumberFormat="1" applyFont="1" applyBorder="1" applyAlignment="1">
      <alignment horizontal="center"/>
    </xf>
    <xf numFmtId="41" fontId="10" fillId="0" borderId="31" xfId="2" applyFont="1" applyFill="1" applyBorder="1" applyAlignment="1">
      <alignment vertical="center"/>
    </xf>
    <xf numFmtId="41" fontId="10" fillId="0" borderId="21" xfId="2" applyFont="1" applyFill="1" applyBorder="1" applyAlignment="1">
      <alignment horizontal="left" vertical="center"/>
    </xf>
    <xf numFmtId="0" fontId="0" fillId="0" borderId="35" xfId="0" applyBorder="1"/>
    <xf numFmtId="41" fontId="10" fillId="0" borderId="18" xfId="2" quotePrefix="1" applyFont="1" applyFill="1" applyBorder="1" applyAlignment="1">
      <alignment horizontal="left"/>
    </xf>
    <xf numFmtId="0" fontId="10" fillId="0" borderId="18" xfId="0" applyFont="1" applyBorder="1"/>
    <xf numFmtId="168" fontId="18" fillId="0" borderId="18" xfId="3" applyNumberFormat="1" applyFont="1" applyFill="1" applyBorder="1"/>
    <xf numFmtId="41" fontId="0" fillId="0" borderId="18" xfId="2" applyFont="1" applyBorder="1"/>
    <xf numFmtId="0" fontId="1" fillId="0" borderId="18" xfId="5" applyBorder="1"/>
    <xf numFmtId="171" fontId="0" fillId="0" borderId="18" xfId="0" applyNumberFormat="1" applyBorder="1"/>
    <xf numFmtId="0" fontId="0" fillId="0" borderId="36" xfId="0" applyBorder="1"/>
    <xf numFmtId="0" fontId="0" fillId="0" borderId="13" xfId="0" applyBorder="1"/>
    <xf numFmtId="168" fontId="0" fillId="0" borderId="13" xfId="0" applyNumberFormat="1" applyBorder="1"/>
    <xf numFmtId="168" fontId="0" fillId="0" borderId="37" xfId="0" applyNumberFormat="1" applyBorder="1"/>
    <xf numFmtId="0" fontId="30" fillId="0" borderId="0" xfId="0" applyFont="1"/>
    <xf numFmtId="0" fontId="10" fillId="0" borderId="0" xfId="0" applyFont="1"/>
    <xf numFmtId="0" fontId="33" fillId="0" borderId="0" xfId="0" applyFont="1"/>
    <xf numFmtId="0" fontId="31" fillId="0" borderId="10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1" fillId="4" borderId="10" xfId="0" applyFont="1" applyFill="1" applyBorder="1" applyAlignment="1">
      <alignment horizontal="center" vertical="center" wrapText="1"/>
    </xf>
    <xf numFmtId="41" fontId="0" fillId="0" borderId="19" xfId="2" applyFont="1" applyBorder="1"/>
    <xf numFmtId="172" fontId="0" fillId="0" borderId="21" xfId="2" applyNumberFormat="1" applyFont="1" applyBorder="1"/>
    <xf numFmtId="165" fontId="9" fillId="0" borderId="21" xfId="2" applyNumberFormat="1" applyFont="1" applyBorder="1"/>
    <xf numFmtId="14" fontId="0" fillId="0" borderId="21" xfId="0" applyNumberFormat="1" applyBorder="1"/>
    <xf numFmtId="41" fontId="0" fillId="0" borderId="21" xfId="0" applyNumberFormat="1" applyBorder="1"/>
    <xf numFmtId="41" fontId="0" fillId="0" borderId="24" xfId="0" applyNumberFormat="1" applyBorder="1"/>
    <xf numFmtId="0" fontId="0" fillId="0" borderId="41" xfId="0" applyBorder="1"/>
    <xf numFmtId="0" fontId="0" fillId="0" borderId="42" xfId="0" applyBorder="1"/>
    <xf numFmtId="165" fontId="9" fillId="0" borderId="42" xfId="2" applyNumberFormat="1" applyFont="1" applyBorder="1"/>
    <xf numFmtId="0" fontId="0" fillId="0" borderId="43" xfId="0" applyBorder="1" applyAlignment="1">
      <alignment vertical="top"/>
    </xf>
    <xf numFmtId="0" fontId="0" fillId="0" borderId="0" xfId="0" applyAlignment="1">
      <alignment horizontal="center"/>
    </xf>
    <xf numFmtId="165" fontId="10" fillId="0" borderId="0" xfId="0" applyNumberFormat="1" applyFont="1"/>
    <xf numFmtId="41" fontId="10" fillId="0" borderId="19" xfId="2" applyFont="1" applyFill="1" applyBorder="1"/>
    <xf numFmtId="41" fontId="10" fillId="0" borderId="20" xfId="2" applyFont="1" applyFill="1" applyBorder="1"/>
    <xf numFmtId="41" fontId="10" fillId="0" borderId="21" xfId="2" applyFont="1" applyFill="1" applyBorder="1"/>
    <xf numFmtId="41" fontId="10" fillId="0" borderId="21" xfId="0" applyNumberFormat="1" applyFont="1" applyBorder="1"/>
    <xf numFmtId="172" fontId="10" fillId="0" borderId="21" xfId="2" applyNumberFormat="1" applyFont="1" applyFill="1" applyBorder="1"/>
    <xf numFmtId="172" fontId="10" fillId="0" borderId="21" xfId="2" applyNumberFormat="1" applyFont="1" applyFill="1" applyBorder="1" applyAlignment="1">
      <alignment horizontal="center"/>
    </xf>
    <xf numFmtId="0" fontId="11" fillId="0" borderId="21" xfId="0" applyFont="1" applyBorder="1"/>
    <xf numFmtId="0" fontId="10" fillId="0" borderId="21" xfId="0" applyFont="1" applyBorder="1" applyAlignment="1">
      <alignment horizontal="center"/>
    </xf>
    <xf numFmtId="165" fontId="9" fillId="0" borderId="21" xfId="2" applyNumberFormat="1" applyFont="1" applyFill="1" applyBorder="1"/>
    <xf numFmtId="14" fontId="10" fillId="0" borderId="21" xfId="0" applyNumberFormat="1" applyFont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14" fontId="11" fillId="0" borderId="21" xfId="0" applyNumberFormat="1" applyFont="1" applyBorder="1"/>
    <xf numFmtId="14" fontId="10" fillId="0" borderId="21" xfId="0" applyNumberFormat="1" applyFont="1" applyBorder="1" applyAlignment="1">
      <alignment horizontal="center"/>
    </xf>
    <xf numFmtId="14" fontId="10" fillId="0" borderId="21" xfId="0" applyNumberFormat="1" applyFont="1" applyBorder="1"/>
    <xf numFmtId="165" fontId="10" fillId="0" borderId="31" xfId="0" applyNumberFormat="1" applyFont="1" applyBorder="1"/>
    <xf numFmtId="167" fontId="10" fillId="0" borderId="31" xfId="1" applyNumberFormat="1" applyFont="1" applyFill="1" applyBorder="1"/>
    <xf numFmtId="41" fontId="0" fillId="0" borderId="21" xfId="2" applyFont="1" applyFill="1" applyBorder="1" applyAlignment="1">
      <alignment horizontal="left" vertical="center"/>
    </xf>
    <xf numFmtId="41" fontId="10" fillId="0" borderId="44" xfId="2" applyFont="1" applyFill="1" applyBorder="1"/>
    <xf numFmtId="41" fontId="10" fillId="0" borderId="35" xfId="2" applyFont="1" applyFill="1" applyBorder="1"/>
    <xf numFmtId="41" fontId="10" fillId="0" borderId="18" xfId="2" applyFont="1" applyFill="1" applyBorder="1"/>
    <xf numFmtId="41" fontId="10" fillId="0" borderId="18" xfId="0" applyNumberFormat="1" applyFont="1" applyBorder="1"/>
    <xf numFmtId="172" fontId="10" fillId="0" borderId="18" xfId="2" applyNumberFormat="1" applyFont="1" applyFill="1" applyBorder="1"/>
    <xf numFmtId="172" fontId="10" fillId="0" borderId="18" xfId="2" applyNumberFormat="1" applyFont="1" applyFill="1" applyBorder="1" applyAlignment="1">
      <alignment horizontal="center"/>
    </xf>
    <xf numFmtId="0" fontId="11" fillId="0" borderId="18" xfId="0" applyFont="1" applyBorder="1"/>
    <xf numFmtId="0" fontId="0" fillId="0" borderId="18" xfId="0" applyBorder="1" applyAlignment="1">
      <alignment horizontal="center"/>
    </xf>
    <xf numFmtId="165" fontId="9" fillId="0" borderId="18" xfId="2" applyNumberFormat="1" applyFont="1" applyFill="1" applyBorder="1"/>
    <xf numFmtId="41" fontId="0" fillId="0" borderId="18" xfId="2" applyFont="1" applyFill="1" applyBorder="1" applyAlignment="1">
      <alignment horizontal="left"/>
    </xf>
    <xf numFmtId="14" fontId="10" fillId="0" borderId="18" xfId="0" applyNumberFormat="1" applyFont="1" applyBorder="1" applyAlignment="1">
      <alignment horizontal="left" vertical="center"/>
    </xf>
    <xf numFmtId="41" fontId="0" fillId="0" borderId="18" xfId="2" applyFont="1" applyFill="1" applyBorder="1" applyAlignment="1">
      <alignment horizontal="left" vertical="center"/>
    </xf>
    <xf numFmtId="41" fontId="0" fillId="0" borderId="18" xfId="0" applyNumberFormat="1" applyBorder="1"/>
    <xf numFmtId="14" fontId="11" fillId="0" borderId="18" xfId="0" applyNumberFormat="1" applyFont="1" applyBorder="1"/>
    <xf numFmtId="14" fontId="10" fillId="0" borderId="18" xfId="0" applyNumberFormat="1" applyFont="1" applyBorder="1" applyAlignment="1">
      <alignment horizontal="center"/>
    </xf>
    <xf numFmtId="14" fontId="10" fillId="0" borderId="18" xfId="0" applyNumberFormat="1" applyFont="1" applyBorder="1"/>
    <xf numFmtId="165" fontId="10" fillId="0" borderId="10" xfId="0" applyNumberFormat="1" applyFont="1" applyBorder="1"/>
    <xf numFmtId="167" fontId="10" fillId="0" borderId="10" xfId="1" applyNumberFormat="1" applyFont="1" applyFill="1" applyBorder="1"/>
    <xf numFmtId="0" fontId="0" fillId="0" borderId="13" xfId="0" applyBorder="1" applyAlignment="1">
      <alignment horizontal="center"/>
    </xf>
    <xf numFmtId="165" fontId="10" fillId="0" borderId="13" xfId="0" applyNumberFormat="1" applyFont="1" applyBorder="1"/>
    <xf numFmtId="0" fontId="3" fillId="0" borderId="13" xfId="0" applyFont="1" applyBorder="1"/>
    <xf numFmtId="165" fontId="0" fillId="0" borderId="13" xfId="0" applyNumberFormat="1" applyBorder="1"/>
    <xf numFmtId="41" fontId="20" fillId="0" borderId="0" xfId="2" applyFont="1"/>
    <xf numFmtId="0" fontId="37" fillId="0" borderId="0" xfId="0" applyFont="1"/>
    <xf numFmtId="0" fontId="0" fillId="0" borderId="10" xfId="0" applyBorder="1" applyAlignment="1">
      <alignment horizontal="center"/>
    </xf>
    <xf numFmtId="41" fontId="0" fillId="0" borderId="0" xfId="0" applyNumberFormat="1"/>
    <xf numFmtId="41" fontId="0" fillId="3" borderId="21" xfId="2" applyFont="1" applyFill="1" applyBorder="1" applyAlignment="1">
      <alignment horizontal="left"/>
    </xf>
    <xf numFmtId="0" fontId="3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1" fontId="42" fillId="0" borderId="0" xfId="15" applyFont="1" applyFill="1"/>
    <xf numFmtId="41" fontId="43" fillId="0" borderId="0" xfId="15" applyFont="1" applyFill="1"/>
    <xf numFmtId="0" fontId="43" fillId="0" borderId="0" xfId="9" applyFont="1"/>
    <xf numFmtId="0" fontId="15" fillId="3" borderId="0" xfId="9" applyFont="1" applyFill="1" applyAlignment="1">
      <alignment horizontal="center" vertical="center" wrapText="1"/>
    </xf>
    <xf numFmtId="0" fontId="43" fillId="0" borderId="0" xfId="9" applyFont="1" applyAlignment="1">
      <alignment horizontal="center"/>
    </xf>
    <xf numFmtId="0" fontId="15" fillId="3" borderId="0" xfId="9" applyFont="1" applyFill="1" applyAlignment="1">
      <alignment horizontal="center" vertical="center"/>
    </xf>
    <xf numFmtId="41" fontId="43" fillId="0" borderId="0" xfId="15" applyFont="1" applyFill="1" applyAlignment="1">
      <alignment horizontal="center" vertical="center"/>
    </xf>
    <xf numFmtId="0" fontId="15" fillId="0" borderId="0" xfId="9" applyFont="1"/>
    <xf numFmtId="0" fontId="43" fillId="0" borderId="10" xfId="9" applyFont="1" applyBorder="1" applyAlignment="1">
      <alignment horizontal="center" vertical="center" wrapText="1"/>
    </xf>
    <xf numFmtId="0" fontId="43" fillId="0" borderId="9" xfId="9" applyFont="1" applyBorder="1" applyAlignment="1">
      <alignment horizontal="center" vertical="center" wrapText="1"/>
    </xf>
    <xf numFmtId="0" fontId="43" fillId="0" borderId="11" xfId="9" applyFont="1" applyBorder="1" applyAlignment="1">
      <alignment horizontal="center" vertical="center"/>
    </xf>
    <xf numFmtId="0" fontId="43" fillId="0" borderId="11" xfId="9" applyFont="1" applyBorder="1" applyAlignment="1">
      <alignment horizontal="center" vertical="center" wrapText="1"/>
    </xf>
    <xf numFmtId="0" fontId="43" fillId="6" borderId="11" xfId="9" applyFont="1" applyFill="1" applyBorder="1" applyAlignment="1">
      <alignment horizontal="center" vertical="center"/>
    </xf>
    <xf numFmtId="0" fontId="43" fillId="0" borderId="10" xfId="9" applyFont="1" applyBorder="1"/>
    <xf numFmtId="41" fontId="42" fillId="0" borderId="10" xfId="15" applyFont="1" applyFill="1" applyBorder="1"/>
    <xf numFmtId="165" fontId="43" fillId="0" borderId="10" xfId="15" applyNumberFormat="1" applyFont="1" applyFill="1" applyBorder="1"/>
    <xf numFmtId="0" fontId="43" fillId="0" borderId="10" xfId="9" applyFont="1" applyBorder="1" applyAlignment="1">
      <alignment horizontal="center"/>
    </xf>
    <xf numFmtId="0" fontId="43" fillId="0" borderId="10" xfId="9" applyFont="1" applyBorder="1" applyAlignment="1">
      <alignment wrapText="1"/>
    </xf>
    <xf numFmtId="0" fontId="43" fillId="2" borderId="10" xfId="9" applyFont="1" applyFill="1" applyBorder="1"/>
    <xf numFmtId="0" fontId="43" fillId="0" borderId="21" xfId="9" applyFont="1" applyBorder="1" applyAlignment="1">
      <alignment horizontal="center"/>
    </xf>
    <xf numFmtId="41" fontId="43" fillId="0" borderId="20" xfId="15" applyFont="1" applyFill="1" applyBorder="1"/>
    <xf numFmtId="41" fontId="43" fillId="0" borderId="21" xfId="16" applyFont="1" applyFill="1" applyBorder="1" applyAlignment="1">
      <alignment horizontal="left"/>
    </xf>
    <xf numFmtId="41" fontId="43" fillId="0" borderId="21" xfId="15" applyFont="1" applyFill="1" applyBorder="1" applyAlignment="1">
      <alignment horizontal="left"/>
    </xf>
    <xf numFmtId="41" fontId="43" fillId="0" borderId="21" xfId="15" applyFont="1" applyFill="1" applyBorder="1" applyAlignment="1">
      <alignment horizontal="center"/>
    </xf>
    <xf numFmtId="41" fontId="43" fillId="0" borderId="21" xfId="15" applyFont="1" applyFill="1" applyBorder="1"/>
    <xf numFmtId="41" fontId="43" fillId="0" borderId="22" xfId="15" applyFont="1" applyFill="1" applyBorder="1" applyAlignment="1" applyProtection="1">
      <alignment horizontal="center"/>
    </xf>
    <xf numFmtId="165" fontId="43" fillId="0" borderId="21" xfId="15" applyNumberFormat="1" applyFont="1" applyFill="1" applyBorder="1"/>
    <xf numFmtId="0" fontId="43" fillId="0" borderId="21" xfId="9" quotePrefix="1" applyFont="1" applyBorder="1" applyAlignment="1">
      <alignment horizontal="center" vertical="center"/>
    </xf>
    <xf numFmtId="41" fontId="43" fillId="0" borderId="21" xfId="15" quotePrefix="1" applyFont="1" applyFill="1" applyBorder="1" applyAlignment="1">
      <alignment horizontal="center" vertical="center"/>
    </xf>
    <xf numFmtId="41" fontId="43" fillId="0" borderId="24" xfId="15" quotePrefix="1" applyFont="1" applyFill="1" applyBorder="1" applyAlignment="1">
      <alignment horizontal="left"/>
    </xf>
    <xf numFmtId="169" fontId="43" fillId="0" borderId="21" xfId="9" applyNumberFormat="1" applyFont="1" applyBorder="1" applyAlignment="1">
      <alignment horizontal="center" vertical="center"/>
    </xf>
    <xf numFmtId="167" fontId="43" fillId="0" borderId="21" xfId="17" applyNumberFormat="1" applyFont="1" applyFill="1" applyBorder="1"/>
    <xf numFmtId="165" fontId="43" fillId="0" borderId="21" xfId="9" applyNumberFormat="1" applyFont="1" applyBorder="1"/>
    <xf numFmtId="41" fontId="43" fillId="2" borderId="21" xfId="15" applyFont="1" applyFill="1" applyBorder="1" applyAlignment="1">
      <alignment horizontal="left"/>
    </xf>
    <xf numFmtId="41" fontId="43" fillId="2" borderId="21" xfId="15" applyFont="1" applyFill="1" applyBorder="1"/>
    <xf numFmtId="167" fontId="43" fillId="0" borderId="21" xfId="9" applyNumberFormat="1" applyFont="1" applyBorder="1"/>
    <xf numFmtId="41" fontId="43" fillId="0" borderId="0" xfId="15" applyFont="1"/>
    <xf numFmtId="41" fontId="43" fillId="0" borderId="21" xfId="18" applyFont="1" applyFill="1" applyBorder="1" applyAlignment="1">
      <alignment horizontal="center" vertical="center"/>
    </xf>
    <xf numFmtId="41" fontId="43" fillId="0" borderId="24" xfId="15" applyFont="1" applyFill="1" applyBorder="1" applyAlignment="1">
      <alignment horizontal="left"/>
    </xf>
    <xf numFmtId="41" fontId="43" fillId="0" borderId="21" xfId="15" applyFont="1" applyBorder="1" applyAlignment="1">
      <alignment horizontal="center"/>
    </xf>
    <xf numFmtId="41" fontId="43" fillId="0" borderId="0" xfId="9" applyNumberFormat="1" applyFont="1"/>
    <xf numFmtId="41" fontId="43" fillId="0" borderId="21" xfId="15" applyFont="1" applyFill="1" applyBorder="1" applyAlignment="1">
      <alignment horizontal="center" vertical="center"/>
    </xf>
    <xf numFmtId="0" fontId="43" fillId="0" borderId="21" xfId="9" applyFont="1" applyBorder="1"/>
    <xf numFmtId="41" fontId="43" fillId="0" borderId="47" xfId="15" applyFont="1" applyFill="1" applyBorder="1"/>
    <xf numFmtId="41" fontId="43" fillId="0" borderId="21" xfId="15" quotePrefix="1" applyFont="1" applyFill="1" applyBorder="1" applyAlignment="1">
      <alignment horizontal="center"/>
    </xf>
    <xf numFmtId="41" fontId="43" fillId="0" borderId="31" xfId="15" applyFont="1" applyFill="1" applyBorder="1"/>
    <xf numFmtId="41" fontId="43" fillId="0" borderId="21" xfId="16" applyFont="1" applyFill="1" applyBorder="1"/>
    <xf numFmtId="41" fontId="43" fillId="0" borderId="21" xfId="15" applyFont="1" applyFill="1" applyBorder="1" applyAlignment="1">
      <alignment vertical="center"/>
    </xf>
    <xf numFmtId="41" fontId="43" fillId="0" borderId="48" xfId="15" quotePrefix="1" applyFont="1" applyFill="1" applyBorder="1" applyAlignment="1">
      <alignment horizontal="left"/>
    </xf>
    <xf numFmtId="0" fontId="43" fillId="0" borderId="47" xfId="9" applyFont="1" applyBorder="1"/>
    <xf numFmtId="14" fontId="43" fillId="0" borderId="21" xfId="15" quotePrefix="1" applyNumberFormat="1" applyFont="1" applyFill="1" applyBorder="1" applyAlignment="1">
      <alignment horizontal="center" vertical="center"/>
    </xf>
    <xf numFmtId="0" fontId="43" fillId="0" borderId="21" xfId="15" applyNumberFormat="1" applyFont="1" applyFill="1" applyBorder="1" applyAlignment="1">
      <alignment horizontal="left"/>
    </xf>
    <xf numFmtId="41" fontId="43" fillId="0" borderId="35" xfId="15" applyFont="1" applyFill="1" applyBorder="1"/>
    <xf numFmtId="41" fontId="43" fillId="0" borderId="47" xfId="16" applyFont="1" applyFill="1" applyBorder="1" applyAlignment="1">
      <alignment horizontal="left"/>
    </xf>
    <xf numFmtId="41" fontId="43" fillId="0" borderId="47" xfId="15" applyFont="1" applyFill="1" applyBorder="1" applyAlignment="1">
      <alignment horizontal="left"/>
    </xf>
    <xf numFmtId="41" fontId="43" fillId="0" borderId="49" xfId="15" applyFont="1" applyFill="1" applyBorder="1" applyAlignment="1" applyProtection="1">
      <alignment horizontal="center"/>
    </xf>
    <xf numFmtId="165" fontId="43" fillId="0" borderId="47" xfId="15" applyNumberFormat="1" applyFont="1" applyFill="1" applyBorder="1"/>
    <xf numFmtId="41" fontId="43" fillId="0" borderId="47" xfId="15" applyFont="1" applyFill="1" applyBorder="1" applyAlignment="1">
      <alignment horizontal="center" vertical="center"/>
    </xf>
    <xf numFmtId="14" fontId="43" fillId="0" borderId="47" xfId="15" quotePrefix="1" applyNumberFormat="1" applyFont="1" applyFill="1" applyBorder="1" applyAlignment="1">
      <alignment horizontal="center" vertical="center"/>
    </xf>
    <xf numFmtId="0" fontId="43" fillId="0" borderId="47" xfId="9" applyFont="1" applyBorder="1" applyAlignment="1">
      <alignment horizontal="center"/>
    </xf>
    <xf numFmtId="0" fontId="43" fillId="0" borderId="47" xfId="15" applyNumberFormat="1" applyFont="1" applyFill="1" applyBorder="1" applyAlignment="1">
      <alignment horizontal="left"/>
    </xf>
    <xf numFmtId="41" fontId="43" fillId="0" borderId="50" xfId="15" quotePrefix="1" applyFont="1" applyFill="1" applyBorder="1" applyAlignment="1">
      <alignment horizontal="left"/>
    </xf>
    <xf numFmtId="169" fontId="43" fillId="0" borderId="47" xfId="9" applyNumberFormat="1" applyFont="1" applyBorder="1" applyAlignment="1">
      <alignment horizontal="center" vertical="center"/>
    </xf>
    <xf numFmtId="167" fontId="43" fillId="0" borderId="47" xfId="17" applyNumberFormat="1" applyFont="1" applyFill="1" applyBorder="1"/>
    <xf numFmtId="165" fontId="43" fillId="0" borderId="47" xfId="9" applyNumberFormat="1" applyFont="1" applyBorder="1"/>
    <xf numFmtId="41" fontId="43" fillId="2" borderId="47" xfId="15" applyFont="1" applyFill="1" applyBorder="1" applyAlignment="1">
      <alignment horizontal="left"/>
    </xf>
    <xf numFmtId="0" fontId="42" fillId="0" borderId="13" xfId="9" applyFont="1" applyBorder="1"/>
    <xf numFmtId="165" fontId="42" fillId="0" borderId="13" xfId="9" applyNumberFormat="1" applyFont="1" applyBorder="1"/>
    <xf numFmtId="41" fontId="42" fillId="0" borderId="13" xfId="15" applyFont="1" applyFill="1" applyBorder="1" applyAlignment="1">
      <alignment horizontal="left"/>
    </xf>
    <xf numFmtId="0" fontId="42" fillId="0" borderId="9" xfId="9" applyFont="1" applyBorder="1"/>
    <xf numFmtId="0" fontId="42" fillId="0" borderId="0" xfId="9" applyFont="1"/>
    <xf numFmtId="41" fontId="42" fillId="0" borderId="0" xfId="15" applyFont="1" applyFill="1" applyBorder="1"/>
    <xf numFmtId="0" fontId="42" fillId="0" borderId="0" xfId="9" applyFont="1" applyAlignment="1">
      <alignment horizontal="center"/>
    </xf>
    <xf numFmtId="165" fontId="42" fillId="0" borderId="0" xfId="9" applyNumberFormat="1" applyFont="1"/>
    <xf numFmtId="41" fontId="42" fillId="0" borderId="0" xfId="15" applyFont="1"/>
    <xf numFmtId="167" fontId="42" fillId="0" borderId="0" xfId="17" applyNumberFormat="1" applyFont="1" applyFill="1" applyBorder="1"/>
    <xf numFmtId="169" fontId="43" fillId="0" borderId="0" xfId="9" applyNumberFormat="1" applyFont="1" applyAlignment="1">
      <alignment horizontal="center" vertical="center"/>
    </xf>
    <xf numFmtId="41" fontId="44" fillId="2" borderId="0" xfId="15" applyFont="1" applyFill="1"/>
    <xf numFmtId="165" fontId="43" fillId="0" borderId="0" xfId="9" applyNumberFormat="1" applyFont="1"/>
    <xf numFmtId="3" fontId="45" fillId="0" borderId="0" xfId="9" applyNumberFormat="1" applyFont="1"/>
    <xf numFmtId="169" fontId="43" fillId="0" borderId="0" xfId="9" applyNumberFormat="1" applyFont="1"/>
    <xf numFmtId="0" fontId="0" fillId="0" borderId="47" xfId="0" applyBorder="1"/>
    <xf numFmtId="0" fontId="10" fillId="3" borderId="19" xfId="0" applyFont="1" applyFill="1" applyBorder="1" applyAlignment="1">
      <alignment horizontal="center"/>
    </xf>
    <xf numFmtId="0" fontId="10" fillId="3" borderId="21" xfId="0" applyFont="1" applyFill="1" applyBorder="1"/>
    <xf numFmtId="164" fontId="10" fillId="3" borderId="21" xfId="12" applyFont="1" applyFill="1" applyBorder="1" applyAlignment="1"/>
    <xf numFmtId="0" fontId="10" fillId="3" borderId="21" xfId="0" applyFont="1" applyFill="1" applyBorder="1" applyAlignment="1">
      <alignment horizontal="center"/>
    </xf>
    <xf numFmtId="0" fontId="20" fillId="3" borderId="51" xfId="2" applyNumberFormat="1" applyFont="1" applyFill="1" applyBorder="1" applyAlignment="1" applyProtection="1">
      <alignment horizontal="center"/>
    </xf>
    <xf numFmtId="165" fontId="9" fillId="3" borderId="21" xfId="12" applyNumberFormat="1" applyFont="1" applyFill="1" applyBorder="1"/>
    <xf numFmtId="164" fontId="10" fillId="3" borderId="21" xfId="12" applyFont="1" applyFill="1" applyBorder="1" applyAlignment="1">
      <alignment horizontal="left"/>
    </xf>
    <xf numFmtId="14" fontId="10" fillId="3" borderId="21" xfId="12" quotePrefix="1" applyNumberFormat="1" applyFont="1" applyFill="1" applyBorder="1" applyAlignment="1">
      <alignment horizontal="center"/>
    </xf>
    <xf numFmtId="168" fontId="17" fillId="3" borderId="21" xfId="3" applyNumberFormat="1" applyFont="1" applyFill="1" applyBorder="1"/>
    <xf numFmtId="165" fontId="10" fillId="3" borderId="21" xfId="0" applyNumberFormat="1" applyFont="1" applyFill="1" applyBorder="1"/>
    <xf numFmtId="41" fontId="10" fillId="0" borderId="21" xfId="19" applyFont="1" applyFill="1" applyBorder="1"/>
    <xf numFmtId="41" fontId="10" fillId="3" borderId="21" xfId="19" applyFont="1" applyFill="1" applyBorder="1"/>
    <xf numFmtId="0" fontId="11" fillId="3" borderId="21" xfId="0" applyFont="1" applyFill="1" applyBorder="1"/>
    <xf numFmtId="167" fontId="10" fillId="3" borderId="21" xfId="4" applyNumberFormat="1" applyFont="1" applyFill="1" applyBorder="1"/>
    <xf numFmtId="0" fontId="11" fillId="3" borderId="24" xfId="0" applyFont="1" applyFill="1" applyBorder="1"/>
    <xf numFmtId="0" fontId="10" fillId="3" borderId="47" xfId="0" applyFont="1" applyFill="1" applyBorder="1" applyAlignment="1">
      <alignment horizontal="center"/>
    </xf>
    <xf numFmtId="164" fontId="10" fillId="3" borderId="10" xfId="12" applyFont="1" applyFill="1" applyBorder="1" applyAlignment="1">
      <alignment horizontal="left"/>
    </xf>
    <xf numFmtId="0" fontId="10" fillId="3" borderId="47" xfId="0" applyFont="1" applyFill="1" applyBorder="1"/>
    <xf numFmtId="164" fontId="10" fillId="3" borderId="47" xfId="12" applyFont="1" applyFill="1" applyBorder="1" applyAlignment="1"/>
    <xf numFmtId="0" fontId="11" fillId="3" borderId="47" xfId="0" applyFont="1" applyFill="1" applyBorder="1"/>
    <xf numFmtId="165" fontId="9" fillId="3" borderId="47" xfId="12" applyNumberFormat="1" applyFont="1" applyFill="1" applyBorder="1"/>
    <xf numFmtId="164" fontId="10" fillId="3" borderId="47" xfId="12" applyFont="1" applyFill="1" applyBorder="1" applyAlignment="1">
      <alignment horizontal="left"/>
    </xf>
    <xf numFmtId="165" fontId="10" fillId="3" borderId="47" xfId="0" applyNumberFormat="1" applyFont="1" applyFill="1" applyBorder="1"/>
    <xf numFmtId="0" fontId="10" fillId="3" borderId="10" xfId="0" applyFont="1" applyFill="1" applyBorder="1"/>
    <xf numFmtId="165" fontId="9" fillId="3" borderId="21" xfId="2" applyNumberFormat="1" applyFont="1" applyFill="1" applyBorder="1"/>
    <xf numFmtId="0" fontId="20" fillId="3" borderId="49" xfId="2" applyNumberFormat="1" applyFont="1" applyFill="1" applyBorder="1" applyAlignment="1" applyProtection="1">
      <alignment horizontal="center"/>
    </xf>
    <xf numFmtId="165" fontId="9" fillId="3" borderId="52" xfId="2" applyNumberFormat="1" applyFont="1" applyFill="1" applyBorder="1"/>
    <xf numFmtId="173" fontId="10" fillId="3" borderId="21" xfId="12" quotePrefix="1" applyNumberFormat="1" applyFont="1" applyFill="1" applyBorder="1" applyAlignment="1">
      <alignment horizontal="center"/>
    </xf>
    <xf numFmtId="0" fontId="10" fillId="3" borderId="52" xfId="0" applyFont="1" applyFill="1" applyBorder="1" applyAlignment="1">
      <alignment horizontal="center"/>
    </xf>
    <xf numFmtId="164" fontId="10" fillId="3" borderId="52" xfId="12" applyFont="1" applyFill="1" applyBorder="1" applyAlignment="1">
      <alignment horizontal="left"/>
    </xf>
    <xf numFmtId="0" fontId="10" fillId="3" borderId="52" xfId="0" applyFont="1" applyFill="1" applyBorder="1"/>
    <xf numFmtId="165" fontId="10" fillId="3" borderId="52" xfId="0" applyNumberFormat="1" applyFont="1" applyFill="1" applyBorder="1"/>
    <xf numFmtId="0" fontId="10" fillId="3" borderId="21" xfId="0" quotePrefix="1" applyFont="1" applyFill="1" applyBorder="1" applyAlignment="1">
      <alignment horizontal="center"/>
    </xf>
    <xf numFmtId="41" fontId="2" fillId="0" borderId="0" xfId="2" applyFont="1" applyFill="1"/>
    <xf numFmtId="41" fontId="0" fillId="0" borderId="0" xfId="2" applyFont="1" applyFill="1"/>
    <xf numFmtId="2" fontId="0" fillId="0" borderId="0" xfId="0" applyNumberFormat="1"/>
    <xf numFmtId="0" fontId="49" fillId="0" borderId="10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 wrapText="1"/>
    </xf>
    <xf numFmtId="41" fontId="20" fillId="0" borderId="21" xfId="2" applyFont="1" applyFill="1" applyBorder="1" applyAlignment="1">
      <alignment horizontal="center"/>
    </xf>
    <xf numFmtId="166" fontId="21" fillId="0" borderId="21" xfId="17" applyFont="1" applyFill="1" applyBorder="1" applyAlignment="1">
      <alignment horizontal="left"/>
    </xf>
    <xf numFmtId="0" fontId="21" fillId="0" borderId="21" xfId="0" applyFont="1" applyBorder="1" applyAlignment="1">
      <alignment horizontal="center"/>
    </xf>
    <xf numFmtId="172" fontId="10" fillId="0" borderId="21" xfId="2" applyNumberFormat="1" applyFont="1" applyFill="1" applyBorder="1" applyAlignment="1">
      <alignment horizontal="center" vertical="center"/>
    </xf>
    <xf numFmtId="41" fontId="21" fillId="0" borderId="21" xfId="2" applyFont="1" applyFill="1" applyBorder="1" applyAlignment="1">
      <alignment horizontal="left"/>
    </xf>
    <xf numFmtId="0" fontId="21" fillId="0" borderId="21" xfId="0" applyFont="1" applyBorder="1" applyAlignment="1">
      <alignment horizontal="left" vertical="center"/>
    </xf>
    <xf numFmtId="14" fontId="21" fillId="0" borderId="21" xfId="0" applyNumberFormat="1" applyFont="1" applyBorder="1" applyAlignment="1">
      <alignment horizontal="center"/>
    </xf>
    <xf numFmtId="0" fontId="21" fillId="0" borderId="21" xfId="0" applyFont="1" applyBorder="1" applyAlignment="1">
      <alignment vertical="center"/>
    </xf>
    <xf numFmtId="0" fontId="10" fillId="0" borderId="21" xfId="0" applyFont="1" applyBorder="1"/>
    <xf numFmtId="167" fontId="21" fillId="0" borderId="21" xfId="17" applyNumberFormat="1" applyFont="1" applyFill="1" applyBorder="1" applyAlignment="1">
      <alignment vertical="center"/>
    </xf>
    <xf numFmtId="167" fontId="10" fillId="0" borderId="21" xfId="17" applyNumberFormat="1" applyFont="1" applyFill="1" applyBorder="1"/>
    <xf numFmtId="165" fontId="10" fillId="0" borderId="21" xfId="0" applyNumberFormat="1" applyFont="1" applyBorder="1"/>
    <xf numFmtId="0" fontId="4" fillId="0" borderId="21" xfId="0" applyFont="1" applyBorder="1" applyAlignment="1">
      <alignment horizontal="center" vertical="center"/>
    </xf>
    <xf numFmtId="172" fontId="20" fillId="0" borderId="21" xfId="2" applyNumberFormat="1" applyFont="1" applyFill="1" applyBorder="1" applyAlignment="1">
      <alignment horizontal="center"/>
    </xf>
    <xf numFmtId="0" fontId="9" fillId="0" borderId="21" xfId="0" applyFont="1" applyBorder="1"/>
    <xf numFmtId="0" fontId="20" fillId="0" borderId="21" xfId="0" applyFont="1" applyBorder="1" applyAlignment="1">
      <alignment horizontal="center"/>
    </xf>
    <xf numFmtId="0" fontId="20" fillId="0" borderId="21" xfId="0" applyFont="1" applyBorder="1"/>
    <xf numFmtId="165" fontId="20" fillId="0" borderId="21" xfId="0" applyNumberFormat="1" applyFont="1" applyBorder="1"/>
    <xf numFmtId="0" fontId="15" fillId="0" borderId="0" xfId="0" applyFont="1"/>
    <xf numFmtId="41" fontId="21" fillId="0" borderId="21" xfId="0" applyNumberFormat="1" applyFont="1" applyBorder="1"/>
    <xf numFmtId="0" fontId="10" fillId="0" borderId="21" xfId="0" applyFont="1" applyBorder="1" applyAlignment="1">
      <alignment horizontal="left"/>
    </xf>
    <xf numFmtId="172" fontId="52" fillId="0" borderId="21" xfId="2" applyNumberFormat="1" applyFont="1" applyFill="1" applyBorder="1" applyAlignment="1">
      <alignment horizontal="center"/>
    </xf>
    <xf numFmtId="0" fontId="52" fillId="0" borderId="21" xfId="0" applyFont="1" applyBorder="1"/>
    <xf numFmtId="0" fontId="41" fillId="0" borderId="0" xfId="0" applyFont="1"/>
    <xf numFmtId="0" fontId="53" fillId="0" borderId="21" xfId="0" applyFont="1" applyBorder="1" applyAlignment="1">
      <alignment horizontal="center"/>
    </xf>
    <xf numFmtId="41" fontId="21" fillId="0" borderId="21" xfId="2" quotePrefix="1" applyFont="1" applyFill="1" applyBorder="1" applyAlignment="1">
      <alignment horizontal="left"/>
    </xf>
    <xf numFmtId="41" fontId="21" fillId="0" borderId="21" xfId="2" quotePrefix="1" applyFont="1" applyFill="1" applyBorder="1" applyAlignment="1">
      <alignment horizontal="center"/>
    </xf>
    <xf numFmtId="0" fontId="53" fillId="0" borderId="21" xfId="0" applyFont="1" applyBorder="1"/>
    <xf numFmtId="170" fontId="21" fillId="0" borderId="21" xfId="0" applyNumberFormat="1" applyFont="1" applyBorder="1"/>
    <xf numFmtId="0" fontId="15" fillId="0" borderId="21" xfId="0" applyFont="1" applyBorder="1"/>
    <xf numFmtId="166" fontId="21" fillId="0" borderId="21" xfId="17" applyFont="1" applyFill="1" applyBorder="1"/>
    <xf numFmtId="0" fontId="21" fillId="0" borderId="21" xfId="0" applyFont="1" applyBorder="1"/>
    <xf numFmtId="168" fontId="21" fillId="0" borderId="21" xfId="17" applyNumberFormat="1" applyFont="1" applyFill="1" applyBorder="1"/>
    <xf numFmtId="0" fontId="15" fillId="0" borderId="0" xfId="0" applyFont="1" applyAlignment="1">
      <alignment horizontal="left" vertical="center"/>
    </xf>
    <xf numFmtId="14" fontId="19" fillId="0" borderId="21" xfId="0" applyNumberFormat="1" applyFont="1" applyBorder="1"/>
    <xf numFmtId="15" fontId="21" fillId="0" borderId="21" xfId="0" applyNumberFormat="1" applyFont="1" applyBorder="1" applyAlignment="1">
      <alignment horizontal="center" vertical="center"/>
    </xf>
    <xf numFmtId="15" fontId="21" fillId="0" borderId="21" xfId="2" applyNumberFormat="1" applyFont="1" applyFill="1" applyBorder="1" applyAlignment="1">
      <alignment horizontal="center"/>
    </xf>
    <xf numFmtId="166" fontId="54" fillId="0" borderId="21" xfId="17" applyFont="1" applyFill="1" applyBorder="1" applyAlignment="1">
      <alignment horizontal="left"/>
    </xf>
    <xf numFmtId="0" fontId="54" fillId="0" borderId="21" xfId="0" applyFont="1" applyBorder="1" applyAlignment="1">
      <alignment horizontal="center"/>
    </xf>
    <xf numFmtId="41" fontId="54" fillId="0" borderId="21" xfId="2" applyFont="1" applyFill="1" applyBorder="1" applyAlignment="1">
      <alignment horizontal="left"/>
    </xf>
    <xf numFmtId="0" fontId="54" fillId="0" borderId="48" xfId="0" applyFont="1" applyBorder="1" applyAlignment="1">
      <alignment vertical="center"/>
    </xf>
    <xf numFmtId="14" fontId="54" fillId="0" borderId="21" xfId="0" applyNumberFormat="1" applyFont="1" applyBorder="1" applyAlignment="1">
      <alignment horizontal="center"/>
    </xf>
    <xf numFmtId="41" fontId="10" fillId="0" borderId="53" xfId="2" applyFont="1" applyFill="1" applyBorder="1"/>
    <xf numFmtId="41" fontId="20" fillId="0" borderId="35" xfId="2" applyFont="1" applyFill="1" applyBorder="1" applyAlignment="1">
      <alignment horizontal="center"/>
    </xf>
    <xf numFmtId="41" fontId="10" fillId="0" borderId="47" xfId="2" applyFont="1" applyFill="1" applyBorder="1"/>
    <xf numFmtId="41" fontId="10" fillId="0" borderId="47" xfId="0" applyNumberFormat="1" applyFont="1" applyBorder="1"/>
    <xf numFmtId="172" fontId="10" fillId="0" borderId="47" xfId="2" applyNumberFormat="1" applyFont="1" applyFill="1" applyBorder="1"/>
    <xf numFmtId="172" fontId="10" fillId="0" borderId="47" xfId="2" applyNumberFormat="1" applyFont="1" applyFill="1" applyBorder="1" applyAlignment="1">
      <alignment horizontal="center"/>
    </xf>
    <xf numFmtId="0" fontId="11" fillId="0" borderId="47" xfId="0" applyFont="1" applyBorder="1"/>
    <xf numFmtId="0" fontId="10" fillId="0" borderId="47" xfId="0" applyFont="1" applyBorder="1" applyAlignment="1">
      <alignment horizontal="center"/>
    </xf>
    <xf numFmtId="165" fontId="9" fillId="0" borderId="47" xfId="2" applyNumberFormat="1" applyFont="1" applyFill="1" applyBorder="1"/>
    <xf numFmtId="41" fontId="9" fillId="0" borderId="47" xfId="2" applyFont="1" applyFill="1" applyBorder="1" applyAlignment="1">
      <alignment horizontal="left"/>
    </xf>
    <xf numFmtId="49" fontId="9" fillId="0" borderId="47" xfId="0" applyNumberFormat="1" applyFont="1" applyBorder="1" applyAlignment="1">
      <alignment horizontal="left"/>
    </xf>
    <xf numFmtId="0" fontId="0" fillId="0" borderId="47" xfId="0" applyBorder="1" applyAlignment="1">
      <alignment horizontal="center" vertical="center"/>
    </xf>
    <xf numFmtId="0" fontId="9" fillId="0" borderId="47" xfId="0" applyFont="1" applyBorder="1"/>
    <xf numFmtId="0" fontId="11" fillId="0" borderId="54" xfId="0" applyFont="1" applyBorder="1"/>
    <xf numFmtId="0" fontId="10" fillId="0" borderId="52" xfId="0" applyFont="1" applyBorder="1" applyAlignment="1">
      <alignment horizontal="center"/>
    </xf>
    <xf numFmtId="49" fontId="9" fillId="0" borderId="21" xfId="0" applyNumberFormat="1" applyFont="1" applyBorder="1" applyAlignment="1">
      <alignment horizontal="left"/>
    </xf>
    <xf numFmtId="0" fontId="10" fillId="0" borderId="52" xfId="0" applyFont="1" applyBorder="1" applyAlignment="1">
      <alignment horizontal="left"/>
    </xf>
    <xf numFmtId="41" fontId="10" fillId="0" borderId="52" xfId="20" applyFont="1" applyFill="1" applyBorder="1" applyAlignment="1">
      <alignment horizontal="left"/>
    </xf>
    <xf numFmtId="167" fontId="10" fillId="0" borderId="52" xfId="17" applyNumberFormat="1" applyFont="1" applyFill="1" applyBorder="1"/>
    <xf numFmtId="0" fontId="10" fillId="0" borderId="52" xfId="0" applyFont="1" applyBorder="1"/>
    <xf numFmtId="165" fontId="10" fillId="0" borderId="52" xfId="0" applyNumberFormat="1" applyFont="1" applyBorder="1"/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41" fontId="10" fillId="0" borderId="57" xfId="0" applyNumberFormat="1" applyFont="1" applyBorder="1"/>
    <xf numFmtId="172" fontId="0" fillId="0" borderId="57" xfId="2" applyNumberFormat="1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1" fillId="0" borderId="57" xfId="0" applyFont="1" applyBorder="1"/>
    <xf numFmtId="165" fontId="9" fillId="0" borderId="57" xfId="2" applyNumberFormat="1" applyFont="1" applyFill="1" applyBorder="1"/>
    <xf numFmtId="0" fontId="0" fillId="0" borderId="57" xfId="0" applyBorder="1" applyAlignment="1">
      <alignment horizontal="left"/>
    </xf>
    <xf numFmtId="0" fontId="10" fillId="0" borderId="58" xfId="0" applyFont="1" applyBorder="1"/>
    <xf numFmtId="0" fontId="10" fillId="0" borderId="57" xfId="0" applyFont="1" applyBorder="1" applyAlignment="1">
      <alignment horizontal="center"/>
    </xf>
    <xf numFmtId="0" fontId="10" fillId="0" borderId="57" xfId="0" applyFont="1" applyBorder="1"/>
    <xf numFmtId="172" fontId="0" fillId="0" borderId="13" xfId="2" applyNumberFormat="1" applyFont="1" applyFill="1" applyBorder="1"/>
    <xf numFmtId="0" fontId="0" fillId="0" borderId="13" xfId="0" applyBorder="1" applyAlignment="1">
      <alignment horizontal="left"/>
    </xf>
    <xf numFmtId="0" fontId="10" fillId="0" borderId="13" xfId="0" applyFont="1" applyBorder="1"/>
    <xf numFmtId="0" fontId="10" fillId="0" borderId="13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21" applyFont="1"/>
    <xf numFmtId="0" fontId="2" fillId="0" borderId="0" xfId="21" applyFont="1" applyAlignment="1">
      <alignment horizontal="center" vertical="center"/>
    </xf>
    <xf numFmtId="41" fontId="2" fillId="0" borderId="0" xfId="21" applyNumberFormat="1" applyFont="1"/>
    <xf numFmtId="0" fontId="2" fillId="0" borderId="0" xfId="21" applyFont="1" applyAlignment="1">
      <alignment horizontal="left"/>
    </xf>
    <xf numFmtId="0" fontId="1" fillId="0" borderId="0" xfId="21"/>
    <xf numFmtId="0" fontId="55" fillId="0" borderId="0" xfId="21" applyFont="1" applyAlignment="1">
      <alignment horizontal="left"/>
    </xf>
    <xf numFmtId="0" fontId="55" fillId="0" borderId="0" xfId="21" applyFont="1"/>
    <xf numFmtId="41" fontId="55" fillId="0" borderId="0" xfId="21" applyNumberFormat="1" applyFont="1"/>
    <xf numFmtId="41" fontId="1" fillId="0" borderId="0" xfId="21" applyNumberFormat="1"/>
    <xf numFmtId="41" fontId="1" fillId="0" borderId="0" xfId="2" applyFill="1"/>
    <xf numFmtId="0" fontId="15" fillId="0" borderId="0" xfId="21" applyFont="1"/>
    <xf numFmtId="0" fontId="1" fillId="0" borderId="0" xfId="21" applyAlignment="1">
      <alignment horizontal="center" vertical="center"/>
    </xf>
    <xf numFmtId="0" fontId="15" fillId="0" borderId="0" xfId="21" applyFont="1" applyAlignment="1">
      <alignment horizontal="left"/>
    </xf>
    <xf numFmtId="0" fontId="56" fillId="0" borderId="0" xfId="21" applyFont="1"/>
    <xf numFmtId="0" fontId="56" fillId="0" borderId="0" xfId="21" applyFont="1" applyAlignment="1">
      <alignment horizontal="left"/>
    </xf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/>
    <xf numFmtId="168" fontId="0" fillId="0" borderId="0" xfId="27" applyNumberFormat="1" applyFont="1" applyFill="1"/>
    <xf numFmtId="168" fontId="0" fillId="0" borderId="21" xfId="27" applyNumberFormat="1" applyFont="1" applyFill="1" applyBorder="1"/>
    <xf numFmtId="168" fontId="0" fillId="0" borderId="63" xfId="27" applyNumberFormat="1" applyFont="1" applyFill="1" applyBorder="1"/>
    <xf numFmtId="168" fontId="0" fillId="0" borderId="10" xfId="27" applyNumberFormat="1" applyFont="1" applyFill="1" applyBorder="1"/>
    <xf numFmtId="168" fontId="0" fillId="0" borderId="31" xfId="27" applyNumberFormat="1" applyFont="1" applyFill="1" applyBorder="1"/>
    <xf numFmtId="0" fontId="10" fillId="0" borderId="0" xfId="0" applyFont="1" applyFill="1"/>
    <xf numFmtId="167" fontId="0" fillId="0" borderId="0" xfId="27" applyNumberFormat="1" applyFont="1" applyFill="1"/>
    <xf numFmtId="168" fontId="0" fillId="0" borderId="0" xfId="0" applyNumberFormat="1" applyFill="1"/>
    <xf numFmtId="0" fontId="57" fillId="0" borderId="0" xfId="0" applyFont="1" applyFill="1"/>
    <xf numFmtId="0" fontId="31" fillId="0" borderId="9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49" fillId="7" borderId="10" xfId="0" applyFont="1" applyFill="1" applyBorder="1" applyAlignment="1">
      <alignment horizontal="center" vertical="center" wrapText="1"/>
    </xf>
    <xf numFmtId="0" fontId="49" fillId="7" borderId="9" xfId="0" applyFont="1" applyFill="1" applyBorder="1" applyAlignment="1">
      <alignment horizontal="center" vertical="center" wrapText="1"/>
    </xf>
    <xf numFmtId="0" fontId="49" fillId="7" borderId="11" xfId="0" applyFont="1" applyFill="1" applyBorder="1" applyAlignment="1">
      <alignment horizontal="center" vertical="center"/>
    </xf>
    <xf numFmtId="0" fontId="49" fillId="7" borderId="11" xfId="0" applyFont="1" applyFill="1" applyBorder="1" applyAlignment="1">
      <alignment horizontal="center" vertical="center" wrapText="1"/>
    </xf>
    <xf numFmtId="0" fontId="0" fillId="0" borderId="69" xfId="0" applyFont="1" applyFill="1" applyBorder="1"/>
    <xf numFmtId="0" fontId="0" fillId="0" borderId="69" xfId="0" applyFont="1" applyFill="1" applyBorder="1" applyAlignment="1">
      <alignment horizontal="center"/>
    </xf>
    <xf numFmtId="0" fontId="0" fillId="0" borderId="10" xfId="0" applyFont="1" applyFill="1" applyBorder="1"/>
    <xf numFmtId="0" fontId="0" fillId="0" borderId="63" xfId="0" applyFont="1" applyFill="1" applyBorder="1" applyAlignment="1">
      <alignment horizontal="center"/>
    </xf>
    <xf numFmtId="0" fontId="0" fillId="0" borderId="64" xfId="0" applyFont="1" applyFill="1" applyBorder="1"/>
    <xf numFmtId="0" fontId="0" fillId="0" borderId="19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14" fontId="0" fillId="0" borderId="69" xfId="0" applyNumberFormat="1" applyFont="1" applyFill="1" applyBorder="1"/>
    <xf numFmtId="0" fontId="0" fillId="0" borderId="10" xfId="0" applyFont="1" applyFill="1" applyBorder="1" applyAlignment="1">
      <alignment horizontal="center"/>
    </xf>
    <xf numFmtId="41" fontId="0" fillId="0" borderId="10" xfId="0" applyNumberFormat="1" applyFont="1" applyFill="1" applyBorder="1" applyAlignment="1">
      <alignment horizontal="center"/>
    </xf>
    <xf numFmtId="0" fontId="0" fillId="0" borderId="10" xfId="0" quotePrefix="1" applyFont="1" applyFill="1" applyBorder="1"/>
    <xf numFmtId="0" fontId="0" fillId="0" borderId="61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31" xfId="0" applyFont="1" applyFill="1" applyBorder="1"/>
    <xf numFmtId="0" fontId="0" fillId="0" borderId="61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7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39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/>
    <xf numFmtId="0" fontId="0" fillId="0" borderId="38" xfId="0" applyFont="1" applyFill="1" applyBorder="1"/>
    <xf numFmtId="165" fontId="0" fillId="0" borderId="11" xfId="0" applyNumberFormat="1" applyFont="1" applyFill="1" applyBorder="1"/>
    <xf numFmtId="168" fontId="0" fillId="0" borderId="38" xfId="0" applyNumberFormat="1" applyFont="1" applyFill="1" applyBorder="1"/>
    <xf numFmtId="0" fontId="0" fillId="0" borderId="62" xfId="0" applyFont="1" applyFill="1" applyBorder="1"/>
    <xf numFmtId="41" fontId="0" fillId="0" borderId="11" xfId="2" applyFont="1" applyFill="1" applyBorder="1" applyAlignment="1">
      <alignment horizontal="left"/>
    </xf>
    <xf numFmtId="0" fontId="0" fillId="0" borderId="63" xfId="0" applyFont="1" applyFill="1" applyBorder="1"/>
    <xf numFmtId="41" fontId="15" fillId="0" borderId="60" xfId="2" applyFont="1" applyFill="1" applyBorder="1" applyAlignment="1" applyProtection="1">
      <alignment horizontal="center"/>
    </xf>
    <xf numFmtId="49" fontId="15" fillId="0" borderId="69" xfId="0" applyNumberFormat="1" applyFont="1" applyFill="1" applyBorder="1" applyAlignment="1">
      <alignment horizontal="left"/>
    </xf>
    <xf numFmtId="0" fontId="55" fillId="0" borderId="69" xfId="0" applyFont="1" applyFill="1" applyBorder="1"/>
    <xf numFmtId="168" fontId="15" fillId="0" borderId="21" xfId="27" applyNumberFormat="1" applyFont="1" applyFill="1" applyBorder="1"/>
    <xf numFmtId="167" fontId="0" fillId="0" borderId="21" xfId="27" applyNumberFormat="1" applyFont="1" applyFill="1" applyBorder="1"/>
    <xf numFmtId="0" fontId="0" fillId="0" borderId="20" xfId="0" applyFont="1" applyFill="1" applyBorder="1"/>
    <xf numFmtId="41" fontId="0" fillId="0" borderId="21" xfId="2" applyFont="1" applyFill="1" applyBorder="1" applyAlignment="1">
      <alignment horizontal="left"/>
    </xf>
    <xf numFmtId="41" fontId="0" fillId="0" borderId="21" xfId="2" quotePrefix="1" applyFont="1" applyFill="1" applyBorder="1" applyAlignment="1">
      <alignment horizontal="right"/>
    </xf>
    <xf numFmtId="0" fontId="0" fillId="0" borderId="21" xfId="0" applyFont="1" applyFill="1" applyBorder="1"/>
    <xf numFmtId="41" fontId="0" fillId="0" borderId="63" xfId="2" applyFont="1" applyFill="1" applyBorder="1" applyAlignment="1">
      <alignment horizontal="left"/>
    </xf>
    <xf numFmtId="41" fontId="0" fillId="0" borderId="69" xfId="2" applyFont="1" applyFill="1" applyBorder="1" applyAlignment="1">
      <alignment horizontal="center"/>
    </xf>
    <xf numFmtId="167" fontId="0" fillId="0" borderId="63" xfId="27" applyNumberFormat="1" applyFont="1" applyFill="1" applyBorder="1"/>
    <xf numFmtId="0" fontId="0" fillId="0" borderId="65" xfId="0" applyFont="1" applyFill="1" applyBorder="1" applyAlignment="1">
      <alignment horizontal="center"/>
    </xf>
    <xf numFmtId="41" fontId="0" fillId="8" borderId="63" xfId="2" applyFon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/>
    </xf>
    <xf numFmtId="0" fontId="0" fillId="0" borderId="70" xfId="0" applyFont="1" applyFill="1" applyBorder="1"/>
    <xf numFmtId="0" fontId="2" fillId="0" borderId="69" xfId="0" applyFont="1" applyFill="1" applyBorder="1"/>
    <xf numFmtId="0" fontId="0" fillId="0" borderId="33" xfId="0" applyFont="1" applyFill="1" applyBorder="1"/>
    <xf numFmtId="0" fontId="2" fillId="0" borderId="10" xfId="0" applyFont="1" applyFill="1" applyBorder="1"/>
    <xf numFmtId="14" fontId="0" fillId="0" borderId="10" xfId="0" applyNumberFormat="1" applyFont="1" applyFill="1" applyBorder="1"/>
    <xf numFmtId="41" fontId="0" fillId="0" borderId="31" xfId="2" applyFont="1" applyFill="1" applyBorder="1" applyAlignment="1">
      <alignment horizontal="left"/>
    </xf>
    <xf numFmtId="41" fontId="0" fillId="0" borderId="31" xfId="2" applyFont="1" applyFill="1" applyBorder="1" applyAlignment="1">
      <alignment horizontal="center"/>
    </xf>
    <xf numFmtId="0" fontId="2" fillId="0" borderId="31" xfId="0" applyFont="1" applyFill="1" applyBorder="1"/>
    <xf numFmtId="167" fontId="0" fillId="0" borderId="31" xfId="27" applyNumberFormat="1" applyFont="1" applyFill="1" applyBorder="1"/>
    <xf numFmtId="14" fontId="0" fillId="0" borderId="31" xfId="0" applyNumberFormat="1" applyFont="1" applyFill="1" applyBorder="1"/>
    <xf numFmtId="0" fontId="0" fillId="0" borderId="10" xfId="0" applyFont="1" applyFill="1" applyBorder="1" applyAlignment="1">
      <alignment horizontal="center" vertical="center"/>
    </xf>
    <xf numFmtId="41" fontId="0" fillId="0" borderId="10" xfId="2" applyFont="1" applyFill="1" applyBorder="1" applyAlignment="1">
      <alignment horizontal="center" vertical="center"/>
    </xf>
    <xf numFmtId="0" fontId="15" fillId="0" borderId="11" xfId="0" applyFont="1" applyFill="1" applyBorder="1"/>
    <xf numFmtId="165" fontId="15" fillId="0" borderId="11" xfId="2" applyNumberFormat="1" applyFont="1" applyFill="1" applyBorder="1"/>
    <xf numFmtId="43" fontId="0" fillId="0" borderId="0" xfId="0" applyNumberFormat="1" applyFill="1"/>
    <xf numFmtId="0" fontId="0" fillId="0" borderId="63" xfId="0" applyFont="1" applyFill="1" applyBorder="1" applyAlignment="1">
      <alignment horizontal="center" vertical="center"/>
    </xf>
    <xf numFmtId="41" fontId="0" fillId="0" borderId="31" xfId="2" applyFont="1" applyFill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 wrapText="1"/>
    </xf>
    <xf numFmtId="14" fontId="0" fillId="0" borderId="31" xfId="0" applyNumberFormat="1" applyFont="1" applyFill="1" applyBorder="1" applyAlignment="1">
      <alignment horizontal="center" vertical="center"/>
    </xf>
    <xf numFmtId="168" fontId="15" fillId="0" borderId="10" xfId="27" applyNumberFormat="1" applyFont="1" applyFill="1" applyBorder="1" applyAlignment="1">
      <alignment horizontal="center" vertical="center"/>
    </xf>
    <xf numFmtId="168" fontId="0" fillId="0" borderId="71" xfId="27" applyNumberFormat="1" applyFont="1" applyFill="1" applyBorder="1" applyAlignment="1">
      <alignment horizontal="center" vertical="center"/>
    </xf>
    <xf numFmtId="168" fontId="0" fillId="0" borderId="31" xfId="27" applyNumberFormat="1" applyFont="1" applyFill="1" applyBorder="1" applyAlignment="1">
      <alignment horizontal="center" vertical="center"/>
    </xf>
    <xf numFmtId="167" fontId="0" fillId="0" borderId="10" xfId="27" applyNumberFormat="1" applyFont="1" applyFill="1" applyBorder="1" applyAlignment="1">
      <alignment horizontal="center" vertical="center"/>
    </xf>
    <xf numFmtId="168" fontId="0" fillId="0" borderId="10" xfId="27" applyNumberFormat="1" applyFont="1" applyFill="1" applyBorder="1" applyAlignment="1">
      <alignment horizontal="center" vertical="center"/>
    </xf>
    <xf numFmtId="168" fontId="0" fillId="0" borderId="21" xfId="27" applyNumberFormat="1" applyFont="1" applyFill="1" applyBorder="1" applyAlignment="1">
      <alignment horizontal="center" vertical="center"/>
    </xf>
    <xf numFmtId="0" fontId="0" fillId="0" borderId="7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9" fillId="7" borderId="9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Fill="1" applyAlignment="1">
      <alignment horizontal="center" vertical="center"/>
    </xf>
    <xf numFmtId="165" fontId="0" fillId="0" borderId="11" xfId="0" applyNumberFormat="1" applyFont="1" applyFill="1" applyBorder="1" applyAlignment="1">
      <alignment horizontal="center" vertical="center"/>
    </xf>
    <xf numFmtId="41" fontId="0" fillId="0" borderId="10" xfId="2" applyFont="1" applyFill="1" applyBorder="1" applyAlignment="1">
      <alignment horizontal="left" vertical="center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48" fillId="2" borderId="14" xfId="22" applyFont="1" applyFill="1" applyBorder="1" applyAlignment="1">
      <alignment horizontal="center" vertical="center" readingOrder="1"/>
    </xf>
    <xf numFmtId="0" fontId="48" fillId="2" borderId="13" xfId="22" applyFont="1" applyFill="1" applyBorder="1" applyAlignment="1">
      <alignment horizontal="center" vertical="center" readingOrder="1"/>
    </xf>
    <xf numFmtId="0" fontId="48" fillId="2" borderId="46" xfId="22" applyFont="1" applyFill="1" applyBorder="1" applyAlignment="1">
      <alignment horizontal="center" vertical="center" readingOrder="1"/>
    </xf>
    <xf numFmtId="0" fontId="48" fillId="0" borderId="14" xfId="22" applyFont="1" applyBorder="1" applyAlignment="1">
      <alignment horizontal="center" vertical="center" readingOrder="1"/>
    </xf>
    <xf numFmtId="0" fontId="48" fillId="0" borderId="13" xfId="22" applyFont="1" applyBorder="1" applyAlignment="1">
      <alignment horizontal="left" vertical="center" readingOrder="1"/>
    </xf>
    <xf numFmtId="0" fontId="48" fillId="0" borderId="46" xfId="22" applyFont="1" applyBorder="1" applyAlignment="1">
      <alignment horizontal="center" vertical="center" readingOrder="1"/>
    </xf>
    <xf numFmtId="0" fontId="48" fillId="0" borderId="13" xfId="22" applyFont="1" applyBorder="1" applyAlignment="1">
      <alignment horizontal="center" vertical="center" readingOrder="1"/>
    </xf>
    <xf numFmtId="41" fontId="48" fillId="0" borderId="14" xfId="2" applyFont="1" applyFill="1" applyBorder="1" applyAlignment="1">
      <alignment horizontal="center" vertical="center" readingOrder="1"/>
    </xf>
    <xf numFmtId="41" fontId="48" fillId="0" borderId="13" xfId="2" applyFont="1" applyFill="1" applyBorder="1" applyAlignment="1">
      <alignment horizontal="center" vertical="center" readingOrder="1"/>
    </xf>
    <xf numFmtId="41" fontId="48" fillId="0" borderId="46" xfId="2" applyFont="1" applyFill="1" applyBorder="1" applyAlignment="1">
      <alignment vertical="center" readingOrder="1"/>
    </xf>
    <xf numFmtId="41" fontId="48" fillId="0" borderId="13" xfId="0" applyNumberFormat="1" applyFont="1" applyBorder="1"/>
    <xf numFmtId="41" fontId="61" fillId="0" borderId="14" xfId="2" applyFont="1" applyFill="1" applyBorder="1"/>
    <xf numFmtId="41" fontId="61" fillId="0" borderId="14" xfId="2" applyFont="1" applyBorder="1"/>
    <xf numFmtId="41" fontId="61" fillId="0" borderId="46" xfId="2" applyFont="1" applyBorder="1"/>
    <xf numFmtId="41" fontId="48" fillId="0" borderId="13" xfId="2" applyFont="1" applyBorder="1"/>
    <xf numFmtId="0" fontId="61" fillId="10" borderId="14" xfId="0" applyFont="1" applyFill="1" applyBorder="1"/>
    <xf numFmtId="0" fontId="45" fillId="10" borderId="13" xfId="22" applyFont="1" applyFill="1" applyBorder="1" applyAlignment="1">
      <alignment horizontal="center" vertical="center" readingOrder="1"/>
    </xf>
    <xf numFmtId="0" fontId="45" fillId="10" borderId="46" xfId="22" applyFont="1" applyFill="1" applyBorder="1" applyAlignment="1">
      <alignment horizontal="left" vertical="center" readingOrder="1"/>
    </xf>
    <xf numFmtId="41" fontId="45" fillId="10" borderId="13" xfId="2" applyFont="1" applyFill="1" applyBorder="1" applyAlignment="1">
      <alignment vertical="center" readingOrder="1"/>
    </xf>
    <xf numFmtId="41" fontId="45" fillId="10" borderId="14" xfId="2" applyFont="1" applyFill="1" applyBorder="1" applyAlignment="1">
      <alignment horizontal="left" vertical="center" readingOrder="1"/>
    </xf>
    <xf numFmtId="41" fontId="45" fillId="10" borderId="13" xfId="2" applyFont="1" applyFill="1" applyBorder="1" applyAlignment="1">
      <alignment horizontal="left" vertical="center" readingOrder="1"/>
    </xf>
    <xf numFmtId="168" fontId="48" fillId="10" borderId="13" xfId="0" applyNumberFormat="1" applyFont="1" applyFill="1" applyBorder="1"/>
    <xf numFmtId="41" fontId="48" fillId="0" borderId="13" xfId="2" applyFont="1" applyFill="1" applyBorder="1" applyAlignment="1">
      <alignment vertical="center" readingOrder="1"/>
    </xf>
    <xf numFmtId="41" fontId="48" fillId="10" borderId="46" xfId="2" applyFont="1" applyFill="1" applyBorder="1" applyAlignment="1">
      <alignment vertical="center" readingOrder="1"/>
    </xf>
    <xf numFmtId="43" fontId="48" fillId="0" borderId="13" xfId="1" applyFont="1" applyBorder="1" applyAlignment="1">
      <alignment horizontal="left" vertical="center" readingOrder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5" fontId="2" fillId="0" borderId="0" xfId="0" applyNumberFormat="1" applyFont="1"/>
    <xf numFmtId="0" fontId="2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9" fontId="49" fillId="7" borderId="10" xfId="0" applyNumberFormat="1" applyFont="1" applyFill="1" applyBorder="1" applyAlignment="1">
      <alignment horizontal="center" vertical="center" wrapText="1"/>
    </xf>
    <xf numFmtId="49" fontId="49" fillId="7" borderId="9" xfId="0" applyNumberFormat="1" applyFont="1" applyFill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/>
    </xf>
    <xf numFmtId="49" fontId="31" fillId="0" borderId="59" xfId="0" applyNumberFormat="1" applyFont="1" applyBorder="1" applyAlignment="1">
      <alignment horizontal="center" vertical="center"/>
    </xf>
    <xf numFmtId="49" fontId="31" fillId="0" borderId="37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59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1" fontId="0" fillId="0" borderId="11" xfId="2" applyFont="1" applyFill="1" applyBorder="1" applyAlignment="1">
      <alignment horizontal="center" vertical="center"/>
    </xf>
    <xf numFmtId="49" fontId="0" fillId="0" borderId="11" xfId="2" applyNumberFormat="1" applyFont="1" applyFill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0" fillId="0" borderId="75" xfId="0" applyBorder="1" applyAlignment="1">
      <alignment horizontal="center" vertical="center" wrapText="1"/>
    </xf>
    <xf numFmtId="41" fontId="15" fillId="0" borderId="76" xfId="2" applyFont="1" applyFill="1" applyBorder="1" applyAlignment="1" applyProtection="1">
      <alignment horizontal="center"/>
    </xf>
    <xf numFmtId="49" fontId="15" fillId="0" borderId="75" xfId="0" applyNumberFormat="1" applyFont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55" fillId="0" borderId="75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168" fontId="15" fillId="0" borderId="75" xfId="17" applyNumberFormat="1" applyFont="1" applyFill="1" applyBorder="1" applyAlignment="1">
      <alignment horizontal="center" vertical="center"/>
    </xf>
    <xf numFmtId="168" fontId="0" fillId="0" borderId="75" xfId="17" applyNumberFormat="1" applyFont="1" applyFill="1" applyBorder="1" applyAlignment="1">
      <alignment horizontal="center" vertical="center"/>
    </xf>
    <xf numFmtId="168" fontId="0" fillId="0" borderId="75" xfId="17" applyNumberFormat="1" applyFont="1" applyFill="1" applyBorder="1"/>
    <xf numFmtId="0" fontId="0" fillId="0" borderId="77" xfId="0" applyBorder="1" applyAlignment="1">
      <alignment horizontal="center" vertical="center"/>
    </xf>
    <xf numFmtId="49" fontId="0" fillId="0" borderId="75" xfId="2" quotePrefix="1" applyNumberFormat="1" applyFont="1" applyFill="1" applyBorder="1" applyAlignment="1">
      <alignment horizontal="center" vertical="center"/>
    </xf>
    <xf numFmtId="49" fontId="0" fillId="0" borderId="75" xfId="0" applyNumberFormat="1" applyBorder="1" applyAlignment="1">
      <alignment horizontal="center" vertical="center"/>
    </xf>
    <xf numFmtId="41" fontId="0" fillId="0" borderId="75" xfId="2" applyFont="1" applyFill="1" applyBorder="1" applyAlignment="1">
      <alignment horizontal="center" vertical="center"/>
    </xf>
    <xf numFmtId="49" fontId="0" fillId="0" borderId="75" xfId="2" applyNumberFormat="1" applyFont="1" applyFill="1" applyBorder="1" applyAlignment="1">
      <alignment horizontal="center" vertical="center"/>
    </xf>
    <xf numFmtId="0" fontId="0" fillId="0" borderId="78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7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63" fillId="0" borderId="71" xfId="0" applyFont="1" applyBorder="1" applyAlignment="1">
      <alignment horizontal="center" vertical="center"/>
    </xf>
    <xf numFmtId="41" fontId="63" fillId="0" borderId="75" xfId="2" applyFont="1" applyFill="1" applyBorder="1" applyAlignment="1">
      <alignment horizontal="center" vertical="center"/>
    </xf>
    <xf numFmtId="49" fontId="63" fillId="0" borderId="75" xfId="2" applyNumberFormat="1" applyFont="1" applyFill="1" applyBorder="1" applyAlignment="1">
      <alignment horizontal="center" vertical="center"/>
    </xf>
    <xf numFmtId="49" fontId="0" fillId="0" borderId="31" xfId="2" applyNumberFormat="1" applyFont="1" applyFill="1" applyBorder="1" applyAlignment="1">
      <alignment horizontal="center" vertical="center"/>
    </xf>
    <xf numFmtId="0" fontId="63" fillId="0" borderId="31" xfId="0" applyFont="1" applyBorder="1" applyAlignment="1">
      <alignment horizontal="center" vertical="center" wrapText="1"/>
    </xf>
    <xf numFmtId="0" fontId="63" fillId="0" borderId="78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8" fontId="0" fillId="0" borderId="10" xfId="17" applyNumberFormat="1" applyFont="1" applyFill="1" applyBorder="1"/>
    <xf numFmtId="0" fontId="63" fillId="0" borderId="72" xfId="0" applyFont="1" applyBorder="1" applyAlignment="1">
      <alignment horizontal="center" vertical="center"/>
    </xf>
    <xf numFmtId="0" fontId="63" fillId="0" borderId="79" xfId="0" applyFont="1" applyBorder="1" applyAlignment="1">
      <alignment horizontal="center"/>
    </xf>
    <xf numFmtId="41" fontId="0" fillId="0" borderId="80" xfId="2" applyFont="1" applyFill="1" applyBorder="1" applyAlignment="1">
      <alignment horizontal="center" vertical="center"/>
    </xf>
    <xf numFmtId="49" fontId="15" fillId="0" borderId="80" xfId="0" applyNumberFormat="1" applyFont="1" applyBorder="1" applyAlignment="1">
      <alignment horizontal="center" vertical="center"/>
    </xf>
    <xf numFmtId="0" fontId="63" fillId="0" borderId="81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8" fontId="64" fillId="0" borderId="80" xfId="17" applyNumberFormat="1" applyFont="1" applyFill="1" applyBorder="1" applyAlignment="1">
      <alignment horizontal="center" vertical="center"/>
    </xf>
    <xf numFmtId="168" fontId="0" fillId="0" borderId="80" xfId="17" applyNumberFormat="1" applyFont="1" applyFill="1" applyBorder="1" applyAlignment="1">
      <alignment horizontal="center" vertical="center"/>
    </xf>
    <xf numFmtId="168" fontId="63" fillId="0" borderId="31" xfId="17" applyNumberFormat="1" applyFont="1" applyFill="1" applyBorder="1"/>
    <xf numFmtId="0" fontId="0" fillId="0" borderId="82" xfId="0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0" fillId="0" borderId="77" xfId="0" applyBorder="1" applyAlignment="1">
      <alignment horizontal="center" vertical="center" wrapText="1"/>
    </xf>
    <xf numFmtId="14" fontId="0" fillId="0" borderId="75" xfId="0" applyNumberForma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41" fontId="0" fillId="0" borderId="75" xfId="2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41" fontId="0" fillId="0" borderId="80" xfId="2" applyFont="1" applyFill="1" applyBorder="1" applyAlignment="1">
      <alignment horizontal="center" vertical="center" wrapText="1"/>
    </xf>
    <xf numFmtId="0" fontId="0" fillId="0" borderId="80" xfId="0" applyBorder="1" applyAlignment="1">
      <alignment horizontal="center"/>
    </xf>
    <xf numFmtId="0" fontId="0" fillId="0" borderId="80" xfId="0" applyBorder="1" applyAlignment="1">
      <alignment horizontal="center" vertical="center"/>
    </xf>
    <xf numFmtId="168" fontId="15" fillId="0" borderId="80" xfId="17" applyNumberFormat="1" applyFont="1" applyFill="1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49" fontId="0" fillId="0" borderId="80" xfId="2" applyNumberFormat="1" applyFont="1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63" fillId="0" borderId="81" xfId="0" applyFont="1" applyBorder="1" applyAlignment="1">
      <alignment horizontal="center" vertical="center"/>
    </xf>
    <xf numFmtId="41" fontId="63" fillId="0" borderId="80" xfId="2" applyFont="1" applyFill="1" applyBorder="1" applyAlignment="1">
      <alignment horizontal="center" vertical="center"/>
    </xf>
    <xf numFmtId="49" fontId="63" fillId="0" borderId="80" xfId="2" applyNumberFormat="1" applyFont="1" applyFill="1" applyBorder="1" applyAlignment="1">
      <alignment horizontal="center" vertical="center"/>
    </xf>
    <xf numFmtId="0" fontId="63" fillId="0" borderId="82" xfId="0" applyFont="1" applyBorder="1" applyAlignment="1">
      <alignment horizontal="center" vertical="center"/>
    </xf>
    <xf numFmtId="49" fontId="63" fillId="0" borderId="10" xfId="2" applyNumberFormat="1" applyFont="1" applyFill="1" applyBorder="1" applyAlignment="1">
      <alignment horizontal="center" vertical="center"/>
    </xf>
    <xf numFmtId="49" fontId="0" fillId="0" borderId="10" xfId="2" applyNumberFormat="1" applyFont="1" applyFill="1" applyBorder="1" applyAlignment="1">
      <alignment horizontal="center" vertical="center"/>
    </xf>
    <xf numFmtId="0" fontId="63" fillId="0" borderId="10" xfId="0" applyFont="1" applyBorder="1" applyAlignment="1">
      <alignment horizontal="center" vertical="center" wrapText="1"/>
    </xf>
    <xf numFmtId="0" fontId="63" fillId="0" borderId="0" xfId="0" applyFont="1" applyAlignment="1">
      <alignment horizontal="center"/>
    </xf>
    <xf numFmtId="41" fontId="63" fillId="0" borderId="10" xfId="2" applyFont="1" applyFill="1" applyBorder="1" applyAlignment="1">
      <alignment horizontal="center" vertical="center"/>
    </xf>
    <xf numFmtId="168" fontId="15" fillId="0" borderId="10" xfId="17" applyNumberFormat="1" applyFont="1" applyFill="1" applyBorder="1" applyAlignment="1">
      <alignment horizontal="center" vertical="center"/>
    </xf>
    <xf numFmtId="0" fontId="63" fillId="0" borderId="33" xfId="0" applyFont="1" applyBorder="1" applyAlignment="1">
      <alignment horizontal="center" vertical="center"/>
    </xf>
    <xf numFmtId="168" fontId="15" fillId="0" borderId="75" xfId="27" applyNumberFormat="1" applyFont="1" applyFill="1" applyBorder="1"/>
    <xf numFmtId="0" fontId="2" fillId="0" borderId="10" xfId="0" applyFont="1" applyBorder="1" applyAlignment="1">
      <alignment horizontal="center"/>
    </xf>
    <xf numFmtId="0" fontId="65" fillId="0" borderId="8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49" fontId="65" fillId="0" borderId="11" xfId="0" applyNumberFormat="1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 wrapText="1"/>
    </xf>
    <xf numFmtId="0" fontId="65" fillId="0" borderId="11" xfId="0" applyFont="1" applyBorder="1"/>
    <xf numFmtId="165" fontId="66" fillId="0" borderId="11" xfId="2" applyNumberFormat="1" applyFont="1" applyFill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65" fillId="0" borderId="38" xfId="0" applyFont="1" applyBorder="1" applyAlignment="1">
      <alignment horizontal="center" vertical="center"/>
    </xf>
    <xf numFmtId="165" fontId="65" fillId="0" borderId="11" xfId="0" applyNumberFormat="1" applyFont="1" applyBorder="1" applyAlignment="1">
      <alignment horizontal="center" vertical="center"/>
    </xf>
    <xf numFmtId="165" fontId="65" fillId="0" borderId="11" xfId="0" applyNumberFormat="1" applyFont="1" applyBorder="1"/>
    <xf numFmtId="168" fontId="0" fillId="0" borderId="38" xfId="0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0" fillId="0" borderId="0" xfId="17" applyNumberFormat="1" applyFont="1" applyFill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41" fontId="48" fillId="0" borderId="46" xfId="2" applyFont="1" applyFill="1" applyBorder="1" applyAlignment="1">
      <alignment horizontal="center" vertical="center" readingOrder="1"/>
    </xf>
    <xf numFmtId="41" fontId="48" fillId="0" borderId="46" xfId="2" applyFont="1" applyBorder="1"/>
    <xf numFmtId="43" fontId="0" fillId="3" borderId="47" xfId="1" applyFont="1" applyFill="1" applyBorder="1" applyAlignment="1">
      <alignment horizontal="left"/>
    </xf>
    <xf numFmtId="43" fontId="0" fillId="3" borderId="52" xfId="1" applyFont="1" applyFill="1" applyBorder="1" applyAlignment="1">
      <alignment horizontal="left"/>
    </xf>
    <xf numFmtId="0" fontId="21" fillId="2" borderId="13" xfId="0" applyFont="1" applyFill="1" applyBorder="1" applyAlignment="1">
      <alignment horizontal="center" vertical="center"/>
    </xf>
    <xf numFmtId="0" fontId="29" fillId="0" borderId="16" xfId="0" applyFont="1" applyBorder="1"/>
    <xf numFmtId="0" fontId="29" fillId="0" borderId="17" xfId="0" applyFont="1" applyBorder="1"/>
    <xf numFmtId="0" fontId="29" fillId="0" borderId="10" xfId="0" applyFont="1" applyBorder="1"/>
    <xf numFmtId="0" fontId="29" fillId="0" borderId="31" xfId="0" applyFont="1" applyBorder="1"/>
    <xf numFmtId="0" fontId="29" fillId="0" borderId="85" xfId="0" applyFont="1" applyBorder="1"/>
    <xf numFmtId="0" fontId="67" fillId="5" borderId="85" xfId="5" applyFont="1" applyFill="1" applyBorder="1"/>
    <xf numFmtId="41" fontId="29" fillId="0" borderId="32" xfId="6" applyNumberFormat="1" applyFont="1" applyFill="1" applyBorder="1" applyAlignment="1">
      <alignment horizontal="left"/>
    </xf>
    <xf numFmtId="41" fontId="29" fillId="0" borderId="85" xfId="2" applyFont="1" applyFill="1" applyBorder="1" applyAlignment="1">
      <alignment horizontal="left"/>
    </xf>
    <xf numFmtId="0" fontId="12" fillId="0" borderId="85" xfId="7" applyFont="1" applyBorder="1"/>
    <xf numFmtId="41" fontId="29" fillId="0" borderId="85" xfId="2" quotePrefix="1" applyFont="1" applyFill="1" applyBorder="1" applyAlignment="1">
      <alignment horizontal="left"/>
    </xf>
    <xf numFmtId="171" fontId="67" fillId="5" borderId="85" xfId="8" applyFont="1" applyFill="1" applyBorder="1"/>
    <xf numFmtId="0" fontId="22" fillId="0" borderId="0" xfId="0" applyFont="1"/>
    <xf numFmtId="0" fontId="67" fillId="5" borderId="85" xfId="9" applyFont="1" applyFill="1" applyBorder="1"/>
    <xf numFmtId="168" fontId="68" fillId="0" borderId="85" xfId="3" applyNumberFormat="1" applyFont="1" applyFill="1" applyBorder="1"/>
    <xf numFmtId="41" fontId="29" fillId="0" borderId="85" xfId="2" applyFont="1" applyBorder="1"/>
    <xf numFmtId="171" fontId="29" fillId="0" borderId="85" xfId="0" applyNumberFormat="1" applyFont="1" applyBorder="1"/>
    <xf numFmtId="0" fontId="29" fillId="0" borderId="34" xfId="0" applyFont="1" applyBorder="1"/>
    <xf numFmtId="41" fontId="29" fillId="0" borderId="85" xfId="6" applyNumberFormat="1" applyFont="1" applyFill="1" applyBorder="1" applyAlignment="1">
      <alignment horizontal="left"/>
    </xf>
    <xf numFmtId="0" fontId="69" fillId="0" borderId="10" xfId="0" applyFont="1" applyBorder="1"/>
    <xf numFmtId="0" fontId="29" fillId="0" borderId="85" xfId="5" applyFont="1" applyBorder="1"/>
    <xf numFmtId="41" fontId="29" fillId="0" borderId="85" xfId="2" applyFont="1" applyFill="1" applyBorder="1"/>
    <xf numFmtId="0" fontId="29" fillId="0" borderId="85" xfId="9" applyFont="1" applyBorder="1"/>
    <xf numFmtId="171" fontId="67" fillId="0" borderId="85" xfId="8" applyFont="1" applyFill="1" applyBorder="1"/>
    <xf numFmtId="0" fontId="29" fillId="0" borderId="87" xfId="0" applyFont="1" applyBorder="1"/>
    <xf numFmtId="170" fontId="29" fillId="0" borderId="10" xfId="10" applyNumberFormat="1" applyFont="1" applyFill="1" applyBorder="1" applyAlignment="1"/>
    <xf numFmtId="171" fontId="12" fillId="0" borderId="85" xfId="8" applyFont="1" applyBorder="1" applyAlignment="1">
      <alignment vertical="center"/>
    </xf>
    <xf numFmtId="0" fontId="67" fillId="0" borderId="85" xfId="9" applyFont="1" applyBorder="1"/>
    <xf numFmtId="41" fontId="29" fillId="0" borderId="52" xfId="2" applyFont="1" applyFill="1" applyBorder="1" applyAlignment="1">
      <alignment horizontal="left"/>
    </xf>
    <xf numFmtId="0" fontId="29" fillId="0" borderId="52" xfId="9" applyFont="1" applyBorder="1"/>
    <xf numFmtId="0" fontId="29" fillId="0" borderId="52" xfId="0" applyFont="1" applyBorder="1"/>
    <xf numFmtId="170" fontId="29" fillId="0" borderId="85" xfId="11" applyNumberFormat="1" applyFont="1" applyFill="1" applyBorder="1" applyAlignment="1"/>
    <xf numFmtId="0" fontId="29" fillId="0" borderId="85" xfId="0" quotePrefix="1" applyFont="1" applyBorder="1"/>
    <xf numFmtId="15" fontId="29" fillId="0" borderId="85" xfId="9" quotePrefix="1" applyNumberFormat="1" applyFont="1" applyBorder="1" applyAlignment="1">
      <alignment horizontal="center"/>
    </xf>
    <xf numFmtId="15" fontId="29" fillId="0" borderId="85" xfId="9" quotePrefix="1" applyNumberFormat="1" applyFont="1" applyBorder="1" applyAlignment="1">
      <alignment horizontal="left"/>
    </xf>
    <xf numFmtId="41" fontId="29" fillId="0" borderId="31" xfId="2" applyFont="1" applyFill="1" applyBorder="1" applyAlignment="1">
      <alignment vertical="center"/>
    </xf>
    <xf numFmtId="41" fontId="29" fillId="0" borderId="85" xfId="2" applyFont="1" applyFill="1" applyBorder="1" applyAlignment="1">
      <alignment horizontal="left" vertical="center"/>
    </xf>
    <xf numFmtId="0" fontId="29" fillId="0" borderId="35" xfId="0" applyFont="1" applyBorder="1"/>
    <xf numFmtId="41" fontId="29" fillId="0" borderId="52" xfId="2" quotePrefix="1" applyFont="1" applyFill="1" applyBorder="1" applyAlignment="1">
      <alignment horizontal="left"/>
    </xf>
    <xf numFmtId="168" fontId="68" fillId="0" borderId="52" xfId="3" applyNumberFormat="1" applyFont="1" applyFill="1" applyBorder="1"/>
    <xf numFmtId="41" fontId="29" fillId="0" borderId="52" xfId="2" applyFont="1" applyBorder="1"/>
    <xf numFmtId="0" fontId="29" fillId="0" borderId="52" xfId="5" applyFont="1" applyBorder="1"/>
    <xf numFmtId="171" fontId="29" fillId="0" borderId="52" xfId="0" applyNumberFormat="1" applyFont="1" applyBorder="1"/>
    <xf numFmtId="0" fontId="29" fillId="0" borderId="86" xfId="0" applyFont="1" applyBorder="1"/>
    <xf numFmtId="0" fontId="29" fillId="0" borderId="13" xfId="0" applyFont="1" applyBorder="1"/>
    <xf numFmtId="168" fontId="29" fillId="0" borderId="13" xfId="0" applyNumberFormat="1" applyFont="1" applyBorder="1"/>
    <xf numFmtId="168" fontId="29" fillId="0" borderId="37" xfId="0" applyNumberFormat="1" applyFont="1" applyBorder="1"/>
    <xf numFmtId="0" fontId="70" fillId="0" borderId="0" xfId="0" applyFont="1"/>
    <xf numFmtId="0" fontId="29" fillId="0" borderId="0" xfId="0" applyFont="1"/>
    <xf numFmtId="168" fontId="0" fillId="0" borderId="42" xfId="1" applyNumberFormat="1" applyFont="1" applyBorder="1"/>
    <xf numFmtId="43" fontId="0" fillId="0" borderId="0" xfId="0" applyNumberFormat="1"/>
    <xf numFmtId="168" fontId="0" fillId="0" borderId="0" xfId="1" applyNumberFormat="1" applyFont="1"/>
    <xf numFmtId="165" fontId="1" fillId="0" borderId="0" xfId="30" applyFont="1"/>
    <xf numFmtId="165" fontId="71" fillId="0" borderId="0" xfId="30" applyFont="1"/>
    <xf numFmtId="165" fontId="0" fillId="0" borderId="0" xfId="30" applyFont="1"/>
    <xf numFmtId="165" fontId="2" fillId="0" borderId="0" xfId="30" applyFont="1" applyBorder="1" applyAlignment="1">
      <alignment horizontal="center" vertical="center"/>
    </xf>
    <xf numFmtId="165" fontId="2" fillId="0" borderId="0" xfId="30" applyFont="1"/>
    <xf numFmtId="165" fontId="2" fillId="4" borderId="13" xfId="30" applyFont="1" applyFill="1" applyBorder="1" applyAlignment="1">
      <alignment horizontal="center" vertical="center" wrapText="1"/>
    </xf>
    <xf numFmtId="1" fontId="2" fillId="4" borderId="13" xfId="30" applyNumberFormat="1" applyFont="1" applyFill="1" applyBorder="1" applyAlignment="1">
      <alignment horizontal="center"/>
    </xf>
    <xf numFmtId="165" fontId="2" fillId="0" borderId="13" xfId="30" applyFont="1" applyFill="1" applyBorder="1" applyAlignment="1">
      <alignment vertical="center" wrapText="1"/>
    </xf>
    <xf numFmtId="1" fontId="2" fillId="0" borderId="13" xfId="30" applyNumberFormat="1" applyFont="1" applyFill="1" applyBorder="1" applyAlignment="1"/>
    <xf numFmtId="165" fontId="2" fillId="0" borderId="0" xfId="30" applyFont="1" applyBorder="1"/>
    <xf numFmtId="165" fontId="0" fillId="3" borderId="13" xfId="30" applyFont="1" applyFill="1" applyBorder="1"/>
    <xf numFmtId="165" fontId="1" fillId="3" borderId="13" xfId="30" applyFont="1" applyFill="1" applyBorder="1"/>
    <xf numFmtId="165" fontId="0" fillId="0" borderId="13" xfId="30" applyFont="1" applyBorder="1"/>
    <xf numFmtId="165" fontId="2" fillId="3" borderId="13" xfId="30" applyFont="1" applyFill="1" applyBorder="1"/>
    <xf numFmtId="1" fontId="1" fillId="0" borderId="0" xfId="30" applyNumberFormat="1" applyFont="1" applyBorder="1" applyAlignment="1">
      <alignment horizontal="center" vertical="center" wrapText="1"/>
    </xf>
    <xf numFmtId="165" fontId="72" fillId="0" borderId="0" xfId="30" applyFont="1" applyBorder="1"/>
    <xf numFmtId="165" fontId="2" fillId="4" borderId="45" xfId="30" applyFont="1" applyFill="1" applyBorder="1" applyAlignment="1">
      <alignment horizontal="center" vertical="center" wrapText="1"/>
    </xf>
    <xf numFmtId="165" fontId="2" fillId="4" borderId="88" xfId="30" applyFont="1" applyFill="1" applyBorder="1" applyAlignment="1">
      <alignment horizontal="center" vertical="center" wrapText="1"/>
    </xf>
    <xf numFmtId="165" fontId="0" fillId="11" borderId="13" xfId="30" applyFont="1" applyFill="1" applyBorder="1"/>
    <xf numFmtId="165" fontId="2" fillId="13" borderId="13" xfId="30" applyFont="1" applyFill="1" applyBorder="1"/>
    <xf numFmtId="165" fontId="55" fillId="13" borderId="13" xfId="30" applyFont="1" applyFill="1" applyBorder="1" applyAlignment="1">
      <alignment horizontal="center"/>
    </xf>
    <xf numFmtId="165" fontId="2" fillId="3" borderId="0" xfId="30" applyFont="1" applyFill="1" applyBorder="1"/>
    <xf numFmtId="165" fontId="2" fillId="3" borderId="0" xfId="30" applyFont="1" applyFill="1"/>
    <xf numFmtId="1" fontId="1" fillId="0" borderId="0" xfId="30" applyNumberFormat="1" applyFont="1" applyBorder="1" applyAlignment="1">
      <alignment horizontal="center" vertical="center"/>
    </xf>
    <xf numFmtId="165" fontId="1" fillId="0" borderId="13" xfId="30" applyFont="1" applyBorder="1" applyAlignment="1">
      <alignment wrapText="1"/>
    </xf>
    <xf numFmtId="165" fontId="1" fillId="0" borderId="0" xfId="30" applyFont="1" applyBorder="1" applyAlignment="1">
      <alignment wrapText="1"/>
    </xf>
    <xf numFmtId="0" fontId="40" fillId="5" borderId="89" xfId="0" applyFont="1" applyFill="1" applyBorder="1" applyAlignment="1">
      <alignment wrapText="1"/>
    </xf>
    <xf numFmtId="165" fontId="1" fillId="0" borderId="13" xfId="30" applyFont="1" applyBorder="1"/>
    <xf numFmtId="165" fontId="0" fillId="0" borderId="0" xfId="30" applyFont="1" applyBorder="1"/>
    <xf numFmtId="0" fontId="40" fillId="14" borderId="90" xfId="0" applyFont="1" applyFill="1" applyBorder="1" applyAlignment="1">
      <alignment wrapText="1"/>
    </xf>
    <xf numFmtId="0" fontId="40" fillId="5" borderId="90" xfId="0" applyFont="1" applyFill="1" applyBorder="1" applyAlignment="1">
      <alignment wrapText="1"/>
    </xf>
    <xf numFmtId="0" fontId="40" fillId="5" borderId="91" xfId="0" applyFont="1" applyFill="1" applyBorder="1" applyAlignment="1">
      <alignment wrapText="1"/>
    </xf>
    <xf numFmtId="165" fontId="1" fillId="0" borderId="13" xfId="30" applyFont="1" applyBorder="1" applyAlignment="1">
      <alignment horizontal="center" wrapText="1"/>
    </xf>
    <xf numFmtId="165" fontId="0" fillId="0" borderId="0" xfId="30" applyFont="1" applyAlignment="1">
      <alignment horizontal="center"/>
    </xf>
    <xf numFmtId="41" fontId="48" fillId="13" borderId="13" xfId="2" applyFont="1" applyFill="1" applyBorder="1" applyAlignment="1">
      <alignment horizontal="center" vertical="center" readingOrder="1"/>
    </xf>
    <xf numFmtId="165" fontId="0" fillId="13" borderId="0" xfId="30" applyFont="1" applyFill="1"/>
    <xf numFmtId="165" fontId="0" fillId="12" borderId="0" xfId="30" applyFont="1" applyFill="1"/>
    <xf numFmtId="165" fontId="2" fillId="0" borderId="13" xfId="30" applyFont="1" applyFill="1" applyBorder="1" applyAlignment="1">
      <alignment vertical="center"/>
    </xf>
    <xf numFmtId="0" fontId="40" fillId="5" borderId="13" xfId="0" applyFont="1" applyFill="1" applyBorder="1" applyAlignment="1">
      <alignment wrapText="1"/>
    </xf>
    <xf numFmtId="0" fontId="40" fillId="14" borderId="13" xfId="0" applyFont="1" applyFill="1" applyBorder="1" applyAlignment="1">
      <alignment wrapText="1"/>
    </xf>
    <xf numFmtId="165" fontId="37" fillId="0" borderId="27" xfId="0" applyNumberFormat="1" applyFont="1" applyBorder="1"/>
    <xf numFmtId="168" fontId="73" fillId="0" borderId="0" xfId="1" applyNumberFormat="1" applyFont="1"/>
    <xf numFmtId="0" fontId="4" fillId="2" borderId="38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 wrapText="1"/>
    </xf>
    <xf numFmtId="0" fontId="0" fillId="0" borderId="93" xfId="0" applyBorder="1"/>
    <xf numFmtId="0" fontId="4" fillId="2" borderId="38" xfId="0" applyFont="1" applyFill="1" applyBorder="1" applyAlignment="1">
      <alignment horizontal="center" vertical="center"/>
    </xf>
    <xf numFmtId="41" fontId="0" fillId="0" borderId="93" xfId="2" applyFont="1" applyBorder="1"/>
    <xf numFmtId="41" fontId="0" fillId="0" borderId="93" xfId="0" applyNumberFormat="1" applyBorder="1"/>
    <xf numFmtId="0" fontId="0" fillId="0" borderId="24" xfId="0" applyBorder="1"/>
    <xf numFmtId="164" fontId="10" fillId="3" borderId="20" xfId="12" applyFont="1" applyFill="1" applyBorder="1" applyAlignment="1">
      <alignment horizontal="center"/>
    </xf>
    <xf numFmtId="41" fontId="10" fillId="3" borderId="24" xfId="2" applyFont="1" applyFill="1" applyBorder="1" applyAlignment="1"/>
    <xf numFmtId="41" fontId="10" fillId="3" borderId="24" xfId="2" applyFont="1" applyFill="1" applyBorder="1"/>
    <xf numFmtId="41" fontId="10" fillId="3" borderId="24" xfId="19" applyFont="1" applyFill="1" applyBorder="1"/>
    <xf numFmtId="0" fontId="10" fillId="3" borderId="20" xfId="0" applyFont="1" applyFill="1" applyBorder="1" applyAlignment="1">
      <alignment horizontal="center"/>
    </xf>
    <xf numFmtId="164" fontId="10" fillId="3" borderId="20" xfId="12" applyFont="1" applyFill="1" applyBorder="1" applyAlignment="1">
      <alignment horizontal="left"/>
    </xf>
    <xf numFmtId="164" fontId="10" fillId="3" borderId="24" xfId="12" applyFont="1" applyFill="1" applyBorder="1" applyAlignment="1">
      <alignment horizontal="center"/>
    </xf>
    <xf numFmtId="41" fontId="10" fillId="3" borderId="24" xfId="2" applyFont="1" applyFill="1" applyBorder="1" applyAlignment="1">
      <alignment horizontal="center"/>
    </xf>
    <xf numFmtId="164" fontId="10" fillId="3" borderId="74" xfId="12" applyFont="1" applyFill="1" applyBorder="1" applyAlignment="1">
      <alignment horizontal="center"/>
    </xf>
    <xf numFmtId="164" fontId="10" fillId="3" borderId="24" xfId="12" applyFont="1" applyFill="1" applyBorder="1" applyAlignment="1"/>
    <xf numFmtId="164" fontId="10" fillId="3" borderId="97" xfId="12" applyFont="1" applyFill="1" applyBorder="1" applyAlignment="1"/>
    <xf numFmtId="0" fontId="0" fillId="0" borderId="96" xfId="0" applyBorder="1"/>
    <xf numFmtId="0" fontId="10" fillId="3" borderId="20" xfId="0" applyFont="1" applyFill="1" applyBorder="1" applyAlignment="1">
      <alignment horizontal="right"/>
    </xf>
    <xf numFmtId="164" fontId="10" fillId="3" borderId="97" xfId="12" applyFont="1" applyFill="1" applyBorder="1" applyAlignment="1">
      <alignment horizontal="center"/>
    </xf>
    <xf numFmtId="41" fontId="10" fillId="3" borderId="97" xfId="2" applyFont="1" applyFill="1" applyBorder="1" applyAlignment="1">
      <alignment horizontal="center"/>
    </xf>
    <xf numFmtId="41" fontId="10" fillId="3" borderId="97" xfId="2" applyFont="1" applyFill="1" applyBorder="1" applyAlignment="1"/>
    <xf numFmtId="164" fontId="10" fillId="3" borderId="74" xfId="12" applyFont="1" applyFill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95" xfId="0" applyBorder="1"/>
    <xf numFmtId="0" fontId="4" fillId="2" borderId="92" xfId="0" applyFont="1" applyFill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/>
    <xf numFmtId="0" fontId="10" fillId="0" borderId="42" xfId="0" applyFont="1" applyBorder="1"/>
    <xf numFmtId="0" fontId="10" fillId="0" borderId="42" xfId="0" applyFont="1" applyBorder="1" applyAlignment="1">
      <alignment horizontal="center"/>
    </xf>
    <xf numFmtId="41" fontId="10" fillId="0" borderId="94" xfId="2" applyFont="1" applyBorder="1"/>
    <xf numFmtId="41" fontId="10" fillId="0" borderId="93" xfId="0" applyNumberFormat="1" applyFont="1" applyBorder="1"/>
    <xf numFmtId="0" fontId="10" fillId="0" borderId="96" xfId="0" applyFont="1" applyBorder="1"/>
    <xf numFmtId="0" fontId="10" fillId="0" borderId="41" xfId="0" applyFont="1" applyBorder="1" applyAlignment="1">
      <alignment horizontal="left"/>
    </xf>
    <xf numFmtId="0" fontId="10" fillId="0" borderId="42" xfId="0" quotePrefix="1" applyFont="1" applyBorder="1" applyAlignment="1">
      <alignment horizontal="center"/>
    </xf>
    <xf numFmtId="41" fontId="10" fillId="0" borderId="42" xfId="2" applyFont="1" applyBorder="1"/>
    <xf numFmtId="0" fontId="74" fillId="0" borderId="0" xfId="0" applyFont="1"/>
    <xf numFmtId="1" fontId="0" fillId="0" borderId="0" xfId="0" applyNumberFormat="1"/>
    <xf numFmtId="0" fontId="45" fillId="9" borderId="11" xfId="22" applyFont="1" applyFill="1" applyBorder="1" applyAlignment="1">
      <alignment horizontal="center" vertical="center" readingOrder="1"/>
    </xf>
    <xf numFmtId="0" fontId="45" fillId="9" borderId="9" xfId="22" applyFont="1" applyFill="1" applyBorder="1" applyAlignment="1">
      <alignment horizontal="center" vertical="center" readingOrder="1"/>
    </xf>
    <xf numFmtId="0" fontId="45" fillId="9" borderId="13" xfId="22" applyFont="1" applyFill="1" applyBorder="1" applyAlignment="1">
      <alignment horizontal="center" vertical="center" readingOrder="1"/>
    </xf>
    <xf numFmtId="0" fontId="45" fillId="9" borderId="13" xfId="22" applyFont="1" applyFill="1" applyBorder="1" applyAlignment="1">
      <alignment horizontal="center" vertical="center" wrapText="1" readingOrder="1"/>
    </xf>
    <xf numFmtId="0" fontId="45" fillId="9" borderId="13" xfId="22" applyFont="1" applyFill="1" applyBorder="1" applyAlignment="1">
      <alignment horizontal="center" vertical="center" wrapText="1"/>
    </xf>
    <xf numFmtId="165" fontId="2" fillId="4" borderId="38" xfId="30" applyFont="1" applyFill="1" applyBorder="1" applyAlignment="1">
      <alignment horizontal="center" vertical="center" wrapText="1"/>
    </xf>
    <xf numFmtId="165" fontId="2" fillId="4" borderId="39" xfId="30" applyFont="1" applyFill="1" applyBorder="1" applyAlignment="1">
      <alignment horizontal="center" vertical="center" wrapText="1"/>
    </xf>
    <xf numFmtId="165" fontId="2" fillId="4" borderId="59" xfId="30" applyFont="1" applyFill="1" applyBorder="1" applyAlignment="1">
      <alignment horizontal="center" vertical="center" wrapText="1"/>
    </xf>
    <xf numFmtId="165" fontId="2" fillId="4" borderId="37" xfId="30" applyFont="1" applyFill="1" applyBorder="1" applyAlignment="1">
      <alignment horizontal="center" vertical="center" wrapText="1"/>
    </xf>
    <xf numFmtId="1" fontId="1" fillId="0" borderId="14" xfId="30" applyNumberFormat="1" applyFont="1" applyBorder="1" applyAlignment="1">
      <alignment horizontal="center" vertical="center"/>
    </xf>
    <xf numFmtId="1" fontId="1" fillId="0" borderId="46" xfId="30" applyNumberFormat="1" applyFont="1" applyBorder="1" applyAlignment="1">
      <alignment horizontal="center" vertical="center"/>
    </xf>
    <xf numFmtId="165" fontId="1" fillId="0" borderId="13" xfId="30" applyFont="1" applyBorder="1" applyAlignment="1">
      <alignment horizontal="center"/>
    </xf>
    <xf numFmtId="165" fontId="2" fillId="4" borderId="11" xfId="30" applyFont="1" applyFill="1" applyBorder="1" applyAlignment="1">
      <alignment horizontal="center" vertical="center"/>
    </xf>
    <xf numFmtId="165" fontId="2" fillId="4" borderId="10" xfId="30" applyFont="1" applyFill="1" applyBorder="1" applyAlignment="1">
      <alignment horizontal="center" vertical="center"/>
    </xf>
    <xf numFmtId="165" fontId="2" fillId="4" borderId="9" xfId="30" applyFont="1" applyFill="1" applyBorder="1" applyAlignment="1">
      <alignment horizontal="center" vertical="center"/>
    </xf>
    <xf numFmtId="165" fontId="2" fillId="4" borderId="11" xfId="30" applyFont="1" applyFill="1" applyBorder="1" applyAlignment="1">
      <alignment horizontal="center" vertical="center" wrapText="1"/>
    </xf>
    <xf numFmtId="165" fontId="2" fillId="4" borderId="10" xfId="30" applyFont="1" applyFill="1" applyBorder="1" applyAlignment="1">
      <alignment horizontal="center" vertical="center" wrapText="1"/>
    </xf>
    <xf numFmtId="165" fontId="2" fillId="4" borderId="9" xfId="3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41" fontId="36" fillId="0" borderId="18" xfId="2" applyFont="1" applyFill="1" applyBorder="1" applyAlignment="1">
      <alignment horizontal="left" vertical="center" wrapText="1"/>
    </xf>
    <xf numFmtId="41" fontId="36" fillId="0" borderId="10" xfId="2" applyFont="1" applyFill="1" applyBorder="1" applyAlignment="1">
      <alignment horizontal="left" vertical="center" wrapText="1"/>
    </xf>
    <xf numFmtId="41" fontId="36" fillId="0" borderId="9" xfId="2" applyFont="1" applyFill="1" applyBorder="1" applyAlignment="1">
      <alignment horizontal="left" vertical="center" wrapText="1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9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43" fillId="0" borderId="11" xfId="9" applyFont="1" applyBorder="1" applyAlignment="1">
      <alignment horizontal="center" vertical="center"/>
    </xf>
    <xf numFmtId="0" fontId="43" fillId="0" borderId="10" xfId="9" applyFont="1" applyBorder="1" applyAlignment="1">
      <alignment horizontal="center" vertical="center"/>
    </xf>
    <xf numFmtId="0" fontId="43" fillId="0" borderId="38" xfId="9" applyFont="1" applyBorder="1" applyAlignment="1">
      <alignment horizontal="center" vertical="center"/>
    </xf>
    <xf numFmtId="0" fontId="43" fillId="0" borderId="39" xfId="9" applyFont="1" applyBorder="1" applyAlignment="1">
      <alignment horizontal="center" vertical="center"/>
    </xf>
    <xf numFmtId="0" fontId="43" fillId="0" borderId="13" xfId="9" applyFont="1" applyBorder="1" applyAlignment="1">
      <alignment horizontal="center" vertical="center" wrapText="1"/>
    </xf>
    <xf numFmtId="0" fontId="43" fillId="0" borderId="11" xfId="9" applyFont="1" applyBorder="1" applyAlignment="1">
      <alignment horizontal="center" vertical="center" wrapText="1"/>
    </xf>
    <xf numFmtId="0" fontId="43" fillId="0" borderId="9" xfId="9" applyFont="1" applyBorder="1" applyAlignment="1">
      <alignment horizontal="center" vertical="center" wrapText="1"/>
    </xf>
    <xf numFmtId="0" fontId="43" fillId="0" borderId="14" xfId="9" applyFont="1" applyBorder="1" applyAlignment="1">
      <alignment horizontal="center" vertical="center" wrapText="1"/>
    </xf>
    <xf numFmtId="0" fontId="43" fillId="0" borderId="46" xfId="9" applyFont="1" applyBorder="1" applyAlignment="1">
      <alignment horizontal="center" vertical="center" wrapText="1"/>
    </xf>
    <xf numFmtId="0" fontId="43" fillId="0" borderId="15" xfId="9" applyFont="1" applyBorder="1" applyAlignment="1">
      <alignment horizontal="center" vertical="center" wrapText="1"/>
    </xf>
    <xf numFmtId="0" fontId="43" fillId="0" borderId="14" xfId="9" applyFont="1" applyBorder="1" applyAlignment="1">
      <alignment horizontal="center" vertical="center"/>
    </xf>
    <xf numFmtId="0" fontId="43" fillId="0" borderId="46" xfId="9" applyFont="1" applyBorder="1" applyAlignment="1">
      <alignment horizontal="center" vertical="center"/>
    </xf>
    <xf numFmtId="0" fontId="43" fillId="0" borderId="15" xfId="9" applyFont="1" applyBorder="1" applyAlignment="1">
      <alignment horizontal="center" vertical="center"/>
    </xf>
    <xf numFmtId="41" fontId="42" fillId="0" borderId="13" xfId="15" applyFont="1" applyFill="1" applyBorder="1" applyAlignment="1">
      <alignment horizontal="center"/>
    </xf>
    <xf numFmtId="0" fontId="49" fillId="7" borderId="3" xfId="0" applyFont="1" applyFill="1" applyBorder="1" applyAlignment="1">
      <alignment horizontal="center" vertical="center"/>
    </xf>
    <xf numFmtId="0" fontId="49" fillId="7" borderId="4" xfId="0" applyFont="1" applyFill="1" applyBorder="1" applyAlignment="1">
      <alignment horizontal="center" vertical="center"/>
    </xf>
    <xf numFmtId="0" fontId="49" fillId="7" borderId="5" xfId="0" applyFont="1" applyFill="1" applyBorder="1" applyAlignment="1">
      <alignment horizontal="center" vertical="center"/>
    </xf>
    <xf numFmtId="0" fontId="49" fillId="7" borderId="2" xfId="0" applyFont="1" applyFill="1" applyBorder="1" applyAlignment="1">
      <alignment horizontal="center" vertical="center" wrapText="1"/>
    </xf>
    <xf numFmtId="0" fontId="49" fillId="7" borderId="9" xfId="0" applyFont="1" applyFill="1" applyBorder="1" applyAlignment="1">
      <alignment horizontal="center" vertical="center" wrapText="1"/>
    </xf>
    <xf numFmtId="0" fontId="50" fillId="7" borderId="7" xfId="0" applyFont="1" applyFill="1" applyBorder="1" applyAlignment="1">
      <alignment horizontal="center" vertical="center"/>
    </xf>
    <xf numFmtId="0" fontId="50" fillId="7" borderId="68" xfId="0" applyFont="1" applyFill="1" applyBorder="1" applyAlignment="1">
      <alignment horizontal="center" vertical="center"/>
    </xf>
    <xf numFmtId="0" fontId="49" fillId="7" borderId="3" xfId="0" applyFont="1" applyFill="1" applyBorder="1" applyAlignment="1">
      <alignment horizontal="center" vertical="center" wrapText="1"/>
    </xf>
    <xf numFmtId="0" fontId="49" fillId="7" borderId="4" xfId="0" applyFont="1" applyFill="1" applyBorder="1" applyAlignment="1">
      <alignment horizontal="center" vertical="center" wrapText="1"/>
    </xf>
    <xf numFmtId="0" fontId="49" fillId="7" borderId="5" xfId="0" applyFont="1" applyFill="1" applyBorder="1" applyAlignment="1">
      <alignment horizontal="center" vertical="center" wrapText="1"/>
    </xf>
    <xf numFmtId="175" fontId="2" fillId="0" borderId="0" xfId="0" applyNumberFormat="1" applyFont="1" applyFill="1" applyAlignment="1">
      <alignment horizontal="center"/>
    </xf>
    <xf numFmtId="0" fontId="49" fillId="7" borderId="67" xfId="0" applyFont="1" applyFill="1" applyBorder="1" applyAlignment="1">
      <alignment horizontal="center" vertical="center" wrapText="1"/>
    </xf>
    <xf numFmtId="0" fontId="49" fillId="7" borderId="66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49" fillId="0" borderId="9" xfId="0" applyFont="1" applyFill="1" applyBorder="1" applyAlignment="1">
      <alignment horizontal="center" vertical="center" wrapText="1"/>
    </xf>
  </cellXfs>
  <cellStyles count="36">
    <cellStyle name="Comma" xfId="1" builtinId="3"/>
    <cellStyle name="Comma [0]" xfId="2" builtinId="6"/>
    <cellStyle name="Comma [0] 10" xfId="19"/>
    <cellStyle name="Comma [0] 10 10" xfId="15"/>
    <cellStyle name="Comma [0] 10 2 2 6 2" xfId="16"/>
    <cellStyle name="Comma [0] 10 2 9 3" xfId="23"/>
    <cellStyle name="Comma [0] 123 3" xfId="8"/>
    <cellStyle name="Comma [0] 14" xfId="6"/>
    <cellStyle name="Comma [0] 170" xfId="14"/>
    <cellStyle name="Comma [0] 2 12 2" xfId="18"/>
    <cellStyle name="Comma [0] 2 3" xfId="29"/>
    <cellStyle name="Comma [0] 23" xfId="12"/>
    <cellStyle name="Comma [0] 4" xfId="20"/>
    <cellStyle name="Comma [0] 4 2" xfId="35"/>
    <cellStyle name="Comma [0] 5" xfId="30"/>
    <cellStyle name="Comma [0] 6" xfId="34"/>
    <cellStyle name="Comma 11" xfId="33"/>
    <cellStyle name="Comma 136" xfId="17"/>
    <cellStyle name="Comma 2" xfId="4"/>
    <cellStyle name="Comma 2 2 10" xfId="11"/>
    <cellStyle name="Comma 2 2 10 2" xfId="10"/>
    <cellStyle name="Comma 2 4 2 2 2 2 2" xfId="3"/>
    <cellStyle name="Comma 3" xfId="24"/>
    <cellStyle name="Comma 4" xfId="26"/>
    <cellStyle name="Comma 5" xfId="27"/>
    <cellStyle name="Normal" xfId="0" builtinId="0"/>
    <cellStyle name="Normal 10 10 2" xfId="9"/>
    <cellStyle name="Normal 199 3" xfId="7"/>
    <cellStyle name="Normal 2" xfId="22"/>
    <cellStyle name="Normal 253" xfId="13"/>
    <cellStyle name="Normal 3 2" xfId="32"/>
    <cellStyle name="Normal 45" xfId="5"/>
    <cellStyle name="Normal 46 2" xfId="31"/>
    <cellStyle name="Normal 5" xfId="21"/>
    <cellStyle name="Normal 5 2 2" xfId="28"/>
    <cellStyle name="TableStyleLight1" xfId="25"/>
  </cellStyles>
  <dxfs count="26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8" formatCode="_(* #,##0_);_(* \(#,##0\);_(* &quot;-&quot;??_);_(@_)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Gab.%20RO%20Per%20KPH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H . . . . . . ."/>
      <sheetName val="KPH SUMEDANG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2" displayName="Table2" ref="A7:V40" totalsRowShown="0" headerRowDxfId="24" dataDxfId="23" tableBorderDxfId="22">
  <autoFilter ref="A7:V40"/>
  <tableColumns count="22">
    <tableColumn id="1" name="1" dataDxfId="21"/>
    <tableColumn id="2" name="2" dataDxfId="20"/>
    <tableColumn id="3" name="3" dataDxfId="19"/>
    <tableColumn id="4" name="4" dataDxfId="18"/>
    <tableColumn id="5" name="Column1" dataDxfId="17"/>
    <tableColumn id="6" name="5" dataDxfId="16"/>
    <tableColumn id="7" name="6" dataDxfId="15"/>
    <tableColumn id="8" name="7" dataDxfId="14"/>
    <tableColumn id="9" name="8" dataDxfId="13"/>
    <tableColumn id="10" name="9" dataDxfId="12"/>
    <tableColumn id="11" name="10" dataDxfId="11"/>
    <tableColumn id="12" name="11" dataDxfId="10"/>
    <tableColumn id="13" name="12" dataDxfId="9"/>
    <tableColumn id="14" name="13" dataDxfId="8"/>
    <tableColumn id="15" name="14" dataDxfId="7"/>
    <tableColumn id="16" name="15" dataDxfId="6"/>
    <tableColumn id="17" name="16" dataDxfId="5"/>
    <tableColumn id="18" name="17" dataDxfId="4">
      <calculatedColumnFormula>Table2[[#This Row],[20]]/1.11</calculatedColumnFormula>
    </tableColumn>
    <tableColumn id="19" name="18" dataDxfId="3" dataCellStyle="Comma">
      <calculatedColumnFormula>Table2[[#This Row],[20]]/1.11</calculatedColumnFormula>
    </tableColumn>
    <tableColumn id="20" name="19" dataDxfId="2" dataCellStyle="Comma"/>
    <tableColumn id="21" name="20" dataDxfId="1" dataCellStyle="Comma"/>
    <tableColumn id="28" name="2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D10" workbookViewId="0">
      <selection activeCell="H14" sqref="H14"/>
    </sheetView>
  </sheetViews>
  <sheetFormatPr defaultColWidth="10.28515625" defaultRowHeight="15" x14ac:dyDescent="0.25"/>
  <cols>
    <col min="1" max="1" width="4.85546875" style="367" customWidth="1"/>
    <col min="2" max="2" width="23.85546875" style="367" customWidth="1"/>
    <col min="3" max="3" width="9.85546875" style="367" customWidth="1"/>
    <col min="4" max="4" width="10.5703125" style="367" customWidth="1"/>
    <col min="5" max="5" width="13.5703125" style="367" customWidth="1"/>
    <col min="6" max="6" width="9.85546875" style="367" customWidth="1"/>
    <col min="7" max="7" width="16.85546875" style="367" customWidth="1"/>
    <col min="8" max="8" width="15" style="367" customWidth="1"/>
    <col min="9" max="9" width="7.5703125" style="367" customWidth="1"/>
    <col min="10" max="10" width="13.85546875" style="367" customWidth="1"/>
    <col min="11" max="11" width="7.7109375" style="367" customWidth="1"/>
    <col min="12" max="12" width="65.5703125" style="367" customWidth="1"/>
    <col min="13" max="13" width="10.28515625" style="367" hidden="1" customWidth="1"/>
    <col min="14" max="14" width="15.85546875" style="367" customWidth="1"/>
    <col min="15" max="16384" width="10.28515625" style="367"/>
  </cols>
  <sheetData>
    <row r="1" spans="1:14" x14ac:dyDescent="0.25">
      <c r="A1" s="467" t="s">
        <v>1352</v>
      </c>
    </row>
    <row r="2" spans="1:14" x14ac:dyDescent="0.25">
      <c r="A2" s="467" t="s">
        <v>1353</v>
      </c>
    </row>
    <row r="3" spans="1:14" x14ac:dyDescent="0.25">
      <c r="A3" s="467" t="s">
        <v>1354</v>
      </c>
    </row>
    <row r="4" spans="1:14" x14ac:dyDescent="0.25">
      <c r="A4" s="468"/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</row>
    <row r="5" spans="1:14" s="469" customFormat="1" ht="12.75" x14ac:dyDescent="0.2">
      <c r="A5" s="738" t="s">
        <v>2</v>
      </c>
      <c r="B5" s="738" t="s">
        <v>1355</v>
      </c>
      <c r="C5" s="736" t="s">
        <v>1356</v>
      </c>
      <c r="D5" s="736" t="s">
        <v>1357</v>
      </c>
      <c r="E5" s="739" t="s">
        <v>1358</v>
      </c>
      <c r="F5" s="736" t="s">
        <v>1357</v>
      </c>
      <c r="G5" s="739" t="s">
        <v>1556</v>
      </c>
      <c r="H5" s="739" t="s">
        <v>1557</v>
      </c>
      <c r="I5" s="739" t="s">
        <v>1359</v>
      </c>
      <c r="J5" s="739" t="s">
        <v>1375</v>
      </c>
      <c r="K5" s="739" t="s">
        <v>1374</v>
      </c>
      <c r="L5" s="740" t="s">
        <v>10</v>
      </c>
    </row>
    <row r="6" spans="1:14" s="469" customFormat="1" ht="29.25" customHeight="1" x14ac:dyDescent="0.2">
      <c r="A6" s="738"/>
      <c r="B6" s="738"/>
      <c r="C6" s="737"/>
      <c r="D6" s="737"/>
      <c r="E6" s="739"/>
      <c r="F6" s="737"/>
      <c r="G6" s="739"/>
      <c r="H6" s="739"/>
      <c r="I6" s="739"/>
      <c r="J6" s="739"/>
      <c r="K6" s="739"/>
      <c r="L6" s="740"/>
    </row>
    <row r="7" spans="1:14" s="469" customFormat="1" ht="12.75" x14ac:dyDescent="0.2">
      <c r="A7" s="470">
        <v>1</v>
      </c>
      <c r="B7" s="471">
        <v>2</v>
      </c>
      <c r="C7" s="472">
        <v>3</v>
      </c>
      <c r="D7" s="471">
        <v>4</v>
      </c>
      <c r="E7" s="470">
        <v>5</v>
      </c>
      <c r="F7" s="470"/>
      <c r="G7" s="470">
        <v>5</v>
      </c>
      <c r="H7" s="470"/>
      <c r="I7" s="470">
        <v>6</v>
      </c>
      <c r="J7" s="470"/>
      <c r="K7" s="471"/>
      <c r="L7" s="471">
        <v>7</v>
      </c>
    </row>
    <row r="8" spans="1:14" s="469" customFormat="1" ht="12.75" x14ac:dyDescent="0.2">
      <c r="A8" s="473">
        <v>1</v>
      </c>
      <c r="B8" s="474" t="s">
        <v>79</v>
      </c>
      <c r="C8" s="475" t="s">
        <v>1360</v>
      </c>
      <c r="D8" s="476">
        <v>19</v>
      </c>
      <c r="E8" s="477">
        <v>433950000</v>
      </c>
      <c r="F8" s="476">
        <v>18</v>
      </c>
      <c r="G8" s="478">
        <v>393900000</v>
      </c>
      <c r="H8" s="598">
        <v>434200000</v>
      </c>
      <c r="I8" s="479">
        <f t="shared" ref="I8:I23" si="0">+G8/E8*100</f>
        <v>90.770826132042856</v>
      </c>
      <c r="J8" s="492">
        <v>506228230</v>
      </c>
      <c r="K8" s="492">
        <f>+J8/E8*100</f>
        <v>116.65588892729576</v>
      </c>
      <c r="L8" s="476"/>
    </row>
    <row r="9" spans="1:14" s="469" customFormat="1" ht="12.75" x14ac:dyDescent="0.2">
      <c r="A9" s="473">
        <f>A8+1</f>
        <v>2</v>
      </c>
      <c r="B9" s="474" t="s">
        <v>508</v>
      </c>
      <c r="C9" s="475" t="s">
        <v>1360</v>
      </c>
      <c r="D9" s="476">
        <v>33</v>
      </c>
      <c r="E9" s="477">
        <v>374822880.80000001</v>
      </c>
      <c r="F9" s="476">
        <v>27</v>
      </c>
      <c r="G9" s="478">
        <v>1227257834</v>
      </c>
      <c r="H9" s="598">
        <v>1227257834</v>
      </c>
      <c r="I9" s="479">
        <f t="shared" si="0"/>
        <v>327.42340365684527</v>
      </c>
      <c r="J9" s="492">
        <v>352000000</v>
      </c>
      <c r="K9" s="492">
        <f t="shared" ref="K9:K22" si="1">+J9/E9*100</f>
        <v>93.911022520480032</v>
      </c>
      <c r="L9" s="494" t="s">
        <v>1361</v>
      </c>
    </row>
    <row r="10" spans="1:14" s="469" customFormat="1" ht="12.75" x14ac:dyDescent="0.2">
      <c r="A10" s="473">
        <f t="shared" ref="A10:A22" si="2">A9+1</f>
        <v>3</v>
      </c>
      <c r="B10" s="474" t="s">
        <v>1362</v>
      </c>
      <c r="C10" s="475" t="s">
        <v>1360</v>
      </c>
      <c r="D10" s="476">
        <v>48</v>
      </c>
      <c r="E10" s="477">
        <v>1029478912.90909</v>
      </c>
      <c r="F10" s="476">
        <v>63</v>
      </c>
      <c r="G10" s="478">
        <v>955983200.01392305</v>
      </c>
      <c r="H10" s="598">
        <v>1039983200.013923</v>
      </c>
      <c r="I10" s="479">
        <f t="shared" si="0"/>
        <v>92.860882144007832</v>
      </c>
      <c r="J10" s="492">
        <v>1029478912.90909</v>
      </c>
      <c r="K10" s="492">
        <f t="shared" si="1"/>
        <v>100</v>
      </c>
      <c r="L10" s="476"/>
    </row>
    <row r="11" spans="1:14" s="469" customFormat="1" ht="12.75" x14ac:dyDescent="0.2">
      <c r="A11" s="473">
        <f t="shared" si="2"/>
        <v>4</v>
      </c>
      <c r="B11" s="474" t="s">
        <v>194</v>
      </c>
      <c r="C11" s="475" t="s">
        <v>1360</v>
      </c>
      <c r="D11" s="476">
        <v>18</v>
      </c>
      <c r="E11" s="477">
        <v>428456939.72727299</v>
      </c>
      <c r="F11" s="476">
        <v>18</v>
      </c>
      <c r="G11" s="478">
        <v>276588839.18181813</v>
      </c>
      <c r="H11" s="598">
        <v>326588839.18181813</v>
      </c>
      <c r="I11" s="479">
        <f t="shared" si="0"/>
        <v>64.554640976961664</v>
      </c>
      <c r="J11" s="492">
        <v>437026078.52181846</v>
      </c>
      <c r="K11" s="492">
        <f t="shared" si="1"/>
        <v>102</v>
      </c>
      <c r="L11" s="480" t="s">
        <v>1363</v>
      </c>
    </row>
    <row r="12" spans="1:14" s="469" customFormat="1" ht="12.75" x14ac:dyDescent="0.2">
      <c r="A12" s="473">
        <f t="shared" si="2"/>
        <v>5</v>
      </c>
      <c r="B12" s="474" t="s">
        <v>1364</v>
      </c>
      <c r="C12" s="475" t="s">
        <v>1360</v>
      </c>
      <c r="D12" s="476">
        <v>50</v>
      </c>
      <c r="E12" s="477">
        <v>1402548773.2272699</v>
      </c>
      <c r="F12" s="476">
        <v>43</v>
      </c>
      <c r="G12" s="478">
        <v>960493255.23636365</v>
      </c>
      <c r="H12" s="598">
        <v>960493255.23636365</v>
      </c>
      <c r="I12" s="479">
        <f t="shared" si="0"/>
        <v>68.481986050742833</v>
      </c>
      <c r="J12" s="492">
        <v>1402548773.2272699</v>
      </c>
      <c r="K12" s="492">
        <f t="shared" si="1"/>
        <v>100</v>
      </c>
      <c r="L12" s="480" t="s">
        <v>1363</v>
      </c>
    </row>
    <row r="13" spans="1:14" s="469" customFormat="1" ht="12.75" x14ac:dyDescent="0.2">
      <c r="A13" s="473">
        <f t="shared" si="2"/>
        <v>6</v>
      </c>
      <c r="B13" s="474" t="s">
        <v>1068</v>
      </c>
      <c r="C13" s="475" t="s">
        <v>1360</v>
      </c>
      <c r="D13" s="476">
        <v>43</v>
      </c>
      <c r="E13" s="477">
        <v>1738440909.54545</v>
      </c>
      <c r="F13" s="476">
        <v>32</v>
      </c>
      <c r="G13" s="478">
        <v>1384771432.9238329</v>
      </c>
      <c r="H13" s="598">
        <v>1384771432.9238329</v>
      </c>
      <c r="I13" s="479">
        <f t="shared" si="0"/>
        <v>79.655939141808901</v>
      </c>
      <c r="J13" s="492">
        <v>1906592767.2836199</v>
      </c>
      <c r="K13" s="492">
        <f t="shared" si="1"/>
        <v>109.6725667703101</v>
      </c>
      <c r="L13" s="476"/>
    </row>
    <row r="14" spans="1:14" s="469" customFormat="1" ht="12.75" x14ac:dyDescent="0.2">
      <c r="A14" s="473">
        <f t="shared" si="2"/>
        <v>7</v>
      </c>
      <c r="B14" s="474" t="s">
        <v>1365</v>
      </c>
      <c r="C14" s="475" t="s">
        <v>1360</v>
      </c>
      <c r="D14" s="476">
        <v>89</v>
      </c>
      <c r="E14" s="477">
        <v>705754500</v>
      </c>
      <c r="F14" s="476">
        <v>87</v>
      </c>
      <c r="G14" s="478">
        <v>618154848</v>
      </c>
      <c r="H14" s="598">
        <v>722779848</v>
      </c>
      <c r="I14" s="479">
        <f t="shared" si="0"/>
        <v>87.587801140481574</v>
      </c>
      <c r="J14" s="492">
        <v>663254848</v>
      </c>
      <c r="K14" s="492">
        <f t="shared" si="1"/>
        <v>93.978125254603412</v>
      </c>
      <c r="L14" s="476"/>
    </row>
    <row r="15" spans="1:14" s="469" customFormat="1" ht="12.75" x14ac:dyDescent="0.2">
      <c r="A15" s="473">
        <f t="shared" si="2"/>
        <v>8</v>
      </c>
      <c r="B15" s="474" t="s">
        <v>1065</v>
      </c>
      <c r="C15" s="475" t="s">
        <v>1360</v>
      </c>
      <c r="D15" s="476">
        <v>97</v>
      </c>
      <c r="E15" s="477">
        <v>474100927.81818199</v>
      </c>
      <c r="F15" s="476">
        <v>95</v>
      </c>
      <c r="G15" s="478">
        <v>407071836.90909094</v>
      </c>
      <c r="H15" s="598">
        <v>437071836.909091</v>
      </c>
      <c r="I15" s="479">
        <f t="shared" si="0"/>
        <v>85.861851986335552</v>
      </c>
      <c r="J15" s="492">
        <v>464017350.30466837</v>
      </c>
      <c r="K15" s="492">
        <f t="shared" si="1"/>
        <v>97.873115844780486</v>
      </c>
      <c r="L15" s="476"/>
    </row>
    <row r="16" spans="1:14" s="469" customFormat="1" ht="12.75" x14ac:dyDescent="0.2">
      <c r="A16" s="473">
        <f t="shared" si="2"/>
        <v>9</v>
      </c>
      <c r="B16" s="474" t="s">
        <v>1366</v>
      </c>
      <c r="C16" s="475" t="s">
        <v>1360</v>
      </c>
      <c r="D16" s="476">
        <v>4</v>
      </c>
      <c r="E16" s="481">
        <v>130400000</v>
      </c>
      <c r="F16" s="476">
        <v>4</v>
      </c>
      <c r="G16" s="478">
        <v>138540000</v>
      </c>
      <c r="H16" s="598">
        <v>138540000</v>
      </c>
      <c r="I16" s="479">
        <f t="shared" si="0"/>
        <v>106.24233128834355</v>
      </c>
      <c r="J16" s="492">
        <v>130400000</v>
      </c>
      <c r="K16" s="492">
        <f t="shared" si="1"/>
        <v>100</v>
      </c>
      <c r="L16" s="480"/>
    </row>
    <row r="17" spans="1:12" s="469" customFormat="1" ht="12.75" x14ac:dyDescent="0.2">
      <c r="A17" s="473">
        <f t="shared" si="2"/>
        <v>10</v>
      </c>
      <c r="B17" s="474" t="s">
        <v>1367</v>
      </c>
      <c r="C17" s="475" t="s">
        <v>1360</v>
      </c>
      <c r="D17" s="476">
        <v>11</v>
      </c>
      <c r="E17" s="481">
        <v>25026000</v>
      </c>
      <c r="F17" s="476">
        <v>17</v>
      </c>
      <c r="G17" s="478">
        <v>39568500</v>
      </c>
      <c r="H17" s="598">
        <v>45568500</v>
      </c>
      <c r="I17" s="479">
        <f t="shared" si="0"/>
        <v>158.10956605130664</v>
      </c>
      <c r="J17" s="492">
        <v>30000000</v>
      </c>
      <c r="K17" s="492">
        <f t="shared" si="1"/>
        <v>119.87532965715656</v>
      </c>
      <c r="L17" s="480" t="s">
        <v>1368</v>
      </c>
    </row>
    <row r="18" spans="1:12" s="469" customFormat="1" ht="12.75" x14ac:dyDescent="0.2">
      <c r="A18" s="473">
        <f t="shared" si="2"/>
        <v>11</v>
      </c>
      <c r="B18" s="474" t="s">
        <v>311</v>
      </c>
      <c r="C18" s="475" t="s">
        <v>1360</v>
      </c>
      <c r="D18" s="476">
        <v>30</v>
      </c>
      <c r="E18" s="481">
        <v>209300567</v>
      </c>
      <c r="F18" s="476">
        <v>40</v>
      </c>
      <c r="G18" s="478">
        <v>197018113.40000004</v>
      </c>
      <c r="H18" s="598">
        <v>197018113.40000004</v>
      </c>
      <c r="I18" s="479">
        <f t="shared" si="0"/>
        <v>94.131667306950035</v>
      </c>
      <c r="J18" s="492">
        <v>209300567</v>
      </c>
      <c r="K18" s="492">
        <f t="shared" si="1"/>
        <v>100</v>
      </c>
      <c r="L18" s="480" t="s">
        <v>1363</v>
      </c>
    </row>
    <row r="19" spans="1:12" s="469" customFormat="1" ht="12.75" x14ac:dyDescent="0.2">
      <c r="A19" s="473">
        <f t="shared" si="2"/>
        <v>12</v>
      </c>
      <c r="B19" s="474" t="s">
        <v>297</v>
      </c>
      <c r="C19" s="475" t="s">
        <v>1360</v>
      </c>
      <c r="D19" s="476">
        <v>17</v>
      </c>
      <c r="E19" s="482">
        <v>121446181</v>
      </c>
      <c r="F19" s="476">
        <v>10</v>
      </c>
      <c r="G19" s="478">
        <v>122279911</v>
      </c>
      <c r="H19" s="598">
        <v>122279911</v>
      </c>
      <c r="I19" s="479">
        <f t="shared" si="0"/>
        <v>100.68650162000566</v>
      </c>
      <c r="J19" s="492">
        <v>121446181</v>
      </c>
      <c r="K19" s="492">
        <f t="shared" si="1"/>
        <v>100</v>
      </c>
      <c r="L19" s="480"/>
    </row>
    <row r="20" spans="1:12" s="469" customFormat="1" ht="12.75" x14ac:dyDescent="0.2">
      <c r="A20" s="473">
        <f t="shared" si="2"/>
        <v>13</v>
      </c>
      <c r="B20" s="474" t="s">
        <v>70</v>
      </c>
      <c r="C20" s="475" t="s">
        <v>1360</v>
      </c>
      <c r="D20" s="476">
        <v>19</v>
      </c>
      <c r="E20" s="482">
        <v>155453270</v>
      </c>
      <c r="F20" s="476">
        <v>27</v>
      </c>
      <c r="G20" s="478">
        <v>158654897</v>
      </c>
      <c r="H20" s="598">
        <v>158654897</v>
      </c>
      <c r="I20" s="479">
        <f t="shared" si="0"/>
        <v>102.05954303823907</v>
      </c>
      <c r="J20" s="492">
        <v>155453270</v>
      </c>
      <c r="K20" s="492">
        <f t="shared" si="1"/>
        <v>100</v>
      </c>
      <c r="L20" s="480" t="s">
        <v>1369</v>
      </c>
    </row>
    <row r="21" spans="1:12" s="469" customFormat="1" ht="12.75" x14ac:dyDescent="0.2">
      <c r="A21" s="473">
        <f t="shared" si="2"/>
        <v>14</v>
      </c>
      <c r="B21" s="474" t="s">
        <v>1370</v>
      </c>
      <c r="C21" s="475" t="s">
        <v>1360</v>
      </c>
      <c r="D21" s="476">
        <v>406</v>
      </c>
      <c r="E21" s="483">
        <v>730997994</v>
      </c>
      <c r="F21" s="476">
        <v>414</v>
      </c>
      <c r="G21" s="478">
        <v>944727411.27363646</v>
      </c>
      <c r="H21" s="598">
        <v>944727411.27363646</v>
      </c>
      <c r="I21" s="479">
        <f t="shared" si="0"/>
        <v>129.23803061402609</v>
      </c>
      <c r="J21" s="492">
        <v>1269137462.9300001</v>
      </c>
      <c r="K21" s="492">
        <f t="shared" si="1"/>
        <v>173.61709243349856</v>
      </c>
      <c r="L21" s="480"/>
    </row>
    <row r="22" spans="1:12" s="469" customFormat="1" ht="12.75" x14ac:dyDescent="0.2">
      <c r="A22" s="473">
        <f t="shared" si="2"/>
        <v>15</v>
      </c>
      <c r="B22" s="474" t="s">
        <v>1371</v>
      </c>
      <c r="C22" s="475" t="s">
        <v>1360</v>
      </c>
      <c r="D22" s="476">
        <v>6</v>
      </c>
      <c r="E22" s="482">
        <v>955246000</v>
      </c>
      <c r="F22" s="476">
        <v>9</v>
      </c>
      <c r="G22" s="484">
        <v>350159090.90909088</v>
      </c>
      <c r="H22" s="599">
        <v>350159090.90909088</v>
      </c>
      <c r="I22" s="479">
        <f t="shared" si="0"/>
        <v>36.656431004065013</v>
      </c>
      <c r="J22" s="492">
        <v>734723140</v>
      </c>
      <c r="K22" s="492">
        <f t="shared" si="1"/>
        <v>76.914547666255601</v>
      </c>
      <c r="L22" s="480"/>
    </row>
    <row r="23" spans="1:12" s="469" customFormat="1" ht="12.75" x14ac:dyDescent="0.2">
      <c r="A23" s="485"/>
      <c r="B23" s="486" t="s">
        <v>1372</v>
      </c>
      <c r="C23" s="487"/>
      <c r="D23" s="488">
        <f>SUM(D9:D22)</f>
        <v>871</v>
      </c>
      <c r="E23" s="489">
        <f>SUM(E8:E22)</f>
        <v>8915423856.0272655</v>
      </c>
      <c r="F23" s="488">
        <f>SUM(F9:F22)</f>
        <v>886</v>
      </c>
      <c r="G23" s="490">
        <f>SUM(G8:G22)</f>
        <v>8175169169.8477564</v>
      </c>
      <c r="H23" s="490">
        <f>SUM(H8:H22)</f>
        <v>8490094169.8477564</v>
      </c>
      <c r="I23" s="493">
        <f t="shared" si="0"/>
        <v>91.696920997434574</v>
      </c>
      <c r="J23" s="490">
        <f>SUM(J8:J22)</f>
        <v>9411607581.176466</v>
      </c>
      <c r="K23" s="490">
        <f>+J23/E23*100</f>
        <v>105.56545300775302</v>
      </c>
      <c r="L23" s="491"/>
    </row>
    <row r="27" spans="1:12" x14ac:dyDescent="0.25">
      <c r="H27" s="653">
        <v>8468093556</v>
      </c>
    </row>
    <row r="28" spans="1:12" x14ac:dyDescent="0.25">
      <c r="H28" s="652">
        <f>+H27-H23</f>
        <v>-22000613.847756386</v>
      </c>
    </row>
  </sheetData>
  <mergeCells count="12">
    <mergeCell ref="G5:G6"/>
    <mergeCell ref="I5:I6"/>
    <mergeCell ref="J5:J6"/>
    <mergeCell ref="L5:L6"/>
    <mergeCell ref="K5:K6"/>
    <mergeCell ref="H5:H6"/>
    <mergeCell ref="F5:F6"/>
    <mergeCell ref="A5:A6"/>
    <mergeCell ref="B5:B6"/>
    <mergeCell ref="C5:C6"/>
    <mergeCell ref="D5:D6"/>
    <mergeCell ref="E5:E6"/>
  </mergeCells>
  <pageMargins left="0.45" right="0.45" top="0.75" bottom="0.75" header="0.3" footer="0.3"/>
  <pageSetup paperSize="5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pane xSplit="2" ySplit="7" topLeftCell="N38" activePane="bottomRight" state="frozen"/>
      <selection pane="topRight" activeCell="C1" sqref="C1"/>
      <selection pane="bottomLeft" activeCell="A8" sqref="A8"/>
      <selection pane="bottomRight" activeCell="R43" sqref="R43"/>
    </sheetView>
  </sheetViews>
  <sheetFormatPr defaultColWidth="9.140625" defaultRowHeight="15" x14ac:dyDescent="0.25"/>
  <cols>
    <col min="1" max="1" width="5" style="463" customWidth="1"/>
    <col min="2" max="2" width="22.28515625" style="463" customWidth="1"/>
    <col min="3" max="3" width="50" style="463" customWidth="1"/>
    <col min="4" max="4" width="11.140625" style="495" customWidth="1"/>
    <col min="5" max="5" width="14.140625" style="495" customWidth="1"/>
    <col min="6" max="6" width="39" style="496" hidden="1" customWidth="1"/>
    <col min="7" max="7" width="7.42578125" style="367" hidden="1" customWidth="1"/>
    <col min="8" max="8" width="25" style="463" customWidth="1"/>
    <col min="9" max="9" width="45.140625" style="463" hidden="1" customWidth="1"/>
    <col min="10" max="10" width="11.42578125" style="463" hidden="1" customWidth="1"/>
    <col min="11" max="11" width="17.28515625" style="367" hidden="1" customWidth="1"/>
    <col min="12" max="12" width="23.5703125" style="463" customWidth="1"/>
    <col min="13" max="13" width="41" style="463" customWidth="1"/>
    <col min="14" max="14" width="12" style="463" customWidth="1"/>
    <col min="15" max="15" width="12.28515625" style="463" customWidth="1"/>
    <col min="16" max="16" width="11.85546875" style="463" customWidth="1"/>
    <col min="17" max="17" width="13.5703125" style="463" customWidth="1"/>
    <col min="18" max="18" width="17.7109375" style="463" customWidth="1"/>
    <col min="19" max="19" width="15.5703125" style="463" bestFit="1" customWidth="1"/>
    <col min="20" max="20" width="8.140625" style="367" bestFit="1" customWidth="1"/>
    <col min="21" max="21" width="15.5703125" style="463" bestFit="1" customWidth="1"/>
    <col min="22" max="22" width="32.5703125" style="463" customWidth="1"/>
    <col min="23" max="16384" width="9.140625" style="367"/>
  </cols>
  <sheetData>
    <row r="1" spans="1:22" x14ac:dyDescent="0.25">
      <c r="A1" s="368" t="s">
        <v>0</v>
      </c>
    </row>
    <row r="2" spans="1:22" x14ac:dyDescent="0.25">
      <c r="A2" s="368" t="s">
        <v>1</v>
      </c>
      <c r="B2" s="497"/>
      <c r="C2" s="498"/>
    </row>
    <row r="3" spans="1:22" x14ac:dyDescent="0.25">
      <c r="A3" s="368" t="s">
        <v>1354</v>
      </c>
      <c r="B3" s="497"/>
      <c r="C3" s="498"/>
    </row>
    <row r="4" spans="1:22" ht="15.75" thickBot="1" x14ac:dyDescent="0.3">
      <c r="A4" s="368"/>
      <c r="B4" s="497"/>
      <c r="C4" s="498"/>
      <c r="R4" s="499"/>
      <c r="S4" s="499"/>
    </row>
    <row r="5" spans="1:22" ht="23.1" customHeight="1" x14ac:dyDescent="0.25">
      <c r="A5" s="858" t="s">
        <v>2</v>
      </c>
      <c r="B5" s="850" t="s">
        <v>3</v>
      </c>
      <c r="C5" s="854" t="s">
        <v>4</v>
      </c>
      <c r="D5" s="855"/>
      <c r="E5" s="855"/>
      <c r="F5" s="855"/>
      <c r="G5" s="856"/>
      <c r="H5" s="850" t="s">
        <v>5</v>
      </c>
      <c r="I5" s="847" t="s">
        <v>6</v>
      </c>
      <c r="J5" s="848"/>
      <c r="K5" s="849"/>
      <c r="L5" s="854" t="s">
        <v>7</v>
      </c>
      <c r="M5" s="855"/>
      <c r="N5" s="856"/>
      <c r="O5" s="847" t="s">
        <v>8</v>
      </c>
      <c r="P5" s="848"/>
      <c r="Q5" s="849"/>
      <c r="R5" s="854" t="s">
        <v>9</v>
      </c>
      <c r="S5" s="855"/>
      <c r="T5" s="855"/>
      <c r="U5" s="856"/>
      <c r="V5" s="852" t="s">
        <v>1376</v>
      </c>
    </row>
    <row r="6" spans="1:22" ht="78.75" customHeight="1" x14ac:dyDescent="0.25">
      <c r="A6" s="859"/>
      <c r="B6" s="851"/>
      <c r="C6" s="384" t="s">
        <v>11</v>
      </c>
      <c r="D6" s="500" t="s">
        <v>12</v>
      </c>
      <c r="E6" s="501" t="s">
        <v>724</v>
      </c>
      <c r="F6" s="459" t="s">
        <v>14</v>
      </c>
      <c r="G6" s="459" t="s">
        <v>1064</v>
      </c>
      <c r="H6" s="851"/>
      <c r="I6" s="386" t="s">
        <v>16</v>
      </c>
      <c r="J6" s="386" t="s">
        <v>17</v>
      </c>
      <c r="K6" s="387" t="s">
        <v>18</v>
      </c>
      <c r="L6" s="387" t="s">
        <v>19</v>
      </c>
      <c r="M6" s="387" t="s">
        <v>14</v>
      </c>
      <c r="N6" s="387" t="s">
        <v>20</v>
      </c>
      <c r="O6" s="386" t="s">
        <v>21</v>
      </c>
      <c r="P6" s="386" t="s">
        <v>22</v>
      </c>
      <c r="Q6" s="384" t="s">
        <v>23</v>
      </c>
      <c r="R6" s="384" t="s">
        <v>24</v>
      </c>
      <c r="S6" s="384" t="s">
        <v>25</v>
      </c>
      <c r="T6" s="384" t="s">
        <v>26</v>
      </c>
      <c r="U6" s="384" t="s">
        <v>27</v>
      </c>
      <c r="V6" s="853"/>
    </row>
    <row r="7" spans="1:22" x14ac:dyDescent="0.25">
      <c r="A7" s="502" t="s">
        <v>1071</v>
      </c>
      <c r="B7" s="502" t="s">
        <v>1072</v>
      </c>
      <c r="C7" s="502" t="s">
        <v>1073</v>
      </c>
      <c r="D7" s="503" t="s">
        <v>1074</v>
      </c>
      <c r="E7" s="504" t="s">
        <v>1075</v>
      </c>
      <c r="F7" s="148" t="s">
        <v>1076</v>
      </c>
      <c r="G7" s="502" t="s">
        <v>1077</v>
      </c>
      <c r="H7" s="502" t="s">
        <v>1078</v>
      </c>
      <c r="I7" s="505" t="s">
        <v>1079</v>
      </c>
      <c r="J7" s="502" t="s">
        <v>1080</v>
      </c>
      <c r="K7" s="502" t="s">
        <v>1081</v>
      </c>
      <c r="L7" s="502" t="s">
        <v>1082</v>
      </c>
      <c r="M7" s="502" t="s">
        <v>1083</v>
      </c>
      <c r="N7" s="502" t="s">
        <v>1084</v>
      </c>
      <c r="O7" s="502" t="s">
        <v>1085</v>
      </c>
      <c r="P7" s="502" t="s">
        <v>1086</v>
      </c>
      <c r="Q7" s="502" t="s">
        <v>1087</v>
      </c>
      <c r="R7" s="502" t="s">
        <v>1088</v>
      </c>
      <c r="S7" s="502" t="s">
        <v>1089</v>
      </c>
      <c r="T7" s="502" t="s">
        <v>1090</v>
      </c>
      <c r="U7" s="502" t="s">
        <v>1091</v>
      </c>
      <c r="V7" s="506" t="s">
        <v>1093</v>
      </c>
    </row>
    <row r="8" spans="1:22" ht="45" x14ac:dyDescent="0.25">
      <c r="A8" s="507">
        <v>1</v>
      </c>
      <c r="B8" s="508" t="s">
        <v>1068</v>
      </c>
      <c r="C8" s="509" t="s">
        <v>1377</v>
      </c>
      <c r="D8" s="510" t="s">
        <v>1378</v>
      </c>
      <c r="E8" s="511">
        <v>48</v>
      </c>
      <c r="F8" s="512" t="s">
        <v>1379</v>
      </c>
      <c r="G8" s="513"/>
      <c r="H8" s="509" t="s">
        <v>1380</v>
      </c>
      <c r="I8" s="509" t="s">
        <v>1381</v>
      </c>
      <c r="J8" s="514" t="s">
        <v>303</v>
      </c>
      <c r="K8" s="515" t="s">
        <v>60</v>
      </c>
      <c r="L8" s="516" t="s">
        <v>1382</v>
      </c>
      <c r="M8" s="512" t="s">
        <v>1383</v>
      </c>
      <c r="N8" s="517" t="s">
        <v>29</v>
      </c>
      <c r="O8" s="514" t="s">
        <v>303</v>
      </c>
      <c r="P8" s="514" t="s">
        <v>1168</v>
      </c>
      <c r="Q8" s="517" t="s">
        <v>31</v>
      </c>
      <c r="R8" s="518">
        <v>36324324.324324325</v>
      </c>
      <c r="S8" s="519">
        <f>Table2[[#This Row],[17]]*11%</f>
        <v>3995675.6756756757</v>
      </c>
      <c r="T8" s="520"/>
      <c r="U8" s="519">
        <f>Table2[[#This Row],[17]]+Table2[[#This Row],[18]]</f>
        <v>40320000</v>
      </c>
      <c r="V8" s="521"/>
    </row>
    <row r="9" spans="1:22" ht="45" x14ac:dyDescent="0.25">
      <c r="A9" s="507">
        <v>2</v>
      </c>
      <c r="B9" s="508" t="s">
        <v>1068</v>
      </c>
      <c r="C9" s="509" t="s">
        <v>1377</v>
      </c>
      <c r="D9" s="522" t="s">
        <v>1384</v>
      </c>
      <c r="E9" s="523">
        <v>51</v>
      </c>
      <c r="F9" s="512" t="s">
        <v>1379</v>
      </c>
      <c r="G9" s="415"/>
      <c r="H9" s="524" t="s">
        <v>1385</v>
      </c>
      <c r="I9" s="509" t="s">
        <v>1160</v>
      </c>
      <c r="J9" s="514" t="s">
        <v>303</v>
      </c>
      <c r="K9" s="515"/>
      <c r="L9" s="516" t="s">
        <v>1161</v>
      </c>
      <c r="M9" s="512" t="s">
        <v>1386</v>
      </c>
      <c r="N9" s="517" t="s">
        <v>29</v>
      </c>
      <c r="O9" s="514" t="s">
        <v>303</v>
      </c>
      <c r="P9" s="514" t="s">
        <v>304</v>
      </c>
      <c r="Q9" s="517" t="s">
        <v>31</v>
      </c>
      <c r="R9" s="518">
        <v>33333333.333333332</v>
      </c>
      <c r="S9" s="519">
        <f>Table2[[#This Row],[17]]*11%</f>
        <v>3666666.6666666665</v>
      </c>
      <c r="T9" s="520"/>
      <c r="U9" s="519">
        <f>Table2[[#This Row],[17]]+Table2[[#This Row],[18]]</f>
        <v>37000000</v>
      </c>
      <c r="V9" s="521"/>
    </row>
    <row r="10" spans="1:22" ht="45" x14ac:dyDescent="0.25">
      <c r="A10" s="507">
        <f t="shared" ref="A10:A39" si="0">A9+1</f>
        <v>3</v>
      </c>
      <c r="B10" s="508" t="s">
        <v>1068</v>
      </c>
      <c r="C10" s="509" t="s">
        <v>1377</v>
      </c>
      <c r="D10" s="525" t="s">
        <v>1387</v>
      </c>
      <c r="E10" s="525">
        <v>32</v>
      </c>
      <c r="F10" s="512" t="s">
        <v>1379</v>
      </c>
      <c r="G10" s="526"/>
      <c r="H10" s="524" t="s">
        <v>1388</v>
      </c>
      <c r="I10" s="509" t="s">
        <v>1125</v>
      </c>
      <c r="J10" s="514" t="s">
        <v>303</v>
      </c>
      <c r="K10" s="515"/>
      <c r="L10" s="516" t="s">
        <v>1389</v>
      </c>
      <c r="M10" s="512" t="s">
        <v>1390</v>
      </c>
      <c r="N10" s="517" t="s">
        <v>29</v>
      </c>
      <c r="O10" s="514" t="s">
        <v>303</v>
      </c>
      <c r="P10" s="514" t="s">
        <v>304</v>
      </c>
      <c r="Q10" s="517" t="s">
        <v>31</v>
      </c>
      <c r="R10" s="518">
        <v>25945945.945945945</v>
      </c>
      <c r="S10" s="519">
        <f>Table2[[#This Row],[17]]*11%</f>
        <v>2854054.054054054</v>
      </c>
      <c r="T10" s="520"/>
      <c r="U10" s="519">
        <f>Table2[[#This Row],[17]]+Table2[[#This Row],[18]]</f>
        <v>28800000</v>
      </c>
      <c r="V10" s="521"/>
    </row>
    <row r="11" spans="1:22" ht="45" x14ac:dyDescent="0.25">
      <c r="A11" s="527">
        <f t="shared" si="0"/>
        <v>4</v>
      </c>
      <c r="B11" s="508" t="s">
        <v>1068</v>
      </c>
      <c r="C11" s="509" t="s">
        <v>1377</v>
      </c>
      <c r="D11" s="525" t="s">
        <v>1384</v>
      </c>
      <c r="E11" s="525">
        <v>51</v>
      </c>
      <c r="F11" s="512" t="s">
        <v>1391</v>
      </c>
      <c r="G11" s="526"/>
      <c r="H11" s="524" t="s">
        <v>1392</v>
      </c>
      <c r="I11" s="509" t="s">
        <v>1393</v>
      </c>
      <c r="J11" s="514" t="s">
        <v>303</v>
      </c>
      <c r="K11" s="515"/>
      <c r="L11" s="516" t="s">
        <v>1126</v>
      </c>
      <c r="M11" s="512" t="s">
        <v>1394</v>
      </c>
      <c r="N11" s="517" t="s">
        <v>29</v>
      </c>
      <c r="O11" s="514" t="s">
        <v>1395</v>
      </c>
      <c r="P11" s="514" t="s">
        <v>1396</v>
      </c>
      <c r="Q11" s="517" t="s">
        <v>31</v>
      </c>
      <c r="R11" s="518">
        <v>38288288.288288288</v>
      </c>
      <c r="S11" s="519">
        <f>Table2[[#This Row],[17]]*11%</f>
        <v>4211711.7117117113</v>
      </c>
      <c r="T11" s="520"/>
      <c r="U11" s="519">
        <f>Table2[[#This Row],[17]]+Table2[[#This Row],[18]]</f>
        <v>42500000</v>
      </c>
      <c r="V11" s="521"/>
    </row>
    <row r="12" spans="1:22" ht="45" x14ac:dyDescent="0.25">
      <c r="A12" s="527">
        <f t="shared" si="0"/>
        <v>5</v>
      </c>
      <c r="B12" s="508" t="s">
        <v>1068</v>
      </c>
      <c r="C12" s="509" t="s">
        <v>1377</v>
      </c>
      <c r="D12" s="525" t="s">
        <v>1387</v>
      </c>
      <c r="E12" s="525" t="s">
        <v>1387</v>
      </c>
      <c r="F12" s="512" t="s">
        <v>1379</v>
      </c>
      <c r="G12" s="526"/>
      <c r="H12" s="524" t="s">
        <v>1397</v>
      </c>
      <c r="I12" s="509" t="s">
        <v>1177</v>
      </c>
      <c r="J12" s="514" t="s">
        <v>303</v>
      </c>
      <c r="K12" s="515"/>
      <c r="L12" s="516" t="s">
        <v>1398</v>
      </c>
      <c r="M12" s="528" t="s">
        <v>1399</v>
      </c>
      <c r="N12" s="517" t="s">
        <v>29</v>
      </c>
      <c r="O12" s="514" t="s">
        <v>1400</v>
      </c>
      <c r="P12" s="514" t="s">
        <v>301</v>
      </c>
      <c r="Q12" s="517" t="s">
        <v>1373</v>
      </c>
      <c r="R12" s="518">
        <v>27027027.027027026</v>
      </c>
      <c r="S12" s="519">
        <f>Table2[[#This Row],[17]]*11%</f>
        <v>2972972.9729729728</v>
      </c>
      <c r="T12" s="520"/>
      <c r="U12" s="519">
        <f>Table2[[#This Row],[17]]+Table2[[#This Row],[18]]</f>
        <v>30000000</v>
      </c>
      <c r="V12" s="521"/>
    </row>
    <row r="13" spans="1:22" ht="45" x14ac:dyDescent="0.25">
      <c r="A13" s="527">
        <f t="shared" si="0"/>
        <v>6</v>
      </c>
      <c r="B13" s="508" t="s">
        <v>1068</v>
      </c>
      <c r="C13" s="524" t="s">
        <v>1401</v>
      </c>
      <c r="D13" s="525" t="s">
        <v>1079</v>
      </c>
      <c r="E13" s="525" t="s">
        <v>1402</v>
      </c>
      <c r="F13" s="512" t="s">
        <v>1403</v>
      </c>
      <c r="G13" s="526"/>
      <c r="H13" s="524" t="s">
        <v>1404</v>
      </c>
      <c r="I13" s="509" t="s">
        <v>1405</v>
      </c>
      <c r="J13" s="514" t="s">
        <v>303</v>
      </c>
      <c r="K13" s="515"/>
      <c r="L13" s="516" t="s">
        <v>1406</v>
      </c>
      <c r="M13" s="529" t="s">
        <v>1407</v>
      </c>
      <c r="N13" s="517" t="s">
        <v>29</v>
      </c>
      <c r="O13" s="514" t="s">
        <v>303</v>
      </c>
      <c r="P13" s="514" t="s">
        <v>304</v>
      </c>
      <c r="Q13" s="517" t="s">
        <v>31</v>
      </c>
      <c r="R13" s="518">
        <v>3603603.6036036033</v>
      </c>
      <c r="S13" s="519">
        <f>Table2[[#This Row],[17]]*11%</f>
        <v>396396.39639639639</v>
      </c>
      <c r="T13" s="520"/>
      <c r="U13" s="519">
        <f>Table2[[#This Row],[17]]+Table2[[#This Row],[18]]</f>
        <v>3999999.9999999995</v>
      </c>
      <c r="V13" s="521"/>
    </row>
    <row r="14" spans="1:22" ht="30" x14ac:dyDescent="0.25">
      <c r="A14" s="527">
        <f t="shared" si="0"/>
        <v>7</v>
      </c>
      <c r="B14" s="530" t="s">
        <v>1068</v>
      </c>
      <c r="C14" s="531" t="s">
        <v>1408</v>
      </c>
      <c r="D14" s="532" t="s">
        <v>1409</v>
      </c>
      <c r="E14" s="533" t="s">
        <v>1402</v>
      </c>
      <c r="F14" s="534" t="s">
        <v>1410</v>
      </c>
      <c r="G14" s="535"/>
      <c r="H14" s="531" t="s">
        <v>1411</v>
      </c>
      <c r="I14" s="509" t="s">
        <v>1412</v>
      </c>
      <c r="J14" s="514" t="s">
        <v>303</v>
      </c>
      <c r="K14" s="515"/>
      <c r="L14" s="536" t="s">
        <v>1350</v>
      </c>
      <c r="M14" s="537" t="s">
        <v>1413</v>
      </c>
      <c r="N14" s="517" t="s">
        <v>29</v>
      </c>
      <c r="O14" s="514" t="s">
        <v>1400</v>
      </c>
      <c r="P14" s="514" t="s">
        <v>301</v>
      </c>
      <c r="Q14" s="538" t="s">
        <v>1414</v>
      </c>
      <c r="R14" s="518">
        <v>5405405.405405405</v>
      </c>
      <c r="S14" s="519">
        <f>Table2[[#This Row],[17]]*11%</f>
        <v>594594.59459459456</v>
      </c>
      <c r="T14" s="539"/>
      <c r="U14" s="519">
        <f>Table2[[#This Row],[17]]+Table2[[#This Row],[18]]</f>
        <v>6000000</v>
      </c>
      <c r="V14" s="540"/>
    </row>
    <row r="15" spans="1:22" ht="45" x14ac:dyDescent="0.25">
      <c r="A15" s="527">
        <f t="shared" si="0"/>
        <v>8</v>
      </c>
      <c r="B15" s="530" t="s">
        <v>1068</v>
      </c>
      <c r="C15" s="531" t="s">
        <v>1415</v>
      </c>
      <c r="D15" s="532" t="s">
        <v>1416</v>
      </c>
      <c r="E15" s="533" t="s">
        <v>1402</v>
      </c>
      <c r="F15" s="529" t="s">
        <v>1417</v>
      </c>
      <c r="G15" s="541"/>
      <c r="H15" s="542" t="s">
        <v>1418</v>
      </c>
      <c r="I15" s="509" t="s">
        <v>1419</v>
      </c>
      <c r="J15" s="543" t="s">
        <v>1420</v>
      </c>
      <c r="K15" s="544"/>
      <c r="L15" s="545" t="s">
        <v>1421</v>
      </c>
      <c r="M15" s="529" t="s">
        <v>1422</v>
      </c>
      <c r="N15" s="546" t="s">
        <v>29</v>
      </c>
      <c r="O15" s="511" t="s">
        <v>1420</v>
      </c>
      <c r="P15" s="511" t="s">
        <v>1423</v>
      </c>
      <c r="Q15" s="547" t="s">
        <v>31</v>
      </c>
      <c r="R15" s="548">
        <v>204545454.54545453</v>
      </c>
      <c r="S15" s="549">
        <f>Table2[[#This Row],[17]]*11%</f>
        <v>22500000</v>
      </c>
      <c r="T15" s="550">
        <v>0</v>
      </c>
      <c r="U15" s="549">
        <f>Table2[[#This Row],[17]]+Table2[[#This Row],[18]]</f>
        <v>227045454.54545453</v>
      </c>
      <c r="V15" s="551"/>
    </row>
    <row r="16" spans="1:22" ht="45" x14ac:dyDescent="0.25">
      <c r="A16" s="527">
        <f t="shared" si="0"/>
        <v>9</v>
      </c>
      <c r="B16" s="508" t="s">
        <v>1068</v>
      </c>
      <c r="C16" s="524" t="s">
        <v>1424</v>
      </c>
      <c r="D16" s="525" t="s">
        <v>1425</v>
      </c>
      <c r="E16" s="525" t="s">
        <v>1425</v>
      </c>
      <c r="F16" s="512" t="s">
        <v>1426</v>
      </c>
      <c r="G16" s="526"/>
      <c r="H16" s="524" t="s">
        <v>1427</v>
      </c>
      <c r="I16" s="509" t="s">
        <v>1428</v>
      </c>
      <c r="J16" s="514" t="s">
        <v>1429</v>
      </c>
      <c r="K16" s="515"/>
      <c r="L16" s="516" t="s">
        <v>1430</v>
      </c>
      <c r="M16" s="512" t="s">
        <v>1431</v>
      </c>
      <c r="N16" s="517" t="s">
        <v>29</v>
      </c>
      <c r="O16" s="514" t="s">
        <v>1400</v>
      </c>
      <c r="P16" s="514" t="s">
        <v>301</v>
      </c>
      <c r="Q16" s="517" t="s">
        <v>1373</v>
      </c>
      <c r="R16" s="518">
        <v>9711711.7117117103</v>
      </c>
      <c r="S16" s="519">
        <f>Table2[[#This Row],[17]]*11%</f>
        <v>1068288.2882882881</v>
      </c>
      <c r="T16" s="520"/>
      <c r="U16" s="519">
        <f>Table2[[#This Row],[17]]+Table2[[#This Row],[18]]</f>
        <v>10779999.999999998</v>
      </c>
      <c r="V16" s="521"/>
    </row>
    <row r="17" spans="1:22" ht="30" x14ac:dyDescent="0.25">
      <c r="A17" s="527">
        <f t="shared" si="0"/>
        <v>10</v>
      </c>
      <c r="B17" s="508" t="s">
        <v>1068</v>
      </c>
      <c r="C17" s="524" t="s">
        <v>1424</v>
      </c>
      <c r="D17" s="525" t="s">
        <v>1432</v>
      </c>
      <c r="E17" s="525" t="s">
        <v>1432</v>
      </c>
      <c r="F17" s="512" t="s">
        <v>1426</v>
      </c>
      <c r="G17" s="526"/>
      <c r="H17" s="524" t="s">
        <v>614</v>
      </c>
      <c r="I17" s="509" t="s">
        <v>1433</v>
      </c>
      <c r="J17" s="514" t="s">
        <v>1429</v>
      </c>
      <c r="K17" s="515"/>
      <c r="L17" s="516" t="s">
        <v>1303</v>
      </c>
      <c r="M17" s="512" t="s">
        <v>1434</v>
      </c>
      <c r="N17" s="517" t="s">
        <v>29</v>
      </c>
      <c r="O17" s="514" t="s">
        <v>1400</v>
      </c>
      <c r="P17" s="514" t="s">
        <v>301</v>
      </c>
      <c r="Q17" s="517" t="s">
        <v>1373</v>
      </c>
      <c r="R17" s="518">
        <v>3963963.9639639636</v>
      </c>
      <c r="S17" s="519">
        <f>Table2[[#This Row],[17]]*11%</f>
        <v>436036.03603603598</v>
      </c>
      <c r="T17" s="520"/>
      <c r="U17" s="519">
        <f>Table2[[#This Row],[17]]+Table2[[#This Row],[18]]</f>
        <v>4400000</v>
      </c>
      <c r="V17" s="521"/>
    </row>
    <row r="18" spans="1:22" ht="45" x14ac:dyDescent="0.25">
      <c r="A18" s="527">
        <f t="shared" si="0"/>
        <v>11</v>
      </c>
      <c r="B18" s="508" t="s">
        <v>1068</v>
      </c>
      <c r="C18" s="509" t="s">
        <v>1377</v>
      </c>
      <c r="D18" s="525" t="s">
        <v>1435</v>
      </c>
      <c r="E18" s="525" t="s">
        <v>1435</v>
      </c>
      <c r="F18" s="512" t="s">
        <v>1436</v>
      </c>
      <c r="G18" s="526"/>
      <c r="H18" s="524" t="s">
        <v>1437</v>
      </c>
      <c r="I18" s="509" t="s">
        <v>1438</v>
      </c>
      <c r="J18" s="514" t="s">
        <v>1429</v>
      </c>
      <c r="K18" s="515"/>
      <c r="L18" s="516" t="s">
        <v>1131</v>
      </c>
      <c r="M18" s="512" t="s">
        <v>1439</v>
      </c>
      <c r="N18" s="517" t="s">
        <v>29</v>
      </c>
      <c r="O18" s="514" t="s">
        <v>1400</v>
      </c>
      <c r="P18" s="514" t="s">
        <v>301</v>
      </c>
      <c r="Q18" s="517" t="s">
        <v>1373</v>
      </c>
      <c r="R18" s="518">
        <v>27927927.927927926</v>
      </c>
      <c r="S18" s="519">
        <f>Table2[[#This Row],[17]]*11%</f>
        <v>3072072.072072072</v>
      </c>
      <c r="T18" s="520"/>
      <c r="U18" s="519">
        <f>Table2[[#This Row],[17]]+Table2[[#This Row],[18]]</f>
        <v>31000000</v>
      </c>
      <c r="V18" s="521"/>
    </row>
    <row r="19" spans="1:22" ht="45" x14ac:dyDescent="0.25">
      <c r="A19" s="527">
        <f t="shared" si="0"/>
        <v>12</v>
      </c>
      <c r="B19" s="508" t="s">
        <v>1068</v>
      </c>
      <c r="C19" s="509" t="s">
        <v>1377</v>
      </c>
      <c r="D19" s="525" t="s">
        <v>1440</v>
      </c>
      <c r="E19" s="525" t="s">
        <v>1440</v>
      </c>
      <c r="F19" s="512" t="s">
        <v>1379</v>
      </c>
      <c r="G19" s="526"/>
      <c r="H19" s="524" t="s">
        <v>1441</v>
      </c>
      <c r="I19" s="509" t="s">
        <v>1442</v>
      </c>
      <c r="J19" s="514" t="s">
        <v>1429</v>
      </c>
      <c r="K19" s="515"/>
      <c r="L19" s="516" t="s">
        <v>1147</v>
      </c>
      <c r="M19" s="512" t="s">
        <v>1443</v>
      </c>
      <c r="N19" s="517" t="s">
        <v>29</v>
      </c>
      <c r="O19" s="514" t="s">
        <v>1400</v>
      </c>
      <c r="P19" s="514" t="s">
        <v>301</v>
      </c>
      <c r="Q19" s="517" t="s">
        <v>1444</v>
      </c>
      <c r="R19" s="518">
        <v>36936936.936936937</v>
      </c>
      <c r="S19" s="519">
        <f>Table2[[#This Row],[17]]*11%</f>
        <v>4063063.0630630632</v>
      </c>
      <c r="T19" s="520"/>
      <c r="U19" s="519">
        <f>Table2[[#This Row],[17]]+Table2[[#This Row],[18]]</f>
        <v>41000000</v>
      </c>
      <c r="V19" s="521"/>
    </row>
    <row r="20" spans="1:22" ht="45" x14ac:dyDescent="0.25">
      <c r="A20" s="527">
        <f t="shared" si="0"/>
        <v>13</v>
      </c>
      <c r="B20" s="508" t="s">
        <v>1068</v>
      </c>
      <c r="C20" s="524" t="s">
        <v>1377</v>
      </c>
      <c r="D20" s="525" t="s">
        <v>1086</v>
      </c>
      <c r="E20" s="525" t="s">
        <v>1086</v>
      </c>
      <c r="F20" s="512" t="s">
        <v>1445</v>
      </c>
      <c r="G20" s="526"/>
      <c r="H20" s="524" t="s">
        <v>1446</v>
      </c>
      <c r="I20" s="509" t="s">
        <v>1447</v>
      </c>
      <c r="J20" s="514" t="s">
        <v>1429</v>
      </c>
      <c r="K20" s="515"/>
      <c r="L20" s="516" t="s">
        <v>1147</v>
      </c>
      <c r="M20" s="512" t="s">
        <v>1443</v>
      </c>
      <c r="N20" s="517" t="s">
        <v>29</v>
      </c>
      <c r="O20" s="514" t="s">
        <v>1400</v>
      </c>
      <c r="P20" s="514" t="s">
        <v>301</v>
      </c>
      <c r="Q20" s="517" t="s">
        <v>31</v>
      </c>
      <c r="R20" s="518">
        <v>13513513.513513513</v>
      </c>
      <c r="S20" s="519">
        <f>Table2[[#This Row],[17]]*11%</f>
        <v>1486486.4864864864</v>
      </c>
      <c r="T20" s="520"/>
      <c r="U20" s="519">
        <f>Table2[[#This Row],[17]]+Table2[[#This Row],[18]]</f>
        <v>15000000</v>
      </c>
      <c r="V20" s="521"/>
    </row>
    <row r="21" spans="1:22" ht="30" x14ac:dyDescent="0.25">
      <c r="A21" s="527">
        <f t="shared" si="0"/>
        <v>14</v>
      </c>
      <c r="B21" s="508" t="s">
        <v>1068</v>
      </c>
      <c r="C21" s="524" t="s">
        <v>1377</v>
      </c>
      <c r="D21" s="525" t="s">
        <v>1448</v>
      </c>
      <c r="E21" s="525" t="s">
        <v>1448</v>
      </c>
      <c r="F21" s="512" t="s">
        <v>1379</v>
      </c>
      <c r="G21" s="526"/>
      <c r="H21" s="524" t="s">
        <v>1449</v>
      </c>
      <c r="I21" s="509" t="s">
        <v>1450</v>
      </c>
      <c r="J21" s="514" t="s">
        <v>1429</v>
      </c>
      <c r="K21" s="515"/>
      <c r="L21" s="516" t="s">
        <v>1152</v>
      </c>
      <c r="M21" s="512" t="s">
        <v>1451</v>
      </c>
      <c r="N21" s="517" t="s">
        <v>29</v>
      </c>
      <c r="O21" s="514" t="s">
        <v>1400</v>
      </c>
      <c r="P21" s="514" t="s">
        <v>301</v>
      </c>
      <c r="Q21" s="517" t="s">
        <v>1373</v>
      </c>
      <c r="R21" s="518">
        <v>89189189.189189181</v>
      </c>
      <c r="S21" s="519">
        <f>Table2[[#This Row],[17]]*11%</f>
        <v>9810810.81081081</v>
      </c>
      <c r="T21" s="520"/>
      <c r="U21" s="519">
        <f>Table2[[#This Row],[17]]+Table2[[#This Row],[18]]</f>
        <v>98999999.999999985</v>
      </c>
      <c r="V21" s="521"/>
    </row>
    <row r="22" spans="1:22" ht="45" x14ac:dyDescent="0.25">
      <c r="A22" s="527">
        <f t="shared" si="0"/>
        <v>15</v>
      </c>
      <c r="B22" s="508" t="s">
        <v>1068</v>
      </c>
      <c r="C22" s="524" t="s">
        <v>1377</v>
      </c>
      <c r="D22" s="525" t="s">
        <v>1452</v>
      </c>
      <c r="E22" s="525" t="s">
        <v>1452</v>
      </c>
      <c r="F22" s="512" t="s">
        <v>1379</v>
      </c>
      <c r="G22" s="526"/>
      <c r="H22" s="524" t="s">
        <v>1453</v>
      </c>
      <c r="I22" s="509" t="s">
        <v>1454</v>
      </c>
      <c r="J22" s="552" t="s">
        <v>1429</v>
      </c>
      <c r="K22" s="515"/>
      <c r="L22" s="516" t="s">
        <v>1455</v>
      </c>
      <c r="M22" s="512" t="s">
        <v>1456</v>
      </c>
      <c r="N22" s="517" t="s">
        <v>29</v>
      </c>
      <c r="O22" s="514" t="s">
        <v>1400</v>
      </c>
      <c r="P22" s="514" t="s">
        <v>301</v>
      </c>
      <c r="Q22" s="517" t="s">
        <v>1373</v>
      </c>
      <c r="R22" s="518">
        <v>35675675.675675675</v>
      </c>
      <c r="S22" s="519">
        <f>Table2[[#This Row],[17]]*11%</f>
        <v>3924324.3243243243</v>
      </c>
      <c r="T22" s="520"/>
      <c r="U22" s="519">
        <f>Table2[[#This Row],[17]]+Table2[[#This Row],[18]]</f>
        <v>39600000</v>
      </c>
      <c r="V22" s="521"/>
    </row>
    <row r="23" spans="1:22" ht="30" x14ac:dyDescent="0.25">
      <c r="A23" s="527">
        <f t="shared" si="0"/>
        <v>16</v>
      </c>
      <c r="B23" s="508" t="s">
        <v>1068</v>
      </c>
      <c r="C23" s="524" t="s">
        <v>1377</v>
      </c>
      <c r="D23" s="525" t="s">
        <v>1452</v>
      </c>
      <c r="E23" s="525" t="s">
        <v>1452</v>
      </c>
      <c r="F23" s="512" t="s">
        <v>1379</v>
      </c>
      <c r="G23" s="526"/>
      <c r="H23" s="524" t="s">
        <v>1457</v>
      </c>
      <c r="I23" s="509" t="s">
        <v>1458</v>
      </c>
      <c r="J23" s="552" t="s">
        <v>1429</v>
      </c>
      <c r="K23" s="515"/>
      <c r="L23" s="516" t="s">
        <v>1459</v>
      </c>
      <c r="M23" s="553" t="s">
        <v>1460</v>
      </c>
      <c r="N23" s="517" t="s">
        <v>29</v>
      </c>
      <c r="O23" s="514" t="s">
        <v>1461</v>
      </c>
      <c r="P23" s="514" t="s">
        <v>1462</v>
      </c>
      <c r="Q23" s="517" t="s">
        <v>31</v>
      </c>
      <c r="R23" s="518">
        <v>38181818.018018015</v>
      </c>
      <c r="S23" s="519">
        <f>Table2[[#This Row],[17]]*11%</f>
        <v>4199999.9819819815</v>
      </c>
      <c r="T23" s="520"/>
      <c r="U23" s="519">
        <f>Table2[[#This Row],[17]]+Table2[[#This Row],[18]]</f>
        <v>42381818</v>
      </c>
      <c r="V23" s="521"/>
    </row>
    <row r="24" spans="1:22" ht="45" x14ac:dyDescent="0.25">
      <c r="A24" s="527">
        <f t="shared" si="0"/>
        <v>17</v>
      </c>
      <c r="B24" s="508" t="s">
        <v>1068</v>
      </c>
      <c r="C24" s="524" t="s">
        <v>1377</v>
      </c>
      <c r="D24" s="525" t="s">
        <v>1452</v>
      </c>
      <c r="E24" s="525" t="s">
        <v>1452</v>
      </c>
      <c r="F24" s="512" t="s">
        <v>1379</v>
      </c>
      <c r="G24" s="526"/>
      <c r="H24" s="524" t="s">
        <v>1463</v>
      </c>
      <c r="I24" s="509" t="s">
        <v>1464</v>
      </c>
      <c r="J24" s="554" t="s">
        <v>1429</v>
      </c>
      <c r="K24" s="515"/>
      <c r="L24" s="555" t="s">
        <v>1465</v>
      </c>
      <c r="M24" s="537" t="s">
        <v>1466</v>
      </c>
      <c r="N24" s="517" t="s">
        <v>29</v>
      </c>
      <c r="O24" s="514" t="s">
        <v>1400</v>
      </c>
      <c r="P24" s="517" t="s">
        <v>1467</v>
      </c>
      <c r="Q24" s="517" t="s">
        <v>1373</v>
      </c>
      <c r="R24" s="518">
        <v>35675675.675675675</v>
      </c>
      <c r="S24" s="519">
        <f>Table2[[#This Row],[17]]*11%</f>
        <v>3924324.3243243243</v>
      </c>
      <c r="T24" s="520"/>
      <c r="U24" s="519">
        <f>Table2[[#This Row],[17]]+Table2[[#This Row],[18]]</f>
        <v>39600000</v>
      </c>
      <c r="V24" s="521"/>
    </row>
    <row r="25" spans="1:22" ht="45" x14ac:dyDescent="0.25">
      <c r="A25" s="527">
        <f t="shared" si="0"/>
        <v>18</v>
      </c>
      <c r="B25" s="508" t="s">
        <v>1068</v>
      </c>
      <c r="C25" s="524" t="s">
        <v>1468</v>
      </c>
      <c r="D25" s="525" t="s">
        <v>1448</v>
      </c>
      <c r="E25" s="525" t="s">
        <v>1402</v>
      </c>
      <c r="F25" s="512" t="s">
        <v>1469</v>
      </c>
      <c r="G25" s="526"/>
      <c r="H25" s="524" t="s">
        <v>1470</v>
      </c>
      <c r="I25" s="509" t="s">
        <v>1471</v>
      </c>
      <c r="J25" s="552" t="s">
        <v>1429</v>
      </c>
      <c r="K25" s="515"/>
      <c r="L25" s="516" t="s">
        <v>1472</v>
      </c>
      <c r="M25" s="553" t="s">
        <v>1473</v>
      </c>
      <c r="N25" s="517" t="s">
        <v>29</v>
      </c>
      <c r="O25" s="514" t="s">
        <v>1461</v>
      </c>
      <c r="P25" s="514" t="s">
        <v>1467</v>
      </c>
      <c r="Q25" s="517" t="s">
        <v>1373</v>
      </c>
      <c r="R25" s="518">
        <v>39897297.297297291</v>
      </c>
      <c r="S25" s="519">
        <f>Table2[[#This Row],[17]]*11%</f>
        <v>4388702.702702702</v>
      </c>
      <c r="T25" s="520"/>
      <c r="U25" s="519">
        <f>Table2[[#This Row],[17]]+Table2[[#This Row],[18]]</f>
        <v>44285999.999999993</v>
      </c>
      <c r="V25" s="521"/>
    </row>
    <row r="26" spans="1:22" ht="45" x14ac:dyDescent="0.25">
      <c r="A26" s="527">
        <f t="shared" si="0"/>
        <v>19</v>
      </c>
      <c r="B26" s="508" t="s">
        <v>1068</v>
      </c>
      <c r="C26" s="524" t="s">
        <v>1468</v>
      </c>
      <c r="D26" s="525" t="s">
        <v>1348</v>
      </c>
      <c r="E26" s="525" t="s">
        <v>1402</v>
      </c>
      <c r="F26" s="512" t="s">
        <v>1469</v>
      </c>
      <c r="G26" s="526"/>
      <c r="H26" s="556" t="s">
        <v>1474</v>
      </c>
      <c r="I26" s="509" t="s">
        <v>1475</v>
      </c>
      <c r="J26" s="538" t="s">
        <v>1429</v>
      </c>
      <c r="K26" s="515"/>
      <c r="L26" s="536" t="s">
        <v>1476</v>
      </c>
      <c r="M26" s="537" t="s">
        <v>1477</v>
      </c>
      <c r="N26" s="517" t="s">
        <v>29</v>
      </c>
      <c r="O26" s="514" t="s">
        <v>1400</v>
      </c>
      <c r="P26" s="514" t="s">
        <v>1467</v>
      </c>
      <c r="Q26" s="538" t="s">
        <v>1373</v>
      </c>
      <c r="R26" s="518">
        <v>7927927.9279279271</v>
      </c>
      <c r="S26" s="519">
        <f>Table2[[#This Row],[17]]*11%</f>
        <v>872072.07207207195</v>
      </c>
      <c r="T26" s="539"/>
      <c r="U26" s="519">
        <f>Table2[[#This Row],[17]]+Table2[[#This Row],[18]]</f>
        <v>8800000</v>
      </c>
      <c r="V26" s="521"/>
    </row>
    <row r="27" spans="1:22" ht="45" x14ac:dyDescent="0.25">
      <c r="A27" s="527">
        <f t="shared" si="0"/>
        <v>20</v>
      </c>
      <c r="B27" s="508" t="s">
        <v>1068</v>
      </c>
      <c r="C27" s="524" t="s">
        <v>1468</v>
      </c>
      <c r="D27" s="525" t="s">
        <v>1478</v>
      </c>
      <c r="E27" s="525" t="s">
        <v>1402</v>
      </c>
      <c r="F27" s="512" t="s">
        <v>1469</v>
      </c>
      <c r="G27" s="526"/>
      <c r="H27" s="524" t="s">
        <v>1479</v>
      </c>
      <c r="I27" s="509" t="s">
        <v>1480</v>
      </c>
      <c r="J27" s="538" t="s">
        <v>1429</v>
      </c>
      <c r="K27" s="515"/>
      <c r="L27" s="536" t="s">
        <v>1481</v>
      </c>
      <c r="M27" s="537" t="s">
        <v>1482</v>
      </c>
      <c r="N27" s="517" t="s">
        <v>29</v>
      </c>
      <c r="O27" s="514" t="s">
        <v>1400</v>
      </c>
      <c r="P27" s="514" t="s">
        <v>1467</v>
      </c>
      <c r="Q27" s="538" t="s">
        <v>1373</v>
      </c>
      <c r="R27" s="518">
        <v>13513513.513513513</v>
      </c>
      <c r="S27" s="519">
        <f>Table2[[#This Row],[17]]*11%</f>
        <v>1486486.4864864864</v>
      </c>
      <c r="T27" s="539"/>
      <c r="U27" s="519">
        <f>Table2[[#This Row],[17]]+Table2[[#This Row],[18]]</f>
        <v>15000000</v>
      </c>
      <c r="V27" s="521"/>
    </row>
    <row r="28" spans="1:22" ht="45" x14ac:dyDescent="0.25">
      <c r="A28" s="527">
        <f t="shared" si="0"/>
        <v>21</v>
      </c>
      <c r="B28" s="508" t="s">
        <v>1068</v>
      </c>
      <c r="C28" s="524" t="s">
        <v>1483</v>
      </c>
      <c r="D28" s="525" t="s">
        <v>1080</v>
      </c>
      <c r="E28" s="525" t="s">
        <v>1402</v>
      </c>
      <c r="F28" s="512" t="s">
        <v>1484</v>
      </c>
      <c r="G28" s="526"/>
      <c r="H28" s="524" t="s">
        <v>1485</v>
      </c>
      <c r="I28" s="509" t="s">
        <v>1486</v>
      </c>
      <c r="J28" s="538" t="s">
        <v>1429</v>
      </c>
      <c r="K28" s="515"/>
      <c r="L28" s="536" t="s">
        <v>1487</v>
      </c>
      <c r="M28" s="537" t="s">
        <v>1488</v>
      </c>
      <c r="N28" s="517" t="s">
        <v>29</v>
      </c>
      <c r="O28" s="514" t="s">
        <v>1400</v>
      </c>
      <c r="P28" s="538" t="s">
        <v>301</v>
      </c>
      <c r="Q28" s="538" t="s">
        <v>1373</v>
      </c>
      <c r="R28" s="518">
        <v>4504504.5045045037</v>
      </c>
      <c r="S28" s="519">
        <f>Table2[[#This Row],[17]]*11%</f>
        <v>495495.49549549539</v>
      </c>
      <c r="T28" s="539"/>
      <c r="U28" s="519">
        <f>Table2[[#This Row],[17]]+Table2[[#This Row],[18]]</f>
        <v>4999999.9999999991</v>
      </c>
      <c r="V28" s="521"/>
    </row>
    <row r="29" spans="1:22" ht="45" x14ac:dyDescent="0.25">
      <c r="A29" s="527">
        <f t="shared" si="0"/>
        <v>22</v>
      </c>
      <c r="B29" s="508" t="s">
        <v>1068</v>
      </c>
      <c r="C29" s="524" t="s">
        <v>1377</v>
      </c>
      <c r="D29" s="525" t="s">
        <v>1452</v>
      </c>
      <c r="E29" s="525" t="s">
        <v>1452</v>
      </c>
      <c r="F29" s="512" t="s">
        <v>1379</v>
      </c>
      <c r="G29" s="526"/>
      <c r="H29" s="524" t="s">
        <v>1489</v>
      </c>
      <c r="I29" s="509" t="s">
        <v>1490</v>
      </c>
      <c r="J29" s="538" t="s">
        <v>1429</v>
      </c>
      <c r="K29" s="515"/>
      <c r="L29" s="557" t="s">
        <v>1491</v>
      </c>
      <c r="M29" s="537" t="s">
        <v>1492</v>
      </c>
      <c r="N29" s="517" t="s">
        <v>29</v>
      </c>
      <c r="O29" s="514" t="s">
        <v>1461</v>
      </c>
      <c r="P29" s="514" t="s">
        <v>1462</v>
      </c>
      <c r="Q29" s="538" t="s">
        <v>31</v>
      </c>
      <c r="R29" s="518">
        <v>38181818.018018015</v>
      </c>
      <c r="S29" s="519">
        <f>Table2[[#This Row],[17]]*11%</f>
        <v>4199999.9819819815</v>
      </c>
      <c r="T29" s="539"/>
      <c r="U29" s="519">
        <f>Table2[[#This Row],[17]]+Table2[[#This Row],[18]]</f>
        <v>42381818</v>
      </c>
      <c r="V29" s="521"/>
    </row>
    <row r="30" spans="1:22" ht="45" x14ac:dyDescent="0.25">
      <c r="A30" s="527">
        <f t="shared" si="0"/>
        <v>23</v>
      </c>
      <c r="B30" s="508" t="s">
        <v>1068</v>
      </c>
      <c r="C30" s="524" t="s">
        <v>1377</v>
      </c>
      <c r="D30" s="525" t="s">
        <v>1493</v>
      </c>
      <c r="E30" s="525" t="s">
        <v>1493</v>
      </c>
      <c r="F30" s="512" t="s">
        <v>1391</v>
      </c>
      <c r="G30" s="526"/>
      <c r="H30" s="524" t="s">
        <v>1397</v>
      </c>
      <c r="I30" s="509" t="s">
        <v>1494</v>
      </c>
      <c r="J30" s="538" t="s">
        <v>1429</v>
      </c>
      <c r="K30" s="515"/>
      <c r="L30" s="536" t="s">
        <v>1495</v>
      </c>
      <c r="M30" s="537" t="s">
        <v>1496</v>
      </c>
      <c r="N30" s="517" t="s">
        <v>29</v>
      </c>
      <c r="O30" s="514" t="s">
        <v>1400</v>
      </c>
      <c r="P30" s="538" t="s">
        <v>301</v>
      </c>
      <c r="Q30" s="538" t="s">
        <v>1373</v>
      </c>
      <c r="R30" s="518">
        <v>79054054.054054052</v>
      </c>
      <c r="S30" s="519">
        <f>Table2[[#This Row],[17]]*11%</f>
        <v>8695945.9459459465</v>
      </c>
      <c r="T30" s="539"/>
      <c r="U30" s="519">
        <f>Table2[[#This Row],[17]]+Table2[[#This Row],[18]]</f>
        <v>87750000</v>
      </c>
      <c r="V30" s="521"/>
    </row>
    <row r="31" spans="1:22" ht="45" x14ac:dyDescent="0.25">
      <c r="A31" s="527">
        <f t="shared" si="0"/>
        <v>24</v>
      </c>
      <c r="B31" s="508" t="s">
        <v>1068</v>
      </c>
      <c r="C31" s="496" t="s">
        <v>1377</v>
      </c>
      <c r="D31" s="525" t="s">
        <v>1083</v>
      </c>
      <c r="E31" s="525" t="s">
        <v>1083</v>
      </c>
      <c r="F31" s="512" t="s">
        <v>1497</v>
      </c>
      <c r="G31" s="526"/>
      <c r="H31" s="524" t="s">
        <v>1498</v>
      </c>
      <c r="I31" s="509" t="s">
        <v>1499</v>
      </c>
      <c r="J31" s="538" t="s">
        <v>1429</v>
      </c>
      <c r="K31" s="515"/>
      <c r="L31" s="536" t="s">
        <v>1114</v>
      </c>
      <c r="M31" s="537" t="s">
        <v>1500</v>
      </c>
      <c r="N31" s="517" t="s">
        <v>29</v>
      </c>
      <c r="O31" s="514" t="s">
        <v>1501</v>
      </c>
      <c r="P31" s="538" t="s">
        <v>1116</v>
      </c>
      <c r="Q31" s="538" t="s">
        <v>1373</v>
      </c>
      <c r="R31" s="518">
        <v>10702702.702702701</v>
      </c>
      <c r="S31" s="519">
        <f>Table2[[#This Row],[17]]*11%</f>
        <v>1177297.297297297</v>
      </c>
      <c r="T31" s="539"/>
      <c r="U31" s="519">
        <f>Table2[[#This Row],[17]]+Table2[[#This Row],[18]]</f>
        <v>11879999.999999998</v>
      </c>
      <c r="V31" s="521"/>
    </row>
    <row r="32" spans="1:22" ht="45" x14ac:dyDescent="0.25">
      <c r="A32" s="527">
        <f t="shared" si="0"/>
        <v>25</v>
      </c>
      <c r="B32" s="508" t="s">
        <v>1068</v>
      </c>
      <c r="C32" s="524" t="s">
        <v>1502</v>
      </c>
      <c r="D32" s="525" t="s">
        <v>1503</v>
      </c>
      <c r="E32" s="525" t="s">
        <v>1503</v>
      </c>
      <c r="F32" s="149" t="s">
        <v>1504</v>
      </c>
      <c r="G32" s="558"/>
      <c r="H32" s="559" t="s">
        <v>1505</v>
      </c>
      <c r="I32" s="509" t="s">
        <v>1506</v>
      </c>
      <c r="J32" s="538" t="s">
        <v>1429</v>
      </c>
      <c r="K32" s="560"/>
      <c r="L32" s="536" t="s">
        <v>1507</v>
      </c>
      <c r="M32" s="537" t="s">
        <v>1508</v>
      </c>
      <c r="N32" s="561" t="s">
        <v>29</v>
      </c>
      <c r="O32" s="543" t="s">
        <v>1400</v>
      </c>
      <c r="P32" s="543" t="s">
        <v>301</v>
      </c>
      <c r="Q32" s="538" t="s">
        <v>1373</v>
      </c>
      <c r="R32" s="562">
        <v>33108108.108108107</v>
      </c>
      <c r="S32" s="549">
        <f>Table2[[#This Row],[17]]*11%</f>
        <v>3641891.8918918916</v>
      </c>
      <c r="T32" s="539"/>
      <c r="U32" s="549">
        <f>Table2[[#This Row],[17]]+Table2[[#This Row],[18]]</f>
        <v>36750000</v>
      </c>
      <c r="V32" s="563"/>
    </row>
    <row r="33" spans="1:29" ht="30" x14ac:dyDescent="0.25">
      <c r="A33" s="527">
        <f t="shared" si="0"/>
        <v>26</v>
      </c>
      <c r="B33" s="564" t="s">
        <v>1068</v>
      </c>
      <c r="C33" s="542" t="s">
        <v>1377</v>
      </c>
      <c r="D33" s="565" t="s">
        <v>1425</v>
      </c>
      <c r="E33" s="565" t="s">
        <v>1425</v>
      </c>
      <c r="F33" s="566" t="s">
        <v>1391</v>
      </c>
      <c r="G33" s="558"/>
      <c r="H33" s="542"/>
      <c r="I33" s="509"/>
      <c r="J33" s="538"/>
      <c r="K33" s="560"/>
      <c r="L33" s="536"/>
      <c r="M33" s="537"/>
      <c r="N33" s="561" t="s">
        <v>29</v>
      </c>
      <c r="O33" s="543"/>
      <c r="P33" s="538"/>
      <c r="Q33" s="538" t="s">
        <v>31</v>
      </c>
      <c r="R33" s="562">
        <v>58800000</v>
      </c>
      <c r="S33" s="549">
        <f>Table2[[#This Row],[17]]*11%</f>
        <v>6468000</v>
      </c>
      <c r="T33" s="539"/>
      <c r="U33" s="549">
        <f>Table2[[#This Row],[17]]+Table2[[#This Row],[18]]</f>
        <v>65268000</v>
      </c>
      <c r="V33" s="563"/>
    </row>
    <row r="34" spans="1:29" ht="45" x14ac:dyDescent="0.25">
      <c r="A34" s="527">
        <f t="shared" si="0"/>
        <v>27</v>
      </c>
      <c r="B34" s="564" t="s">
        <v>1068</v>
      </c>
      <c r="C34" s="496" t="s">
        <v>1377</v>
      </c>
      <c r="D34" s="565" t="s">
        <v>1478</v>
      </c>
      <c r="E34" s="565" t="s">
        <v>1478</v>
      </c>
      <c r="F34" s="566" t="s">
        <v>1497</v>
      </c>
      <c r="G34" s="558"/>
      <c r="H34" s="542"/>
      <c r="I34" s="509"/>
      <c r="J34" s="538"/>
      <c r="K34" s="560"/>
      <c r="L34" s="536"/>
      <c r="M34" s="537"/>
      <c r="N34" s="561" t="s">
        <v>29</v>
      </c>
      <c r="O34" s="543"/>
      <c r="P34" s="538"/>
      <c r="Q34" s="538" t="s">
        <v>31</v>
      </c>
      <c r="R34" s="562">
        <v>67200000</v>
      </c>
      <c r="S34" s="549">
        <f>Table2[[#This Row],[17]]*11%</f>
        <v>7392000</v>
      </c>
      <c r="T34" s="539"/>
      <c r="U34" s="549">
        <f>Table2[[#This Row],[17]]+Table2[[#This Row],[18]]</f>
        <v>74592000</v>
      </c>
      <c r="V34" s="563"/>
    </row>
    <row r="35" spans="1:29" ht="22.5" customHeight="1" x14ac:dyDescent="0.25">
      <c r="A35" s="527">
        <f t="shared" si="0"/>
        <v>28</v>
      </c>
      <c r="B35" s="567" t="s">
        <v>1068</v>
      </c>
      <c r="C35" s="568" t="s">
        <v>1509</v>
      </c>
      <c r="D35" s="569" t="s">
        <v>1425</v>
      </c>
      <c r="E35" s="533" t="s">
        <v>1402</v>
      </c>
      <c r="F35" s="534" t="s">
        <v>1410</v>
      </c>
      <c r="G35" s="541"/>
      <c r="H35" s="568"/>
      <c r="I35" s="509"/>
      <c r="J35" s="543"/>
      <c r="K35" s="560"/>
      <c r="L35" s="536"/>
      <c r="M35" s="537"/>
      <c r="N35" s="561" t="s">
        <v>29</v>
      </c>
      <c r="O35" s="543"/>
      <c r="P35" s="543"/>
      <c r="Q35" s="538" t="s">
        <v>31</v>
      </c>
      <c r="R35" s="562">
        <v>8000000</v>
      </c>
      <c r="S35" s="549">
        <f>Table2[[#This Row],[17]]*11%</f>
        <v>880000</v>
      </c>
      <c r="T35" s="539"/>
      <c r="U35" s="549">
        <f>Table2[[#This Row],[17]]+Table2[[#This Row],[18]]</f>
        <v>8880000</v>
      </c>
      <c r="V35" s="570"/>
    </row>
    <row r="36" spans="1:29" ht="22.5" customHeight="1" x14ac:dyDescent="0.25">
      <c r="A36" s="527">
        <f t="shared" si="0"/>
        <v>29</v>
      </c>
      <c r="B36" s="508" t="s">
        <v>1068</v>
      </c>
      <c r="C36" s="524" t="s">
        <v>1377</v>
      </c>
      <c r="D36" s="571" t="s">
        <v>1452</v>
      </c>
      <c r="E36" s="572" t="s">
        <v>1452</v>
      </c>
      <c r="F36" s="573"/>
      <c r="G36" s="574"/>
      <c r="H36" s="575" t="s">
        <v>1510</v>
      </c>
      <c r="I36" s="509"/>
      <c r="J36" s="552"/>
      <c r="K36" s="145"/>
      <c r="L36" s="536" t="s">
        <v>1511</v>
      </c>
      <c r="M36" s="537"/>
      <c r="N36" s="517" t="s">
        <v>29</v>
      </c>
      <c r="O36" s="552"/>
      <c r="P36" s="552"/>
      <c r="Q36" s="538" t="s">
        <v>74</v>
      </c>
      <c r="R36" s="576">
        <v>32108108.108108107</v>
      </c>
      <c r="S36" s="519">
        <f>Table2[[#This Row],[17]]*11%</f>
        <v>3531891.8918918916</v>
      </c>
      <c r="T36" s="539"/>
      <c r="U36" s="519">
        <f>Table2[[#This Row],[17]]+Table2[[#This Row],[18]]</f>
        <v>35640000</v>
      </c>
      <c r="V36" s="577"/>
    </row>
    <row r="37" spans="1:29" ht="22.5" customHeight="1" x14ac:dyDescent="0.25">
      <c r="A37" s="527">
        <f t="shared" si="0"/>
        <v>30</v>
      </c>
      <c r="B37" s="567" t="s">
        <v>1068</v>
      </c>
      <c r="C37" s="531" t="s">
        <v>1512</v>
      </c>
      <c r="D37" s="571" t="s">
        <v>1079</v>
      </c>
      <c r="E37" s="572" t="s">
        <v>1402</v>
      </c>
      <c r="F37" s="573"/>
      <c r="G37" s="574"/>
      <c r="H37" s="575" t="s">
        <v>1510</v>
      </c>
      <c r="I37" s="509"/>
      <c r="J37" s="552"/>
      <c r="K37" s="145"/>
      <c r="L37" s="536" t="s">
        <v>1511</v>
      </c>
      <c r="M37" s="537"/>
      <c r="N37" s="517" t="s">
        <v>29</v>
      </c>
      <c r="O37" s="552"/>
      <c r="P37" s="552"/>
      <c r="Q37" s="538" t="s">
        <v>74</v>
      </c>
      <c r="R37" s="578">
        <v>3603603.6036036033</v>
      </c>
      <c r="S37" s="519">
        <f>Table2[[#This Row],[17]]*11%</f>
        <v>396396.39639639639</v>
      </c>
      <c r="T37" s="539"/>
      <c r="U37" s="519">
        <f>Table2[[#This Row],[17]]+Table2[[#This Row],[18]]</f>
        <v>3999999.9999999995</v>
      </c>
      <c r="V37" s="577"/>
    </row>
    <row r="38" spans="1:29" ht="22.5" customHeight="1" x14ac:dyDescent="0.25">
      <c r="A38" s="527">
        <f t="shared" si="0"/>
        <v>31</v>
      </c>
      <c r="B38" s="567" t="s">
        <v>1068</v>
      </c>
      <c r="C38" s="524" t="s">
        <v>1377</v>
      </c>
      <c r="D38" s="571" t="s">
        <v>1513</v>
      </c>
      <c r="E38" s="572" t="s">
        <v>1513</v>
      </c>
      <c r="F38" s="573"/>
      <c r="G38" s="574"/>
      <c r="H38" s="575" t="s">
        <v>1514</v>
      </c>
      <c r="I38" s="509"/>
      <c r="J38" s="552"/>
      <c r="K38" s="145"/>
      <c r="L38" s="516" t="s">
        <v>1382</v>
      </c>
      <c r="M38" s="512" t="s">
        <v>1383</v>
      </c>
      <c r="N38" s="517" t="s">
        <v>29</v>
      </c>
      <c r="O38" s="552"/>
      <c r="P38" s="552"/>
      <c r="Q38" s="538" t="s">
        <v>74</v>
      </c>
      <c r="R38" s="576">
        <f>336*60000*12</f>
        <v>241920000</v>
      </c>
      <c r="S38" s="519">
        <f>Table2[[#This Row],[17]]*11%</f>
        <v>26611200</v>
      </c>
      <c r="T38" s="539"/>
      <c r="U38" s="519">
        <f>Table2[[#This Row],[17]]+Table2[[#This Row],[18]]</f>
        <v>268531200</v>
      </c>
      <c r="V38" s="577"/>
    </row>
    <row r="39" spans="1:29" ht="22.5" customHeight="1" x14ac:dyDescent="0.25">
      <c r="A39" s="527">
        <f t="shared" si="0"/>
        <v>32</v>
      </c>
      <c r="B39" s="508" t="s">
        <v>1068</v>
      </c>
      <c r="C39" s="524" t="s">
        <v>1468</v>
      </c>
      <c r="D39" s="571" t="s">
        <v>1515</v>
      </c>
      <c r="E39" s="572" t="s">
        <v>1402</v>
      </c>
      <c r="F39" s="573"/>
      <c r="G39" s="574"/>
      <c r="H39" s="575" t="s">
        <v>1516</v>
      </c>
      <c r="I39" s="509"/>
      <c r="J39" s="552"/>
      <c r="K39" s="145"/>
      <c r="L39" s="579" t="s">
        <v>1259</v>
      </c>
      <c r="M39" s="537"/>
      <c r="N39" s="517" t="s">
        <v>29</v>
      </c>
      <c r="O39" s="552"/>
      <c r="P39" s="552"/>
      <c r="Q39" s="538" t="s">
        <v>74</v>
      </c>
      <c r="R39" s="576">
        <v>81000000</v>
      </c>
      <c r="S39" s="519">
        <f>Table2[[#This Row],[17]]*11%</f>
        <v>8910000</v>
      </c>
      <c r="T39" s="539"/>
      <c r="U39" s="519">
        <f>Table2[[#This Row],[17]]+Table2[[#This Row],[18]]</f>
        <v>89910000</v>
      </c>
      <c r="V39" s="577"/>
    </row>
    <row r="40" spans="1:29" ht="27.6" customHeight="1" x14ac:dyDescent="0.25">
      <c r="A40" s="580"/>
      <c r="B40" s="581"/>
      <c r="C40" s="582"/>
      <c r="D40" s="583"/>
      <c r="E40" s="583"/>
      <c r="F40" s="584"/>
      <c r="G40" s="585"/>
      <c r="H40" s="586"/>
      <c r="I40" s="587"/>
      <c r="J40" s="587"/>
      <c r="K40" s="585"/>
      <c r="L40" s="587"/>
      <c r="M40" s="588"/>
      <c r="N40" s="587"/>
      <c r="O40" s="587"/>
      <c r="P40" s="587"/>
      <c r="Q40" s="587"/>
      <c r="R40" s="589">
        <f>SUM(R8:R39)</f>
        <v>1384771432.9238329</v>
      </c>
      <c r="S40" s="589">
        <f>SUM(S8:S39)</f>
        <v>152324857.62162164</v>
      </c>
      <c r="T40" s="590"/>
      <c r="U40" s="589">
        <f>SUM(U8:U39)</f>
        <v>1537096290.5454545</v>
      </c>
      <c r="V40" s="591"/>
    </row>
    <row r="41" spans="1:29" x14ac:dyDescent="0.25">
      <c r="A41" s="592"/>
      <c r="V41" s="593"/>
    </row>
    <row r="42" spans="1:29" x14ac:dyDescent="0.25">
      <c r="V42" s="594"/>
    </row>
    <row r="43" spans="1:29" x14ac:dyDescent="0.25">
      <c r="N43" s="463" t="s">
        <v>60</v>
      </c>
      <c r="V43" s="499"/>
    </row>
    <row r="44" spans="1:29" x14ac:dyDescent="0.25">
      <c r="A44" s="463" t="s">
        <v>60</v>
      </c>
      <c r="B44" s="463" t="s">
        <v>1061</v>
      </c>
      <c r="L44" s="463" t="s">
        <v>1061</v>
      </c>
      <c r="N44" s="463" t="s">
        <v>60</v>
      </c>
    </row>
    <row r="45" spans="1:29" x14ac:dyDescent="0.25">
      <c r="A45" s="463" t="s">
        <v>60</v>
      </c>
      <c r="B45" s="463" t="s">
        <v>1340</v>
      </c>
      <c r="L45" s="463" t="s">
        <v>1341</v>
      </c>
      <c r="U45" s="593"/>
    </row>
    <row r="46" spans="1:29" x14ac:dyDescent="0.25">
      <c r="AC46" s="367" t="s">
        <v>60</v>
      </c>
    </row>
    <row r="47" spans="1:29" x14ac:dyDescent="0.25">
      <c r="AC47" s="367" t="s">
        <v>60</v>
      </c>
    </row>
    <row r="48" spans="1:29" x14ac:dyDescent="0.25">
      <c r="O48" s="463" t="s">
        <v>60</v>
      </c>
      <c r="AC48" s="367" t="s">
        <v>60</v>
      </c>
    </row>
    <row r="50" spans="1:12" x14ac:dyDescent="0.25">
      <c r="A50" s="463" t="s">
        <v>60</v>
      </c>
      <c r="B50" s="595" t="s">
        <v>1342</v>
      </c>
      <c r="L50" s="595" t="s">
        <v>1343</v>
      </c>
    </row>
    <row r="51" spans="1:12" x14ac:dyDescent="0.25">
      <c r="B51" s="498" t="s">
        <v>1344</v>
      </c>
      <c r="L51" s="498" t="s">
        <v>1345</v>
      </c>
    </row>
    <row r="129" spans="1:29" s="495" customFormat="1" x14ac:dyDescent="0.25">
      <c r="A129" s="463"/>
      <c r="B129" s="463"/>
      <c r="C129" s="463" t="s">
        <v>60</v>
      </c>
      <c r="F129" s="496"/>
      <c r="G129" s="367"/>
      <c r="H129" s="463"/>
      <c r="I129" s="463"/>
      <c r="J129" s="463"/>
      <c r="K129" s="367"/>
      <c r="L129" s="463"/>
      <c r="M129" s="463"/>
      <c r="N129" s="463"/>
      <c r="O129" s="463"/>
      <c r="P129" s="463"/>
      <c r="Q129" s="463"/>
      <c r="R129" s="463"/>
      <c r="S129" s="463"/>
      <c r="T129" s="367"/>
      <c r="U129" s="463"/>
      <c r="V129" s="463"/>
      <c r="W129" s="367"/>
      <c r="X129" s="367"/>
      <c r="Y129" s="367"/>
      <c r="Z129" s="367"/>
      <c r="AA129" s="367"/>
      <c r="AB129" s="367"/>
      <c r="AC129" s="367"/>
    </row>
  </sheetData>
  <mergeCells count="9">
    <mergeCell ref="O5:Q5"/>
    <mergeCell ref="R5:U5"/>
    <mergeCell ref="V5:V6"/>
    <mergeCell ref="A5:A6"/>
    <mergeCell ref="B5:B6"/>
    <mergeCell ref="C5:G5"/>
    <mergeCell ref="H5:H6"/>
    <mergeCell ref="I5:K5"/>
    <mergeCell ref="L5:N5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4"/>
  <sheetViews>
    <sheetView topLeftCell="A13" workbookViewId="0">
      <selection activeCell="I9" sqref="I9"/>
    </sheetView>
  </sheetViews>
  <sheetFormatPr defaultColWidth="8.7109375" defaultRowHeight="15" x14ac:dyDescent="0.25"/>
  <cols>
    <col min="1" max="1" width="3.7109375" style="654" customWidth="1"/>
    <col min="2" max="2" width="9.7109375" style="654" customWidth="1"/>
    <col min="3" max="3" width="8.85546875" style="654" customWidth="1"/>
    <col min="4" max="4" width="26.42578125" style="654" customWidth="1"/>
    <col min="5" max="5" width="27.28515625" style="656" customWidth="1"/>
    <col min="6" max="7" width="7.140625" style="656" hidden="1" customWidth="1"/>
    <col min="8" max="8" width="7.140625" style="656" customWidth="1"/>
    <col min="9" max="9" width="20.140625" style="656" customWidth="1"/>
    <col min="10" max="10" width="14" style="656" customWidth="1"/>
    <col min="11" max="11" width="14" style="656" bestFit="1" customWidth="1"/>
    <col min="12" max="12" width="13.85546875" style="656" customWidth="1"/>
    <col min="13" max="13" width="36.28515625" style="656" customWidth="1"/>
    <col min="14" max="16384" width="8.7109375" style="656"/>
  </cols>
  <sheetData>
    <row r="2" spans="1:12" ht="18.75" x14ac:dyDescent="0.3">
      <c r="B2" s="655" t="s">
        <v>1560</v>
      </c>
    </row>
    <row r="3" spans="1:12" ht="18.75" x14ac:dyDescent="0.3">
      <c r="B3" s="655" t="s">
        <v>1561</v>
      </c>
    </row>
    <row r="4" spans="1:12" ht="14.25" customHeight="1" x14ac:dyDescent="0.25"/>
    <row r="5" spans="1:12" s="658" customFormat="1" ht="15" customHeight="1" x14ac:dyDescent="0.25">
      <c r="A5" s="657"/>
      <c r="B5" s="748" t="s">
        <v>1558</v>
      </c>
      <c r="C5" s="751" t="s">
        <v>1562</v>
      </c>
      <c r="D5" s="751" t="s">
        <v>1563</v>
      </c>
      <c r="E5" s="741" t="s">
        <v>1564</v>
      </c>
      <c r="F5" s="742"/>
      <c r="G5" s="670"/>
      <c r="H5" s="670"/>
      <c r="I5" s="741" t="s">
        <v>1565</v>
      </c>
      <c r="J5" s="742"/>
    </row>
    <row r="6" spans="1:12" s="658" customFormat="1" ht="39.75" customHeight="1" x14ac:dyDescent="0.25">
      <c r="A6" s="657"/>
      <c r="B6" s="749"/>
      <c r="C6" s="752"/>
      <c r="D6" s="753"/>
      <c r="E6" s="743"/>
      <c r="F6" s="744"/>
      <c r="G6" s="671"/>
      <c r="H6" s="671"/>
      <c r="I6" s="743"/>
      <c r="J6" s="744"/>
    </row>
    <row r="7" spans="1:12" s="658" customFormat="1" ht="15" customHeight="1" x14ac:dyDescent="0.25">
      <c r="A7" s="657"/>
      <c r="B7" s="750"/>
      <c r="C7" s="753"/>
      <c r="D7" s="659" t="s">
        <v>1566</v>
      </c>
      <c r="E7" s="659" t="s">
        <v>1566</v>
      </c>
      <c r="F7" s="660" t="s">
        <v>1559</v>
      </c>
      <c r="G7" s="660"/>
      <c r="H7" s="660"/>
      <c r="I7" s="659" t="s">
        <v>1566</v>
      </c>
      <c r="J7" s="660" t="s">
        <v>1559</v>
      </c>
    </row>
    <row r="8" spans="1:12" s="658" customFormat="1" ht="15" customHeight="1" x14ac:dyDescent="0.25">
      <c r="A8" s="657"/>
      <c r="B8" s="691"/>
      <c r="C8" s="661"/>
      <c r="D8" s="661"/>
      <c r="E8" s="661"/>
      <c r="F8" s="662"/>
      <c r="G8" s="662"/>
      <c r="H8" s="662"/>
      <c r="I8" s="662"/>
      <c r="J8" s="662"/>
    </row>
    <row r="9" spans="1:12" x14ac:dyDescent="0.25">
      <c r="A9" s="668"/>
      <c r="B9" s="664">
        <v>1</v>
      </c>
      <c r="C9" s="692" t="s">
        <v>1574</v>
      </c>
      <c r="D9" s="665">
        <f>705754500/1000000</f>
        <v>705.75450000000001</v>
      </c>
      <c r="E9" s="666">
        <v>637750786</v>
      </c>
      <c r="F9" s="664">
        <f t="shared" ref="F9:F24" si="0">E9/D9*100</f>
        <v>90364395.267759547</v>
      </c>
      <c r="G9" s="664"/>
      <c r="H9" s="664"/>
      <c r="I9" s="478">
        <f>722779848/1000000</f>
        <v>722.77984800000002</v>
      </c>
      <c r="J9" s="478">
        <f t="shared" ref="J9:J24" si="1">+I9/D9*100</f>
        <v>102.41236123892941</v>
      </c>
      <c r="K9" s="656">
        <v>8</v>
      </c>
      <c r="L9" s="656">
        <v>114.34036001820793</v>
      </c>
    </row>
    <row r="10" spans="1:12" x14ac:dyDescent="0.25">
      <c r="A10" s="663"/>
      <c r="B10" s="664">
        <v>2</v>
      </c>
      <c r="C10" s="693" t="s">
        <v>1567</v>
      </c>
      <c r="D10" s="665">
        <f>1738440909.54545/1000000</f>
        <v>1738.44090954545</v>
      </c>
      <c r="E10" s="666">
        <v>2482572930</v>
      </c>
      <c r="F10" s="672">
        <f t="shared" si="0"/>
        <v>142804562.20103091</v>
      </c>
      <c r="G10" s="672"/>
      <c r="H10" s="672"/>
      <c r="I10" s="478">
        <f>1461440556.41114/1000000</f>
        <v>1461.4405564111401</v>
      </c>
      <c r="J10" s="478">
        <f t="shared" si="1"/>
        <v>84.066162294424075</v>
      </c>
      <c r="K10" s="656">
        <v>11</v>
      </c>
      <c r="L10" s="656">
        <v>102.33749920155931</v>
      </c>
    </row>
    <row r="11" spans="1:12" x14ac:dyDescent="0.25">
      <c r="A11" s="663"/>
      <c r="B11" s="664">
        <f t="shared" ref="B11:B23" si="2">B10+1</f>
        <v>3</v>
      </c>
      <c r="C11" s="692" t="s">
        <v>1573</v>
      </c>
      <c r="D11" s="665">
        <f>374822881/1000000</f>
        <v>374.822881</v>
      </c>
      <c r="E11" s="666">
        <v>370546681</v>
      </c>
      <c r="F11" s="664">
        <f t="shared" si="0"/>
        <v>98859141.152591482</v>
      </c>
      <c r="G11" s="664"/>
      <c r="H11" s="664"/>
      <c r="I11" s="478">
        <f>1227257834/1000000</f>
        <v>1227.257834</v>
      </c>
      <c r="J11" s="478">
        <f t="shared" si="1"/>
        <v>327.42340348213696</v>
      </c>
      <c r="K11" s="656">
        <v>5</v>
      </c>
      <c r="L11" s="656">
        <v>143.7732868083595</v>
      </c>
    </row>
    <row r="12" spans="1:12" x14ac:dyDescent="0.25">
      <c r="A12" s="663"/>
      <c r="B12" s="664">
        <f t="shared" si="2"/>
        <v>4</v>
      </c>
      <c r="C12" s="693" t="s">
        <v>1571</v>
      </c>
      <c r="D12" s="665">
        <f>433950000/1000000</f>
        <v>433.95</v>
      </c>
      <c r="E12" s="666">
        <v>476759063</v>
      </c>
      <c r="F12" s="672">
        <f t="shared" si="0"/>
        <v>109864975.91888466</v>
      </c>
      <c r="G12" s="672"/>
      <c r="H12" s="672"/>
      <c r="I12" s="478">
        <f>476759063/1000000</f>
        <v>476.75906300000003</v>
      </c>
      <c r="J12" s="478">
        <f t="shared" si="1"/>
        <v>109.86497591888467</v>
      </c>
      <c r="K12" s="656">
        <v>13</v>
      </c>
      <c r="L12" s="656">
        <v>94.936898804123047</v>
      </c>
    </row>
    <row r="13" spans="1:12" x14ac:dyDescent="0.25">
      <c r="A13" s="669"/>
      <c r="B13" s="664">
        <f t="shared" si="2"/>
        <v>5</v>
      </c>
      <c r="C13" s="692" t="s">
        <v>1575</v>
      </c>
      <c r="D13" s="665">
        <f>428456939.727273/1000000</f>
        <v>428.45693972727298</v>
      </c>
      <c r="E13" s="666">
        <v>391036376</v>
      </c>
      <c r="F13" s="672">
        <f t="shared" si="0"/>
        <v>91266201.977941483</v>
      </c>
      <c r="G13" s="672"/>
      <c r="H13" s="672"/>
      <c r="I13" s="478">
        <f>428456939.727273/1000000</f>
        <v>428.45693972727298</v>
      </c>
      <c r="J13" s="478">
        <f t="shared" si="1"/>
        <v>100</v>
      </c>
      <c r="K13" s="656">
        <v>9</v>
      </c>
      <c r="L13" s="656">
        <v>109.87945628631753</v>
      </c>
    </row>
    <row r="14" spans="1:12" x14ac:dyDescent="0.25">
      <c r="A14" s="663"/>
      <c r="B14" s="664">
        <f t="shared" si="2"/>
        <v>6</v>
      </c>
      <c r="C14" s="693" t="s">
        <v>1580</v>
      </c>
      <c r="D14" s="665">
        <f>25026000/1000000</f>
        <v>25.026</v>
      </c>
      <c r="E14" s="666">
        <v>37980200</v>
      </c>
      <c r="F14" s="664">
        <f t="shared" si="0"/>
        <v>151762966.5148246</v>
      </c>
      <c r="G14" s="664"/>
      <c r="H14" s="664"/>
      <c r="I14" s="478">
        <f>53568500/1000000</f>
        <v>53.5685</v>
      </c>
      <c r="J14" s="478">
        <f t="shared" si="1"/>
        <v>214.0513865579797</v>
      </c>
      <c r="K14" s="656">
        <v>1</v>
      </c>
      <c r="L14" s="656">
        <v>166.10871786074696</v>
      </c>
    </row>
    <row r="15" spans="1:12" x14ac:dyDescent="0.25">
      <c r="A15" s="663"/>
      <c r="B15" s="664">
        <f t="shared" si="2"/>
        <v>7</v>
      </c>
      <c r="C15" s="692" t="s">
        <v>1569</v>
      </c>
      <c r="D15" s="665">
        <f>474100927.818182/1000000</f>
        <v>474.10092781818202</v>
      </c>
      <c r="E15" s="666">
        <v>613897072</v>
      </c>
      <c r="F15" s="672">
        <f t="shared" si="0"/>
        <v>129486578.90739879</v>
      </c>
      <c r="G15" s="672"/>
      <c r="H15" s="672"/>
      <c r="I15" s="478">
        <f>517071836.909091/1000000</f>
        <v>517.07183690909096</v>
      </c>
      <c r="J15" s="478">
        <f t="shared" si="1"/>
        <v>109.06366272866445</v>
      </c>
      <c r="K15" s="656">
        <v>12</v>
      </c>
      <c r="L15" s="656">
        <v>96.35102446581908</v>
      </c>
    </row>
    <row r="16" spans="1:12" x14ac:dyDescent="0.25">
      <c r="A16" s="663"/>
      <c r="B16" s="664">
        <f t="shared" si="2"/>
        <v>8</v>
      </c>
      <c r="C16" s="693" t="s">
        <v>1568</v>
      </c>
      <c r="D16" s="665">
        <f>730997993.93/1000000</f>
        <v>730.99799392999989</v>
      </c>
      <c r="E16" s="666">
        <v>1049832974</v>
      </c>
      <c r="F16" s="664">
        <f t="shared" si="0"/>
        <v>143616396.03904736</v>
      </c>
      <c r="G16" s="664"/>
      <c r="H16" s="664"/>
      <c r="I16" s="478">
        <f>1016727411.27364/1000000</f>
        <v>1016.7274112736401</v>
      </c>
      <c r="J16" s="478">
        <f t="shared" si="1"/>
        <v>139.08757886016875</v>
      </c>
      <c r="K16" s="656">
        <v>6</v>
      </c>
      <c r="L16" s="656">
        <v>135.24929095184692</v>
      </c>
    </row>
    <row r="17" spans="1:12" x14ac:dyDescent="0.25">
      <c r="A17" s="663"/>
      <c r="B17" s="664">
        <f t="shared" si="2"/>
        <v>9</v>
      </c>
      <c r="C17" s="692" t="s">
        <v>1576</v>
      </c>
      <c r="D17" s="665">
        <f>155453270/1000000</f>
        <v>155.45327</v>
      </c>
      <c r="E17" s="666">
        <v>132427565</v>
      </c>
      <c r="F17" s="672">
        <f t="shared" si="0"/>
        <v>85188021.454936266</v>
      </c>
      <c r="G17" s="672"/>
      <c r="H17" s="672"/>
      <c r="I17" s="478">
        <f>158654897/1000000</f>
        <v>158.65489700000001</v>
      </c>
      <c r="J17" s="478">
        <f t="shared" si="1"/>
        <v>102.05954303823907</v>
      </c>
      <c r="K17" s="656">
        <v>15</v>
      </c>
      <c r="L17" s="656">
        <v>56.309774452744449</v>
      </c>
    </row>
    <row r="18" spans="1:12" x14ac:dyDescent="0.25">
      <c r="A18" s="663"/>
      <c r="B18" s="664">
        <f t="shared" si="2"/>
        <v>10</v>
      </c>
      <c r="C18" s="693" t="s">
        <v>1581</v>
      </c>
      <c r="D18" s="665">
        <f>121446181/1000000</f>
        <v>121.446181</v>
      </c>
      <c r="E18" s="666">
        <v>127661863</v>
      </c>
      <c r="F18" s="664">
        <f t="shared" si="0"/>
        <v>105118054.72088087</v>
      </c>
      <c r="G18" s="664"/>
      <c r="H18" s="664"/>
      <c r="I18" s="478">
        <f>125732740.545455/1000000</f>
        <v>125.73274054545499</v>
      </c>
      <c r="J18" s="478">
        <f t="shared" si="1"/>
        <v>103.52959599895118</v>
      </c>
      <c r="K18" s="656">
        <v>3</v>
      </c>
      <c r="L18" s="656">
        <v>152.11949037847083</v>
      </c>
    </row>
    <row r="19" spans="1:12" x14ac:dyDescent="0.25">
      <c r="A19" s="663"/>
      <c r="B19" s="664">
        <f t="shared" si="2"/>
        <v>11</v>
      </c>
      <c r="C19" s="692" t="s">
        <v>1572</v>
      </c>
      <c r="D19" s="665">
        <f>1402548772.78182/1000000</f>
        <v>1402.5487727818202</v>
      </c>
      <c r="E19" s="666">
        <v>1361817889</v>
      </c>
      <c r="F19" s="672">
        <f t="shared" si="0"/>
        <v>97095938.154005557</v>
      </c>
      <c r="G19" s="672"/>
      <c r="H19" s="672"/>
      <c r="I19" s="478">
        <f>1083846384.23636/1000000</f>
        <v>1083.8463842363601</v>
      </c>
      <c r="J19" s="478">
        <f t="shared" si="1"/>
        <v>77.276912237900675</v>
      </c>
      <c r="K19" s="656">
        <v>14</v>
      </c>
      <c r="L19" s="656">
        <v>86.431132000090386</v>
      </c>
    </row>
    <row r="20" spans="1:12" x14ac:dyDescent="0.25">
      <c r="A20" s="663"/>
      <c r="B20" s="664">
        <f t="shared" si="2"/>
        <v>12</v>
      </c>
      <c r="C20" s="693" t="s">
        <v>1582</v>
      </c>
      <c r="D20" s="665">
        <f>1029478912.90909/1000000</f>
        <v>1029.47891290909</v>
      </c>
      <c r="E20" s="666">
        <v>1349684587</v>
      </c>
      <c r="F20" s="664">
        <f t="shared" si="0"/>
        <v>131103665.1723226</v>
      </c>
      <c r="G20" s="664"/>
      <c r="H20" s="664"/>
      <c r="I20" s="478">
        <f>1095169747.74365/1000000</f>
        <v>1095.1697477436499</v>
      </c>
      <c r="J20" s="478">
        <f t="shared" si="1"/>
        <v>106.38097915468043</v>
      </c>
      <c r="K20" s="656">
        <v>10</v>
      </c>
      <c r="L20" s="656">
        <v>106.31642915379685</v>
      </c>
    </row>
    <row r="21" spans="1:12" x14ac:dyDescent="0.25">
      <c r="A21" s="663"/>
      <c r="B21" s="667">
        <f t="shared" si="2"/>
        <v>13</v>
      </c>
      <c r="C21" s="692" t="s">
        <v>1570</v>
      </c>
      <c r="D21" s="665">
        <f>209300567/1000000</f>
        <v>209.300567</v>
      </c>
      <c r="E21" s="666">
        <v>256970135</v>
      </c>
      <c r="F21" s="664">
        <f t="shared" si="0"/>
        <v>122775651.63022229</v>
      </c>
      <c r="G21" s="664"/>
      <c r="H21" s="664"/>
      <c r="I21" s="478">
        <f>256970135/1000000</f>
        <v>256.97013500000003</v>
      </c>
      <c r="J21" s="478">
        <f t="shared" si="1"/>
        <v>122.7756516302223</v>
      </c>
      <c r="K21" s="656">
        <v>7</v>
      </c>
      <c r="L21" s="656">
        <v>125.18785549886685</v>
      </c>
    </row>
    <row r="22" spans="1:12" x14ac:dyDescent="0.25">
      <c r="A22" s="663"/>
      <c r="B22" s="664">
        <f t="shared" si="2"/>
        <v>14</v>
      </c>
      <c r="C22" s="693" t="s">
        <v>1583</v>
      </c>
      <c r="D22" s="665">
        <f>130400000/1000000</f>
        <v>130.4</v>
      </c>
      <c r="E22" s="666">
        <v>72540000</v>
      </c>
      <c r="F22" s="664">
        <f t="shared" si="0"/>
        <v>55628834.355828226</v>
      </c>
      <c r="G22" s="664"/>
      <c r="H22" s="664"/>
      <c r="I22" s="478">
        <f>138540000/1000000</f>
        <v>138.54</v>
      </c>
      <c r="J22" s="478">
        <f t="shared" si="1"/>
        <v>106.24233128834355</v>
      </c>
      <c r="K22" s="656">
        <v>2</v>
      </c>
      <c r="L22" s="656">
        <v>153.47128116534196</v>
      </c>
    </row>
    <row r="23" spans="1:12" x14ac:dyDescent="0.25">
      <c r="A23" s="663"/>
      <c r="B23" s="664">
        <f t="shared" si="2"/>
        <v>15</v>
      </c>
      <c r="C23" s="692" t="s">
        <v>1584</v>
      </c>
      <c r="D23" s="665">
        <f>955246000/1000000</f>
        <v>955.24599999999998</v>
      </c>
      <c r="E23" s="666">
        <v>1291441325</v>
      </c>
      <c r="F23" s="664">
        <f t="shared" si="0"/>
        <v>135194633.11021453</v>
      </c>
      <c r="G23" s="664"/>
      <c r="H23" s="664"/>
      <c r="I23" s="484">
        <f>423338543.927109/1000000</f>
        <v>423.33854392710901</v>
      </c>
      <c r="J23" s="478">
        <f t="shared" si="1"/>
        <v>44.31722759656769</v>
      </c>
      <c r="K23" s="656">
        <v>4</v>
      </c>
      <c r="L23" s="656">
        <v>147.3175195315975</v>
      </c>
    </row>
    <row r="24" spans="1:12" s="658" customFormat="1" ht="14.25" customHeight="1" x14ac:dyDescent="0.25">
      <c r="A24" s="663"/>
      <c r="B24" s="673"/>
      <c r="C24" s="674" t="s">
        <v>1372</v>
      </c>
      <c r="D24" s="673">
        <f>SUM(D9:D23)</f>
        <v>8915.4238557118151</v>
      </c>
      <c r="E24" s="673">
        <f>SUM(E9:E23)</f>
        <v>10652919446</v>
      </c>
      <c r="F24" s="673">
        <f t="shared" si="0"/>
        <v>119488648.19449981</v>
      </c>
      <c r="G24" s="673"/>
      <c r="H24" s="673"/>
      <c r="I24" s="673">
        <f>SUM(I9:I23)</f>
        <v>9186.314437773719</v>
      </c>
      <c r="J24" s="673">
        <f t="shared" si="1"/>
        <v>103.03844872039767</v>
      </c>
    </row>
    <row r="25" spans="1:12" s="676" customFormat="1" ht="12" customHeight="1" x14ac:dyDescent="0.25">
      <c r="A25" s="675"/>
      <c r="B25" s="654"/>
      <c r="C25" s="654"/>
      <c r="D25" s="654"/>
      <c r="E25" s="656"/>
      <c r="F25" s="656"/>
      <c r="G25" s="656"/>
      <c r="H25" s="656"/>
      <c r="I25" s="656"/>
      <c r="J25" s="656"/>
    </row>
    <row r="26" spans="1:12" hidden="1" x14ac:dyDescent="0.25"/>
    <row r="27" spans="1:12" hidden="1" x14ac:dyDescent="0.25">
      <c r="C27" s="745" t="s">
        <v>1577</v>
      </c>
      <c r="D27" s="746"/>
      <c r="E27" s="746"/>
      <c r="F27" s="746"/>
      <c r="G27" s="677"/>
      <c r="H27" s="677"/>
      <c r="I27" s="677"/>
      <c r="J27" s="677"/>
    </row>
    <row r="28" spans="1:12" hidden="1" x14ac:dyDescent="0.25">
      <c r="C28" s="747" t="s">
        <v>1578</v>
      </c>
      <c r="D28" s="747"/>
      <c r="E28" s="678" t="s">
        <v>1579</v>
      </c>
      <c r="F28" s="678" t="s">
        <v>1559</v>
      </c>
      <c r="G28" s="679"/>
      <c r="H28" s="679"/>
      <c r="I28" s="679"/>
      <c r="J28" s="679"/>
    </row>
    <row r="29" spans="1:12" hidden="1" x14ac:dyDescent="0.25">
      <c r="B29" s="680" t="s">
        <v>1574</v>
      </c>
      <c r="C29" s="681"/>
      <c r="D29" s="681"/>
      <c r="E29" s="682">
        <v>637750786</v>
      </c>
      <c r="F29" s="666">
        <v>0</v>
      </c>
      <c r="G29" s="682"/>
      <c r="H29" s="682"/>
      <c r="I29" s="682"/>
      <c r="J29" s="682"/>
    </row>
    <row r="30" spans="1:12" hidden="1" x14ac:dyDescent="0.25">
      <c r="B30" s="683" t="s">
        <v>1567</v>
      </c>
      <c r="C30" s="681"/>
      <c r="D30" s="681"/>
      <c r="E30" s="682">
        <v>2482572930</v>
      </c>
      <c r="F30" s="666">
        <v>0</v>
      </c>
      <c r="G30" s="682"/>
      <c r="H30" s="682"/>
      <c r="I30" s="682"/>
      <c r="J30" s="682"/>
    </row>
    <row r="31" spans="1:12" hidden="1" x14ac:dyDescent="0.25">
      <c r="B31" s="684" t="s">
        <v>1573</v>
      </c>
      <c r="C31" s="681"/>
      <c r="D31" s="681"/>
      <c r="E31" s="682">
        <v>370546681</v>
      </c>
      <c r="F31" s="666">
        <v>0</v>
      </c>
      <c r="G31" s="682"/>
      <c r="H31" s="682"/>
      <c r="I31" s="682"/>
      <c r="J31" s="682"/>
    </row>
    <row r="32" spans="1:12" hidden="1" x14ac:dyDescent="0.25">
      <c r="B32" s="683" t="s">
        <v>1571</v>
      </c>
      <c r="C32" s="681"/>
      <c r="D32" s="681"/>
      <c r="E32" s="682">
        <v>476759063</v>
      </c>
      <c r="F32" s="666">
        <v>0</v>
      </c>
      <c r="G32" s="682"/>
      <c r="H32" s="682"/>
      <c r="I32" s="682"/>
      <c r="J32" s="682"/>
    </row>
    <row r="33" spans="2:10" hidden="1" x14ac:dyDescent="0.25">
      <c r="B33" s="684" t="s">
        <v>1575</v>
      </c>
      <c r="C33" s="681"/>
      <c r="D33" s="681"/>
      <c r="E33" s="682">
        <v>391036376</v>
      </c>
      <c r="F33" s="666">
        <v>0</v>
      </c>
      <c r="G33" s="682"/>
      <c r="H33" s="682"/>
      <c r="I33" s="682"/>
      <c r="J33" s="682"/>
    </row>
    <row r="34" spans="2:10" hidden="1" x14ac:dyDescent="0.25">
      <c r="B34" s="683" t="s">
        <v>1580</v>
      </c>
      <c r="C34" s="681"/>
      <c r="D34" s="681"/>
      <c r="E34" s="682">
        <v>37980200</v>
      </c>
      <c r="F34" s="666">
        <v>0</v>
      </c>
      <c r="G34" s="682"/>
      <c r="H34" s="682"/>
      <c r="I34" s="682"/>
      <c r="J34" s="682"/>
    </row>
    <row r="35" spans="2:10" hidden="1" x14ac:dyDescent="0.25">
      <c r="B35" s="684" t="s">
        <v>1569</v>
      </c>
      <c r="C35" s="681"/>
      <c r="D35" s="681"/>
      <c r="E35" s="682">
        <v>613897072</v>
      </c>
      <c r="F35" s="666">
        <v>0</v>
      </c>
      <c r="G35" s="682"/>
      <c r="H35" s="682"/>
      <c r="I35" s="682"/>
      <c r="J35" s="682"/>
    </row>
    <row r="36" spans="2:10" hidden="1" x14ac:dyDescent="0.25">
      <c r="B36" s="683" t="s">
        <v>1568</v>
      </c>
      <c r="C36" s="681"/>
      <c r="D36" s="681"/>
      <c r="E36" s="682">
        <v>1049832974</v>
      </c>
      <c r="F36" s="666">
        <v>0</v>
      </c>
      <c r="G36" s="682"/>
      <c r="H36" s="682"/>
      <c r="I36" s="682"/>
      <c r="J36" s="682"/>
    </row>
    <row r="37" spans="2:10" ht="26.25" hidden="1" customHeight="1" x14ac:dyDescent="0.25">
      <c r="B37" s="684" t="s">
        <v>1576</v>
      </c>
      <c r="C37" s="681"/>
      <c r="D37" s="681"/>
      <c r="E37" s="682">
        <v>132427565</v>
      </c>
      <c r="F37" s="666">
        <v>0</v>
      </c>
      <c r="G37" s="682"/>
      <c r="H37" s="682"/>
      <c r="I37" s="682"/>
      <c r="J37" s="682"/>
    </row>
    <row r="38" spans="2:10" hidden="1" x14ac:dyDescent="0.25">
      <c r="B38" s="683" t="s">
        <v>1581</v>
      </c>
      <c r="C38" s="681"/>
      <c r="D38" s="681"/>
      <c r="E38" s="682">
        <v>127661863</v>
      </c>
      <c r="F38" s="666">
        <v>0</v>
      </c>
      <c r="G38" s="682"/>
      <c r="H38" s="682"/>
      <c r="I38" s="682"/>
      <c r="J38" s="682"/>
    </row>
    <row r="39" spans="2:10" hidden="1" x14ac:dyDescent="0.25">
      <c r="B39" s="684" t="s">
        <v>1572</v>
      </c>
      <c r="C39" s="681"/>
      <c r="D39" s="681"/>
      <c r="E39" s="682">
        <v>1361817889</v>
      </c>
      <c r="F39" s="666">
        <v>0</v>
      </c>
      <c r="G39" s="682"/>
      <c r="H39" s="682"/>
      <c r="I39" s="682"/>
      <c r="J39" s="682"/>
    </row>
    <row r="40" spans="2:10" hidden="1" x14ac:dyDescent="0.25">
      <c r="B40" s="683" t="s">
        <v>1582</v>
      </c>
      <c r="C40" s="681"/>
      <c r="D40" s="681"/>
      <c r="E40" s="682">
        <v>1349684587</v>
      </c>
      <c r="F40" s="666">
        <v>0</v>
      </c>
      <c r="G40" s="682"/>
      <c r="H40" s="682"/>
      <c r="I40" s="682"/>
      <c r="J40" s="682"/>
    </row>
    <row r="41" spans="2:10" hidden="1" x14ac:dyDescent="0.25">
      <c r="B41" s="684" t="s">
        <v>1570</v>
      </c>
      <c r="C41" s="681"/>
      <c r="D41" s="681"/>
      <c r="E41" s="682">
        <v>256970135</v>
      </c>
      <c r="F41" s="666">
        <v>0</v>
      </c>
      <c r="G41" s="682"/>
      <c r="H41" s="682"/>
      <c r="I41" s="682"/>
      <c r="J41" s="682"/>
    </row>
    <row r="42" spans="2:10" hidden="1" x14ac:dyDescent="0.25">
      <c r="B42" s="683" t="s">
        <v>1583</v>
      </c>
      <c r="C42" s="681"/>
      <c r="D42" s="681"/>
      <c r="E42" s="682">
        <v>72540000</v>
      </c>
      <c r="F42" s="666">
        <v>0</v>
      </c>
      <c r="G42" s="682"/>
      <c r="H42" s="682"/>
      <c r="I42" s="682"/>
      <c r="J42" s="682"/>
    </row>
    <row r="43" spans="2:10" ht="15.75" hidden="1" thickBot="1" x14ac:dyDescent="0.3">
      <c r="B43" s="685" t="s">
        <v>1584</v>
      </c>
      <c r="C43" s="681"/>
      <c r="D43" s="681"/>
      <c r="E43" s="682">
        <v>1291441325</v>
      </c>
      <c r="F43" s="666">
        <v>0</v>
      </c>
      <c r="G43" s="682"/>
      <c r="H43" s="682"/>
      <c r="I43" s="682"/>
      <c r="J43" s="682"/>
    </row>
    <row r="44" spans="2:10" hidden="1" x14ac:dyDescent="0.25">
      <c r="B44" s="681"/>
      <c r="C44" s="681">
        <f t="shared" ref="C44:F44" si="3">SUM(C29:C43)</f>
        <v>0</v>
      </c>
      <c r="D44" s="681">
        <f>SUM(D29:D43)</f>
        <v>0</v>
      </c>
      <c r="E44" s="681">
        <f>SUM(E29:E43)</f>
        <v>10652919446</v>
      </c>
      <c r="F44" s="666">
        <f t="shared" si="3"/>
        <v>0</v>
      </c>
      <c r="G44" s="682"/>
      <c r="H44" s="682"/>
      <c r="I44" s="682"/>
      <c r="J44" s="682"/>
    </row>
    <row r="45" spans="2:10" hidden="1" x14ac:dyDescent="0.25"/>
    <row r="46" spans="2:10" hidden="1" x14ac:dyDescent="0.25"/>
    <row r="47" spans="2:10" hidden="1" x14ac:dyDescent="0.25"/>
    <row r="48" spans="2:10" hidden="1" x14ac:dyDescent="0.25"/>
    <row r="49" spans="2:13" hidden="1" x14ac:dyDescent="0.25"/>
    <row r="50" spans="2:13" hidden="1" x14ac:dyDescent="0.25"/>
    <row r="55" spans="2:13" x14ac:dyDescent="0.25">
      <c r="C55" s="745" t="s">
        <v>1577</v>
      </c>
      <c r="D55" s="746"/>
      <c r="E55" s="746"/>
      <c r="F55" s="746"/>
    </row>
    <row r="56" spans="2:13" ht="15.75" thickBot="1" x14ac:dyDescent="0.3">
      <c r="C56" s="656"/>
      <c r="D56" s="686" t="s">
        <v>1585</v>
      </c>
      <c r="E56" s="686" t="s">
        <v>1586</v>
      </c>
      <c r="F56" s="686" t="s">
        <v>1559</v>
      </c>
      <c r="G56" s="687"/>
      <c r="H56" s="687"/>
      <c r="I56" s="687" t="s">
        <v>1587</v>
      </c>
      <c r="J56" s="687" t="s">
        <v>1588</v>
      </c>
      <c r="K56" s="687" t="s">
        <v>1589</v>
      </c>
    </row>
    <row r="57" spans="2:13" x14ac:dyDescent="0.25">
      <c r="B57" s="680" t="s">
        <v>1574</v>
      </c>
      <c r="C57" s="681"/>
      <c r="D57" s="665">
        <f>705754500</f>
        <v>705754500</v>
      </c>
      <c r="E57" s="682">
        <v>637750786</v>
      </c>
      <c r="F57" s="666">
        <v>0</v>
      </c>
      <c r="I57" s="656">
        <f>+D57*3%</f>
        <v>21172635</v>
      </c>
      <c r="J57" s="664">
        <f>+I57+D57</f>
        <v>726927135</v>
      </c>
      <c r="K57" s="688">
        <f>722779848</f>
        <v>722779848</v>
      </c>
      <c r="L57" s="656">
        <f>+K57</f>
        <v>722779848</v>
      </c>
      <c r="M57" s="656" t="s">
        <v>1590</v>
      </c>
    </row>
    <row r="58" spans="2:13" x14ac:dyDescent="0.25">
      <c r="B58" s="683" t="s">
        <v>1567</v>
      </c>
      <c r="C58" s="681"/>
      <c r="D58" s="665">
        <f>1738440909.54545</f>
        <v>1738440909.54545</v>
      </c>
      <c r="E58" s="682">
        <v>2482572930</v>
      </c>
      <c r="F58" s="666">
        <v>0</v>
      </c>
      <c r="I58" s="656">
        <f t="shared" ref="I58:I71" si="4">+D58*3%</f>
        <v>52153227.286363497</v>
      </c>
      <c r="J58" s="664">
        <f t="shared" ref="J58:J71" si="5">+I58+D58</f>
        <v>1790594136.8318136</v>
      </c>
      <c r="K58" s="478">
        <v>1441167829.3202293</v>
      </c>
      <c r="L58" s="665">
        <v>1461440556.4111383</v>
      </c>
      <c r="M58" s="656" t="s">
        <v>1590</v>
      </c>
    </row>
    <row r="59" spans="2:13" x14ac:dyDescent="0.25">
      <c r="B59" s="684" t="s">
        <v>1573</v>
      </c>
      <c r="C59" s="681"/>
      <c r="D59" s="665">
        <f>374822881</f>
        <v>374822881</v>
      </c>
      <c r="E59" s="682">
        <v>370546681</v>
      </c>
      <c r="F59" s="666">
        <v>0</v>
      </c>
      <c r="I59" s="656">
        <f t="shared" si="4"/>
        <v>11244686.43</v>
      </c>
      <c r="J59" s="664">
        <f t="shared" si="5"/>
        <v>386067567.43000001</v>
      </c>
      <c r="K59" s="688">
        <f>1227257834</f>
        <v>1227257834</v>
      </c>
      <c r="L59" s="656">
        <f>+K59</f>
        <v>1227257834</v>
      </c>
      <c r="M59" s="656" t="s">
        <v>1590</v>
      </c>
    </row>
    <row r="60" spans="2:13" x14ac:dyDescent="0.25">
      <c r="B60" s="683" t="s">
        <v>1571</v>
      </c>
      <c r="C60" s="681"/>
      <c r="D60" s="665">
        <f>433950000</f>
        <v>433950000</v>
      </c>
      <c r="E60" s="682">
        <v>476759063</v>
      </c>
      <c r="F60" s="666">
        <v>0</v>
      </c>
      <c r="I60" s="656">
        <f t="shared" si="4"/>
        <v>13018500</v>
      </c>
      <c r="J60" s="664">
        <f t="shared" si="5"/>
        <v>446968500</v>
      </c>
      <c r="K60" s="478">
        <f>434200000</f>
        <v>434200000</v>
      </c>
      <c r="L60" s="478">
        <f>+E60</f>
        <v>476759063</v>
      </c>
    </row>
    <row r="61" spans="2:13" x14ac:dyDescent="0.25">
      <c r="B61" s="684" t="s">
        <v>1575</v>
      </c>
      <c r="C61" s="681"/>
      <c r="D61" s="665">
        <f>428456939.727273</f>
        <v>428456939.72727299</v>
      </c>
      <c r="E61" s="682">
        <v>391036376</v>
      </c>
      <c r="F61" s="666">
        <v>0</v>
      </c>
      <c r="I61" s="656">
        <f t="shared" si="4"/>
        <v>12853708.191818189</v>
      </c>
      <c r="J61" s="664">
        <f t="shared" si="5"/>
        <v>441310647.91909117</v>
      </c>
      <c r="K61" s="478">
        <f>326588839.181818</f>
        <v>326588839.18181801</v>
      </c>
      <c r="L61" s="665">
        <f>428456939.727273</f>
        <v>428456939.72727299</v>
      </c>
      <c r="M61" s="656" t="s">
        <v>1590</v>
      </c>
    </row>
    <row r="62" spans="2:13" x14ac:dyDescent="0.25">
      <c r="B62" s="683" t="s">
        <v>1580</v>
      </c>
      <c r="C62" s="681"/>
      <c r="D62" s="665">
        <f>25026000</f>
        <v>25026000</v>
      </c>
      <c r="E62" s="682">
        <v>37980200</v>
      </c>
      <c r="F62" s="666">
        <v>0</v>
      </c>
      <c r="I62" s="656">
        <f t="shared" si="4"/>
        <v>750780</v>
      </c>
      <c r="J62" s="664">
        <f t="shared" si="5"/>
        <v>25776780</v>
      </c>
      <c r="K62" s="688">
        <v>53568500</v>
      </c>
      <c r="L62" s="478">
        <f>+K62</f>
        <v>53568500</v>
      </c>
      <c r="M62" s="656" t="s">
        <v>1590</v>
      </c>
    </row>
    <row r="63" spans="2:13" x14ac:dyDescent="0.25">
      <c r="B63" s="684" t="s">
        <v>1569</v>
      </c>
      <c r="C63" s="681"/>
      <c r="D63" s="665">
        <f>474100927.818182</f>
        <v>474100927.81818199</v>
      </c>
      <c r="E63" s="682">
        <v>613897072</v>
      </c>
      <c r="F63" s="666">
        <v>0</v>
      </c>
      <c r="I63" s="656">
        <f t="shared" si="4"/>
        <v>14223027.83454546</v>
      </c>
      <c r="J63" s="664">
        <f t="shared" si="5"/>
        <v>488323955.65272743</v>
      </c>
      <c r="K63" s="478">
        <f>437071836.909091</f>
        <v>437071836.909091</v>
      </c>
      <c r="L63" s="665">
        <v>517071836.909091</v>
      </c>
      <c r="M63" s="656" t="s">
        <v>1590</v>
      </c>
    </row>
    <row r="64" spans="2:13" x14ac:dyDescent="0.25">
      <c r="B64" s="683" t="s">
        <v>1568</v>
      </c>
      <c r="C64" s="681"/>
      <c r="D64" s="665">
        <f>730997993.93</f>
        <v>730997993.92999995</v>
      </c>
      <c r="E64" s="682">
        <v>1049832974</v>
      </c>
      <c r="F64" s="666">
        <v>0</v>
      </c>
      <c r="I64" s="656">
        <f t="shared" si="4"/>
        <v>21929939.817899998</v>
      </c>
      <c r="J64" s="664">
        <f t="shared" si="5"/>
        <v>752927933.74789989</v>
      </c>
      <c r="K64" s="688">
        <f>944727411.273636</f>
        <v>944727411.27363598</v>
      </c>
      <c r="L64" s="656">
        <f>+K64+72000000</f>
        <v>1016727411.273636</v>
      </c>
      <c r="M64" s="656" t="s">
        <v>1590</v>
      </c>
    </row>
    <row r="65" spans="2:13" ht="26.25" customHeight="1" x14ac:dyDescent="0.25">
      <c r="B65" s="684" t="s">
        <v>1576</v>
      </c>
      <c r="C65" s="681"/>
      <c r="D65" s="665">
        <f>155453270</f>
        <v>155453270</v>
      </c>
      <c r="E65" s="682">
        <v>132427565</v>
      </c>
      <c r="F65" s="666">
        <v>0</v>
      </c>
      <c r="I65" s="656">
        <f t="shared" si="4"/>
        <v>4663598.0999999996</v>
      </c>
      <c r="J65" s="664">
        <f t="shared" si="5"/>
        <v>160116868.09999999</v>
      </c>
      <c r="K65" s="478">
        <f>158654897</f>
        <v>158654897</v>
      </c>
      <c r="L65" s="689">
        <f>+K65</f>
        <v>158654897</v>
      </c>
    </row>
    <row r="66" spans="2:13" x14ac:dyDescent="0.25">
      <c r="B66" s="683" t="s">
        <v>1581</v>
      </c>
      <c r="C66" s="681"/>
      <c r="D66" s="665">
        <f>121446181</f>
        <v>121446181</v>
      </c>
      <c r="E66" s="682">
        <v>127661863</v>
      </c>
      <c r="F66" s="666">
        <v>0</v>
      </c>
      <c r="I66" s="656">
        <f t="shared" si="4"/>
        <v>3643385.4299999997</v>
      </c>
      <c r="J66" s="664">
        <f t="shared" si="5"/>
        <v>125089566.43000001</v>
      </c>
      <c r="K66" s="688">
        <f>122279911</f>
        <v>122279911</v>
      </c>
      <c r="L66" s="656">
        <v>125732740.54545455</v>
      </c>
      <c r="M66" s="656" t="s">
        <v>1590</v>
      </c>
    </row>
    <row r="67" spans="2:13" x14ac:dyDescent="0.25">
      <c r="B67" s="684" t="s">
        <v>1572</v>
      </c>
      <c r="C67" s="681"/>
      <c r="D67" s="665">
        <f>1402548772.78182</f>
        <v>1402548772.7818201</v>
      </c>
      <c r="E67" s="682">
        <v>1361817889</v>
      </c>
      <c r="F67" s="666">
        <v>0</v>
      </c>
      <c r="I67" s="656">
        <f t="shared" si="4"/>
        <v>42076463.183454603</v>
      </c>
      <c r="J67" s="664">
        <f t="shared" si="5"/>
        <v>1444625235.9652746</v>
      </c>
      <c r="K67" s="478">
        <f>960493255.236364</f>
        <v>960493255.23636401</v>
      </c>
      <c r="L67" s="665">
        <f>+K67+123353129</f>
        <v>1083846384.2363639</v>
      </c>
    </row>
    <row r="68" spans="2:13" x14ac:dyDescent="0.25">
      <c r="B68" s="683" t="s">
        <v>1582</v>
      </c>
      <c r="C68" s="681"/>
      <c r="D68" s="665">
        <f>1029478912.90909</f>
        <v>1029478912.90909</v>
      </c>
      <c r="E68" s="682">
        <v>1349684587</v>
      </c>
      <c r="F68" s="666">
        <v>0</v>
      </c>
      <c r="I68" s="656">
        <f t="shared" si="4"/>
        <v>30884367.387272701</v>
      </c>
      <c r="J68" s="664">
        <f t="shared" si="5"/>
        <v>1060363280.2963628</v>
      </c>
      <c r="K68" s="688">
        <f>1039983200.01392</f>
        <v>1039983200.0139199</v>
      </c>
      <c r="L68" s="690">
        <v>1095169747.7436528</v>
      </c>
      <c r="M68" s="656" t="s">
        <v>1590</v>
      </c>
    </row>
    <row r="69" spans="2:13" x14ac:dyDescent="0.25">
      <c r="B69" s="684" t="s">
        <v>1570</v>
      </c>
      <c r="C69" s="681"/>
      <c r="D69" s="665">
        <f>209300567</f>
        <v>209300567</v>
      </c>
      <c r="E69" s="682">
        <v>256970135</v>
      </c>
      <c r="F69" s="666">
        <v>0</v>
      </c>
      <c r="I69" s="656">
        <f t="shared" si="4"/>
        <v>6279017.0099999998</v>
      </c>
      <c r="J69" s="664">
        <f t="shared" si="5"/>
        <v>215579584.00999999</v>
      </c>
      <c r="K69" s="478">
        <f>197018113.4</f>
        <v>197018113.40000001</v>
      </c>
      <c r="L69" s="665">
        <f>+E69</f>
        <v>256970135</v>
      </c>
      <c r="M69" s="656" t="s">
        <v>1590</v>
      </c>
    </row>
    <row r="70" spans="2:13" x14ac:dyDescent="0.25">
      <c r="B70" s="683" t="s">
        <v>1583</v>
      </c>
      <c r="C70" s="681"/>
      <c r="D70" s="665">
        <f>130400000</f>
        <v>130400000</v>
      </c>
      <c r="E70" s="682">
        <v>72540000</v>
      </c>
      <c r="F70" s="666">
        <v>0</v>
      </c>
      <c r="I70" s="656">
        <f t="shared" si="4"/>
        <v>3912000</v>
      </c>
      <c r="J70" s="664">
        <f t="shared" si="5"/>
        <v>134312000</v>
      </c>
      <c r="K70" s="688">
        <f>138540000</f>
        <v>138540000</v>
      </c>
      <c r="L70" s="656">
        <f>+K70</f>
        <v>138540000</v>
      </c>
    </row>
    <row r="71" spans="2:13" ht="15.75" thickBot="1" x14ac:dyDescent="0.3">
      <c r="B71" s="685" t="s">
        <v>1584</v>
      </c>
      <c r="C71" s="681"/>
      <c r="D71" s="665">
        <f>955246000</f>
        <v>955246000</v>
      </c>
      <c r="E71" s="682">
        <v>1291441325</v>
      </c>
      <c r="F71" s="666">
        <v>0</v>
      </c>
      <c r="I71" s="656">
        <f t="shared" si="4"/>
        <v>28657380</v>
      </c>
      <c r="J71" s="664">
        <f t="shared" si="5"/>
        <v>983903380</v>
      </c>
      <c r="K71" s="484">
        <f>350159090.909091</f>
        <v>350159090.909091</v>
      </c>
      <c r="L71" s="656">
        <f>422027108.927109+1311436</f>
        <v>423338544.927109</v>
      </c>
    </row>
    <row r="72" spans="2:13" x14ac:dyDescent="0.25">
      <c r="B72" s="681"/>
      <c r="C72" s="681">
        <f t="shared" ref="C72:F72" si="6">SUM(C57:C71)</f>
        <v>0</v>
      </c>
      <c r="D72" s="681">
        <f>SUM(D57:D71)</f>
        <v>8915423855.7118149</v>
      </c>
      <c r="E72" s="681">
        <f>SUM(E57:E71)</f>
        <v>10652919446</v>
      </c>
      <c r="F72" s="666">
        <f t="shared" si="6"/>
        <v>0</v>
      </c>
      <c r="I72" s="681">
        <f>SUM(I57:I71)</f>
        <v>267462715.67135441</v>
      </c>
      <c r="J72" s="681">
        <f>SUM(J57:J71)</f>
        <v>9182886571.3831711</v>
      </c>
      <c r="K72" s="681">
        <f>SUM(K57:K71)</f>
        <v>8554490566.2441492</v>
      </c>
      <c r="L72" s="681">
        <f>SUM(L57:L71)</f>
        <v>9186314438.7737179</v>
      </c>
    </row>
    <row r="73" spans="2:13" x14ac:dyDescent="0.25">
      <c r="I73" s="656">
        <v>9186314438.4121208</v>
      </c>
      <c r="L73" s="656">
        <f>+I73-L72</f>
        <v>-0.36159706115722656</v>
      </c>
    </row>
    <row r="74" spans="2:13" x14ac:dyDescent="0.25">
      <c r="I74" s="656">
        <f>+I73/D72*100</f>
        <v>103.03844872755832</v>
      </c>
      <c r="L74" s="656">
        <f>+L73+L66</f>
        <v>125732740.18385749</v>
      </c>
    </row>
  </sheetData>
  <mergeCells count="8">
    <mergeCell ref="I5:J6"/>
    <mergeCell ref="C27:F27"/>
    <mergeCell ref="C28:D28"/>
    <mergeCell ref="C55:F55"/>
    <mergeCell ref="B5:B7"/>
    <mergeCell ref="C5:C7"/>
    <mergeCell ref="D5:D6"/>
    <mergeCell ref="E5:F6"/>
  </mergeCells>
  <conditionalFormatting sqref="B24:C24 A10:A25">
    <cfRule type="cellIs" dxfId="25" priority="16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8"/>
  <sheetViews>
    <sheetView workbookViewId="0">
      <pane xSplit="5" ySplit="8" topLeftCell="R90" activePane="bottomRight" state="frozen"/>
      <selection pane="topRight" activeCell="F1" sqref="F1"/>
      <selection pane="bottomLeft" activeCell="A9" sqref="A9"/>
      <selection pane="bottomRight" activeCell="R100" sqref="R100"/>
    </sheetView>
  </sheetViews>
  <sheetFormatPr defaultRowHeight="15" x14ac:dyDescent="0.25"/>
  <cols>
    <col min="1" max="1" width="5" customWidth="1"/>
    <col min="2" max="2" width="16.85546875" bestFit="1" customWidth="1"/>
    <col min="3" max="3" width="15.85546875" customWidth="1"/>
    <col min="4" max="4" width="14.85546875" customWidth="1"/>
    <col min="5" max="5" width="40.140625" customWidth="1"/>
    <col min="6" max="6" width="11.42578125" customWidth="1"/>
    <col min="7" max="7" width="11.5703125" customWidth="1"/>
    <col min="8" max="8" width="77.7109375" customWidth="1"/>
    <col min="9" max="9" width="14.140625" customWidth="1"/>
    <col min="10" max="10" width="17.85546875" bestFit="1" customWidth="1"/>
    <col min="11" max="11" width="32.7109375" customWidth="1"/>
    <col min="12" max="12" width="10.7109375" bestFit="1" customWidth="1"/>
    <col min="13" max="13" width="12.5703125" customWidth="1"/>
    <col min="14" max="14" width="30.140625" bestFit="1" customWidth="1"/>
    <col min="15" max="15" width="72.85546875" customWidth="1"/>
    <col min="16" max="16" width="12" customWidth="1"/>
    <col min="17" max="18" width="11.85546875" bestFit="1" customWidth="1"/>
    <col min="19" max="19" width="12.28515625" customWidth="1"/>
    <col min="20" max="20" width="12.7109375" customWidth="1"/>
    <col min="21" max="21" width="11.5703125" customWidth="1"/>
    <col min="22" max="22" width="6.5703125" customWidth="1"/>
    <col min="23" max="23" width="14" customWidth="1"/>
    <col min="24" max="24" width="18" bestFit="1" customWidth="1"/>
    <col min="26" max="26" width="11.5703125" bestFit="1" customWidth="1"/>
    <col min="27" max="27" width="10.5703125" bestFit="1" customWidth="1"/>
    <col min="28" max="28" width="11.5703125" bestFit="1" customWidth="1"/>
    <col min="33" max="33" width="11.5703125" bestFit="1" customWidth="1"/>
  </cols>
  <sheetData>
    <row r="1" spans="1:28" x14ac:dyDescent="0.25">
      <c r="A1" s="265" t="s">
        <v>719</v>
      </c>
      <c r="B1" s="266"/>
      <c r="C1" s="266"/>
      <c r="D1" s="266"/>
    </row>
    <row r="2" spans="1:28" x14ac:dyDescent="0.25">
      <c r="A2" s="265" t="s">
        <v>720</v>
      </c>
      <c r="B2" s="266"/>
      <c r="C2" s="266"/>
      <c r="D2" s="266"/>
      <c r="G2" s="267"/>
    </row>
    <row r="3" spans="1:28" x14ac:dyDescent="0.25">
      <c r="A3" s="265" t="s">
        <v>721</v>
      </c>
      <c r="B3" s="266"/>
      <c r="C3" s="266"/>
      <c r="D3" s="266"/>
      <c r="G3" s="267"/>
    </row>
    <row r="4" spans="1:28" x14ac:dyDescent="0.25">
      <c r="A4" s="265"/>
      <c r="B4" s="266"/>
      <c r="C4" s="266"/>
      <c r="D4" s="266"/>
      <c r="G4" s="267"/>
    </row>
    <row r="5" spans="1:28" ht="15.75" thickBot="1" x14ac:dyDescent="0.3"/>
    <row r="6" spans="1:28" s="1" customFormat="1" ht="23.1" customHeight="1" x14ac:dyDescent="0.25">
      <c r="A6" s="758" t="s">
        <v>2</v>
      </c>
      <c r="B6" s="760" t="s">
        <v>3</v>
      </c>
      <c r="C6" s="760" t="s">
        <v>722</v>
      </c>
      <c r="D6" s="760" t="s">
        <v>723</v>
      </c>
      <c r="E6" s="762" t="s">
        <v>4</v>
      </c>
      <c r="F6" s="763"/>
      <c r="G6" s="763"/>
      <c r="H6" s="763"/>
      <c r="I6" s="764"/>
      <c r="J6" s="754" t="s">
        <v>5</v>
      </c>
      <c r="K6" s="765" t="s">
        <v>6</v>
      </c>
      <c r="L6" s="766"/>
      <c r="M6" s="767"/>
      <c r="N6" s="762" t="s">
        <v>7</v>
      </c>
      <c r="O6" s="763"/>
      <c r="P6" s="764"/>
      <c r="Q6" s="765" t="s">
        <v>8</v>
      </c>
      <c r="R6" s="766"/>
      <c r="S6" s="767"/>
      <c r="T6" s="754" t="s">
        <v>9</v>
      </c>
      <c r="U6" s="754"/>
      <c r="V6" s="754"/>
      <c r="W6" s="754"/>
      <c r="X6" s="768" t="s">
        <v>10</v>
      </c>
    </row>
    <row r="7" spans="1:28" s="1" customFormat="1" ht="45" x14ac:dyDescent="0.25">
      <c r="A7" s="759"/>
      <c r="B7" s="761"/>
      <c r="C7" s="761"/>
      <c r="D7" s="761"/>
      <c r="E7" s="268" t="s">
        <v>11</v>
      </c>
      <c r="F7" s="268" t="s">
        <v>12</v>
      </c>
      <c r="G7" s="269" t="s">
        <v>724</v>
      </c>
      <c r="H7" s="269" t="s">
        <v>14</v>
      </c>
      <c r="I7" s="269" t="s">
        <v>78</v>
      </c>
      <c r="J7" s="755"/>
      <c r="K7" s="270" t="s">
        <v>16</v>
      </c>
      <c r="L7" s="270" t="s">
        <v>17</v>
      </c>
      <c r="M7" s="271" t="s">
        <v>18</v>
      </c>
      <c r="N7" s="271" t="s">
        <v>19</v>
      </c>
      <c r="O7" s="271" t="s">
        <v>14</v>
      </c>
      <c r="P7" s="271" t="s">
        <v>20</v>
      </c>
      <c r="Q7" s="270" t="s">
        <v>21</v>
      </c>
      <c r="R7" s="270" t="s">
        <v>22</v>
      </c>
      <c r="S7" s="268" t="s">
        <v>23</v>
      </c>
      <c r="T7" s="268" t="s">
        <v>24</v>
      </c>
      <c r="U7" s="268" t="s">
        <v>25</v>
      </c>
      <c r="V7" s="268" t="s">
        <v>26</v>
      </c>
      <c r="W7" s="268" t="s">
        <v>27</v>
      </c>
      <c r="X7" s="769"/>
    </row>
    <row r="8" spans="1:28" x14ac:dyDescent="0.25">
      <c r="A8" s="5">
        <v>1</v>
      </c>
      <c r="B8" s="5">
        <v>2</v>
      </c>
      <c r="C8" s="5"/>
      <c r="D8" s="5"/>
      <c r="E8" s="5">
        <v>3</v>
      </c>
      <c r="F8" s="756">
        <v>4</v>
      </c>
      <c r="G8" s="757"/>
      <c r="H8" s="5">
        <v>5</v>
      </c>
      <c r="I8" s="5">
        <v>6</v>
      </c>
      <c r="J8" s="5">
        <v>7</v>
      </c>
      <c r="K8" s="5">
        <v>8</v>
      </c>
      <c r="L8" s="5">
        <v>9</v>
      </c>
      <c r="M8" s="5">
        <v>10</v>
      </c>
      <c r="N8" s="5">
        <v>11</v>
      </c>
      <c r="O8" s="5">
        <v>12</v>
      </c>
      <c r="P8" s="5">
        <v>13</v>
      </c>
      <c r="Q8" s="5">
        <v>14</v>
      </c>
      <c r="R8" s="5">
        <v>15</v>
      </c>
      <c r="S8" s="5">
        <v>16</v>
      </c>
      <c r="T8" s="5">
        <v>17</v>
      </c>
      <c r="U8" s="5">
        <v>18</v>
      </c>
      <c r="V8" s="5">
        <v>19</v>
      </c>
      <c r="W8" s="5">
        <v>20</v>
      </c>
      <c r="X8" s="5">
        <v>21</v>
      </c>
      <c r="AB8" s="266"/>
    </row>
    <row r="9" spans="1:28" x14ac:dyDescent="0.25">
      <c r="A9" s="104">
        <v>1</v>
      </c>
      <c r="B9" s="272" t="s">
        <v>725</v>
      </c>
      <c r="C9" s="106" t="s">
        <v>726</v>
      </c>
      <c r="D9" s="106" t="s">
        <v>726</v>
      </c>
      <c r="E9" s="273" t="s">
        <v>727</v>
      </c>
      <c r="F9" s="274">
        <v>12</v>
      </c>
      <c r="G9" s="275"/>
      <c r="H9" s="110" t="s">
        <v>728</v>
      </c>
      <c r="I9" s="111" t="s">
        <v>729</v>
      </c>
      <c r="J9" s="276" t="s">
        <v>730</v>
      </c>
      <c r="K9" s="277" t="s">
        <v>731</v>
      </c>
      <c r="L9" s="278">
        <v>44411</v>
      </c>
      <c r="M9" s="276" t="s">
        <v>71</v>
      </c>
      <c r="N9" s="279" t="s">
        <v>732</v>
      </c>
      <c r="O9" s="280" t="s">
        <v>733</v>
      </c>
      <c r="P9" s="111" t="s">
        <v>29</v>
      </c>
      <c r="Q9" s="278">
        <v>44411</v>
      </c>
      <c r="R9" s="278">
        <v>44775</v>
      </c>
      <c r="S9" s="280" t="s">
        <v>30</v>
      </c>
      <c r="T9" s="281">
        <v>1800000</v>
      </c>
      <c r="U9" s="282">
        <f>T9*11%</f>
        <v>198000</v>
      </c>
      <c r="V9" s="280"/>
      <c r="W9" s="283">
        <f>T9+U9+V9</f>
        <v>1998000</v>
      </c>
      <c r="X9" s="284"/>
      <c r="AB9" s="266"/>
    </row>
    <row r="10" spans="1:28" x14ac:dyDescent="0.25">
      <c r="A10" s="104">
        <f>+A9+1</f>
        <v>2</v>
      </c>
      <c r="B10" s="272" t="s">
        <v>725</v>
      </c>
      <c r="C10" s="106" t="s">
        <v>726</v>
      </c>
      <c r="D10" s="106" t="s">
        <v>726</v>
      </c>
      <c r="E10" s="273" t="s">
        <v>727</v>
      </c>
      <c r="F10" s="274">
        <v>12</v>
      </c>
      <c r="G10" s="275"/>
      <c r="H10" s="110" t="s">
        <v>728</v>
      </c>
      <c r="I10" s="111" t="s">
        <v>729</v>
      </c>
      <c r="J10" s="276" t="s">
        <v>730</v>
      </c>
      <c r="K10" s="277" t="s">
        <v>734</v>
      </c>
      <c r="L10" s="278">
        <v>44411</v>
      </c>
      <c r="M10" s="276" t="s">
        <v>71</v>
      </c>
      <c r="N10" s="279" t="s">
        <v>735</v>
      </c>
      <c r="O10" s="110" t="s">
        <v>736</v>
      </c>
      <c r="P10" s="111" t="s">
        <v>29</v>
      </c>
      <c r="Q10" s="278">
        <v>44411</v>
      </c>
      <c r="R10" s="278">
        <v>44775</v>
      </c>
      <c r="S10" s="280" t="s">
        <v>30</v>
      </c>
      <c r="T10" s="281">
        <v>1800000</v>
      </c>
      <c r="U10" s="282">
        <f t="shared" ref="U10:U73" si="0">T10*11%</f>
        <v>198000</v>
      </c>
      <c r="V10" s="280"/>
      <c r="W10" s="283">
        <f>T10+U10+V10</f>
        <v>1998000</v>
      </c>
      <c r="X10" s="280"/>
      <c r="AB10" s="266"/>
    </row>
    <row r="11" spans="1:28" x14ac:dyDescent="0.25">
      <c r="A11" s="104">
        <f t="shared" ref="A11:A74" si="1">+A10+1</f>
        <v>3</v>
      </c>
      <c r="B11" s="272" t="s">
        <v>725</v>
      </c>
      <c r="C11" s="106" t="s">
        <v>726</v>
      </c>
      <c r="D11" s="106" t="s">
        <v>726</v>
      </c>
      <c r="E11" s="273" t="s">
        <v>727</v>
      </c>
      <c r="F11" s="274">
        <v>12</v>
      </c>
      <c r="G11" s="109"/>
      <c r="H11" s="110" t="s">
        <v>728</v>
      </c>
      <c r="I11" s="111" t="s">
        <v>729</v>
      </c>
      <c r="J11" s="276" t="s">
        <v>730</v>
      </c>
      <c r="K11" s="277" t="s">
        <v>737</v>
      </c>
      <c r="L11" s="278">
        <v>44411</v>
      </c>
      <c r="M11" s="276" t="s">
        <v>71</v>
      </c>
      <c r="N11" s="279" t="s">
        <v>738</v>
      </c>
      <c r="O11" s="110" t="s">
        <v>739</v>
      </c>
      <c r="P11" s="111" t="s">
        <v>29</v>
      </c>
      <c r="Q11" s="278">
        <v>44411</v>
      </c>
      <c r="R11" s="278">
        <v>44775</v>
      </c>
      <c r="S11" s="280" t="s">
        <v>30</v>
      </c>
      <c r="T11" s="281">
        <v>1800000</v>
      </c>
      <c r="U11" s="282">
        <f t="shared" si="0"/>
        <v>198000</v>
      </c>
      <c r="V11" s="280"/>
      <c r="W11" s="283">
        <f>T11+U11+V11</f>
        <v>1998000</v>
      </c>
      <c r="X11" s="280"/>
      <c r="AB11" s="266"/>
    </row>
    <row r="12" spans="1:28" x14ac:dyDescent="0.25">
      <c r="A12" s="104">
        <f t="shared" si="1"/>
        <v>4</v>
      </c>
      <c r="B12" s="272" t="s">
        <v>725</v>
      </c>
      <c r="C12" s="106" t="s">
        <v>726</v>
      </c>
      <c r="D12" s="106" t="s">
        <v>726</v>
      </c>
      <c r="E12" s="273" t="s">
        <v>727</v>
      </c>
      <c r="F12" s="274">
        <v>60</v>
      </c>
      <c r="G12" s="109"/>
      <c r="H12" s="110" t="s">
        <v>728</v>
      </c>
      <c r="I12" s="111" t="s">
        <v>729</v>
      </c>
      <c r="J12" s="276" t="s">
        <v>730</v>
      </c>
      <c r="K12" s="277" t="s">
        <v>740</v>
      </c>
      <c r="L12" s="278">
        <v>44411</v>
      </c>
      <c r="M12" s="276" t="s">
        <v>71</v>
      </c>
      <c r="N12" s="279" t="s">
        <v>741</v>
      </c>
      <c r="O12" s="110" t="s">
        <v>739</v>
      </c>
      <c r="P12" s="111" t="s">
        <v>29</v>
      </c>
      <c r="Q12" s="278">
        <v>44411</v>
      </c>
      <c r="R12" s="278">
        <v>44775</v>
      </c>
      <c r="S12" s="280" t="s">
        <v>30</v>
      </c>
      <c r="T12" s="281">
        <v>10800000</v>
      </c>
      <c r="U12" s="282">
        <f t="shared" si="0"/>
        <v>1188000</v>
      </c>
      <c r="V12" s="280"/>
      <c r="W12" s="283">
        <f t="shared" ref="W12:W75" si="2">T12+U12+V12</f>
        <v>11988000</v>
      </c>
      <c r="X12" s="280"/>
      <c r="AB12" s="266"/>
    </row>
    <row r="13" spans="1:28" x14ac:dyDescent="0.25">
      <c r="A13" s="104">
        <f t="shared" si="1"/>
        <v>5</v>
      </c>
      <c r="B13" s="272" t="s">
        <v>725</v>
      </c>
      <c r="C13" s="106" t="s">
        <v>726</v>
      </c>
      <c r="D13" s="106" t="s">
        <v>726</v>
      </c>
      <c r="E13" s="273" t="s">
        <v>727</v>
      </c>
      <c r="F13" s="274">
        <v>24</v>
      </c>
      <c r="G13" s="109"/>
      <c r="H13" s="110" t="s">
        <v>728</v>
      </c>
      <c r="I13" s="111" t="s">
        <v>729</v>
      </c>
      <c r="J13" s="276" t="s">
        <v>730</v>
      </c>
      <c r="K13" s="277" t="s">
        <v>742</v>
      </c>
      <c r="L13" s="278">
        <v>44411</v>
      </c>
      <c r="M13" s="276" t="s">
        <v>71</v>
      </c>
      <c r="N13" s="279" t="s">
        <v>743</v>
      </c>
      <c r="O13" s="110" t="s">
        <v>744</v>
      </c>
      <c r="P13" s="111" t="s">
        <v>29</v>
      </c>
      <c r="Q13" s="278">
        <v>44411</v>
      </c>
      <c r="R13" s="278">
        <v>44775</v>
      </c>
      <c r="S13" s="280" t="s">
        <v>30</v>
      </c>
      <c r="T13" s="281">
        <v>3600000</v>
      </c>
      <c r="U13" s="282">
        <f t="shared" si="0"/>
        <v>396000</v>
      </c>
      <c r="V13" s="280"/>
      <c r="W13" s="283">
        <f t="shared" si="2"/>
        <v>3996000</v>
      </c>
      <c r="X13" s="280"/>
      <c r="AB13" s="266"/>
    </row>
    <row r="14" spans="1:28" x14ac:dyDescent="0.25">
      <c r="A14" s="104">
        <f t="shared" si="1"/>
        <v>6</v>
      </c>
      <c r="B14" s="272" t="s">
        <v>725</v>
      </c>
      <c r="C14" s="106" t="s">
        <v>726</v>
      </c>
      <c r="D14" s="106" t="s">
        <v>726</v>
      </c>
      <c r="E14" s="273" t="s">
        <v>727</v>
      </c>
      <c r="F14" s="274">
        <v>12</v>
      </c>
      <c r="G14" s="109"/>
      <c r="H14" s="110" t="s">
        <v>728</v>
      </c>
      <c r="I14" s="111" t="s">
        <v>729</v>
      </c>
      <c r="J14" s="276" t="s">
        <v>730</v>
      </c>
      <c r="K14" s="277" t="s">
        <v>745</v>
      </c>
      <c r="L14" s="278">
        <v>44411</v>
      </c>
      <c r="M14" s="276" t="s">
        <v>71</v>
      </c>
      <c r="N14" s="279" t="s">
        <v>746</v>
      </c>
      <c r="O14" s="110" t="s">
        <v>747</v>
      </c>
      <c r="P14" s="111" t="s">
        <v>29</v>
      </c>
      <c r="Q14" s="278">
        <v>44411</v>
      </c>
      <c r="R14" s="278">
        <v>44775</v>
      </c>
      <c r="S14" s="280" t="s">
        <v>30</v>
      </c>
      <c r="T14" s="281">
        <v>7200000</v>
      </c>
      <c r="U14" s="282">
        <f t="shared" si="0"/>
        <v>792000</v>
      </c>
      <c r="V14" s="280"/>
      <c r="W14" s="283">
        <f t="shared" si="2"/>
        <v>7992000</v>
      </c>
      <c r="X14" s="280"/>
      <c r="AB14" s="266"/>
    </row>
    <row r="15" spans="1:28" x14ac:dyDescent="0.25">
      <c r="A15" s="104">
        <f t="shared" si="1"/>
        <v>7</v>
      </c>
      <c r="B15" s="272" t="s">
        <v>725</v>
      </c>
      <c r="C15" s="106" t="s">
        <v>726</v>
      </c>
      <c r="D15" s="106" t="s">
        <v>726</v>
      </c>
      <c r="E15" s="273" t="s">
        <v>727</v>
      </c>
      <c r="F15" s="274">
        <v>12</v>
      </c>
      <c r="G15" s="109"/>
      <c r="H15" s="110" t="s">
        <v>728</v>
      </c>
      <c r="I15" s="111" t="s">
        <v>729</v>
      </c>
      <c r="J15" s="276" t="s">
        <v>748</v>
      </c>
      <c r="K15" s="277" t="s">
        <v>749</v>
      </c>
      <c r="L15" s="278">
        <v>44411</v>
      </c>
      <c r="M15" s="276" t="s">
        <v>71</v>
      </c>
      <c r="N15" s="279" t="s">
        <v>750</v>
      </c>
      <c r="O15" s="110" t="s">
        <v>751</v>
      </c>
      <c r="P15" s="111" t="s">
        <v>29</v>
      </c>
      <c r="Q15" s="278">
        <v>44411</v>
      </c>
      <c r="R15" s="278">
        <v>44775</v>
      </c>
      <c r="S15" s="280" t="s">
        <v>30</v>
      </c>
      <c r="T15" s="281">
        <v>1800000</v>
      </c>
      <c r="U15" s="282">
        <f t="shared" si="0"/>
        <v>198000</v>
      </c>
      <c r="V15" s="280"/>
      <c r="W15" s="283">
        <f t="shared" si="2"/>
        <v>1998000</v>
      </c>
      <c r="X15" s="280"/>
      <c r="AA15" s="146"/>
      <c r="AB15" s="266"/>
    </row>
    <row r="16" spans="1:28" x14ac:dyDescent="0.25">
      <c r="A16" s="104">
        <f t="shared" si="1"/>
        <v>8</v>
      </c>
      <c r="B16" s="272" t="s">
        <v>725</v>
      </c>
      <c r="C16" s="106" t="s">
        <v>726</v>
      </c>
      <c r="D16" s="106" t="s">
        <v>726</v>
      </c>
      <c r="E16" s="273" t="s">
        <v>727</v>
      </c>
      <c r="F16" s="274">
        <v>12</v>
      </c>
      <c r="G16" s="109"/>
      <c r="H16" s="110" t="s">
        <v>728</v>
      </c>
      <c r="I16" s="111" t="s">
        <v>729</v>
      </c>
      <c r="J16" s="276" t="s">
        <v>730</v>
      </c>
      <c r="K16" s="277" t="s">
        <v>752</v>
      </c>
      <c r="L16" s="278">
        <v>44411</v>
      </c>
      <c r="M16" s="276" t="s">
        <v>71</v>
      </c>
      <c r="N16" s="279" t="s">
        <v>753</v>
      </c>
      <c r="O16" s="110" t="s">
        <v>754</v>
      </c>
      <c r="P16" s="111" t="s">
        <v>29</v>
      </c>
      <c r="Q16" s="278">
        <v>44411</v>
      </c>
      <c r="R16" s="278">
        <v>44775</v>
      </c>
      <c r="S16" s="280" t="s">
        <v>30</v>
      </c>
      <c r="T16" s="281">
        <v>1800000</v>
      </c>
      <c r="U16" s="282">
        <f t="shared" si="0"/>
        <v>198000</v>
      </c>
      <c r="V16" s="280"/>
      <c r="W16" s="283">
        <f t="shared" si="2"/>
        <v>1998000</v>
      </c>
      <c r="X16" s="280"/>
      <c r="AB16" s="266"/>
    </row>
    <row r="17" spans="1:28" x14ac:dyDescent="0.25">
      <c r="A17" s="104">
        <f t="shared" si="1"/>
        <v>9</v>
      </c>
      <c r="B17" s="272" t="s">
        <v>725</v>
      </c>
      <c r="C17" s="106" t="s">
        <v>726</v>
      </c>
      <c r="D17" s="106" t="s">
        <v>726</v>
      </c>
      <c r="E17" s="273" t="s">
        <v>727</v>
      </c>
      <c r="F17" s="274">
        <v>12</v>
      </c>
      <c r="G17" s="109"/>
      <c r="H17" s="110" t="s">
        <v>728</v>
      </c>
      <c r="I17" s="111" t="s">
        <v>729</v>
      </c>
      <c r="J17" s="276" t="s">
        <v>730</v>
      </c>
      <c r="K17" s="277" t="s">
        <v>755</v>
      </c>
      <c r="L17" s="278">
        <v>44411</v>
      </c>
      <c r="M17" s="276" t="s">
        <v>71</v>
      </c>
      <c r="N17" s="279" t="s">
        <v>756</v>
      </c>
      <c r="O17" s="110" t="s">
        <v>757</v>
      </c>
      <c r="P17" s="111" t="s">
        <v>29</v>
      </c>
      <c r="Q17" s="278">
        <v>44411</v>
      </c>
      <c r="R17" s="278">
        <v>44775</v>
      </c>
      <c r="S17" s="280" t="s">
        <v>30</v>
      </c>
      <c r="T17" s="281">
        <v>1800000</v>
      </c>
      <c r="U17" s="282">
        <f t="shared" si="0"/>
        <v>198000</v>
      </c>
      <c r="V17" s="280"/>
      <c r="W17" s="283">
        <f t="shared" si="2"/>
        <v>1998000</v>
      </c>
      <c r="X17" s="280"/>
      <c r="AB17" s="266"/>
    </row>
    <row r="18" spans="1:28" x14ac:dyDescent="0.25">
      <c r="A18" s="104">
        <f t="shared" si="1"/>
        <v>10</v>
      </c>
      <c r="B18" s="272" t="s">
        <v>725</v>
      </c>
      <c r="C18" s="106" t="s">
        <v>726</v>
      </c>
      <c r="D18" s="106" t="s">
        <v>726</v>
      </c>
      <c r="E18" s="273" t="s">
        <v>727</v>
      </c>
      <c r="F18" s="274">
        <v>12</v>
      </c>
      <c r="G18" s="109"/>
      <c r="H18" s="110" t="s">
        <v>728</v>
      </c>
      <c r="I18" s="111" t="s">
        <v>729</v>
      </c>
      <c r="J18" s="276" t="s">
        <v>730</v>
      </c>
      <c r="K18" s="277" t="s">
        <v>758</v>
      </c>
      <c r="L18" s="278">
        <v>44411</v>
      </c>
      <c r="M18" s="276" t="s">
        <v>71</v>
      </c>
      <c r="N18" s="279" t="s">
        <v>759</v>
      </c>
      <c r="O18" s="110" t="s">
        <v>760</v>
      </c>
      <c r="P18" s="111" t="s">
        <v>29</v>
      </c>
      <c r="Q18" s="278">
        <v>44411</v>
      </c>
      <c r="R18" s="278">
        <v>44775</v>
      </c>
      <c r="S18" s="280" t="s">
        <v>30</v>
      </c>
      <c r="T18" s="281">
        <v>1800000</v>
      </c>
      <c r="U18" s="282">
        <f t="shared" si="0"/>
        <v>198000</v>
      </c>
      <c r="V18" s="280"/>
      <c r="W18" s="283">
        <f t="shared" si="2"/>
        <v>1998000</v>
      </c>
      <c r="X18" s="280"/>
      <c r="AB18" s="266"/>
    </row>
    <row r="19" spans="1:28" x14ac:dyDescent="0.25">
      <c r="A19" s="104">
        <f t="shared" si="1"/>
        <v>11</v>
      </c>
      <c r="B19" s="272" t="s">
        <v>725</v>
      </c>
      <c r="C19" s="106" t="s">
        <v>726</v>
      </c>
      <c r="D19" s="106" t="s">
        <v>726</v>
      </c>
      <c r="E19" s="273" t="s">
        <v>727</v>
      </c>
      <c r="F19" s="274">
        <v>12</v>
      </c>
      <c r="G19" s="109"/>
      <c r="H19" s="110" t="s">
        <v>728</v>
      </c>
      <c r="I19" s="111" t="s">
        <v>729</v>
      </c>
      <c r="J19" s="276" t="s">
        <v>730</v>
      </c>
      <c r="K19" s="277" t="s">
        <v>761</v>
      </c>
      <c r="L19" s="278">
        <v>44411</v>
      </c>
      <c r="M19" s="276" t="s">
        <v>71</v>
      </c>
      <c r="N19" s="279" t="s">
        <v>762</v>
      </c>
      <c r="O19" s="110" t="s">
        <v>736</v>
      </c>
      <c r="P19" s="111" t="s">
        <v>29</v>
      </c>
      <c r="Q19" s="278">
        <v>44411</v>
      </c>
      <c r="R19" s="278">
        <v>44775</v>
      </c>
      <c r="S19" s="280" t="s">
        <v>30</v>
      </c>
      <c r="T19" s="281">
        <v>1800000</v>
      </c>
      <c r="U19" s="282">
        <f t="shared" si="0"/>
        <v>198000</v>
      </c>
      <c r="V19" s="280"/>
      <c r="W19" s="283">
        <f t="shared" si="2"/>
        <v>1998000</v>
      </c>
      <c r="X19" s="280"/>
      <c r="AB19" s="266"/>
    </row>
    <row r="20" spans="1:28" x14ac:dyDescent="0.25">
      <c r="A20" s="104">
        <f t="shared" si="1"/>
        <v>12</v>
      </c>
      <c r="B20" s="272" t="s">
        <v>725</v>
      </c>
      <c r="C20" s="106" t="s">
        <v>726</v>
      </c>
      <c r="D20" s="106" t="s">
        <v>726</v>
      </c>
      <c r="E20" s="273" t="s">
        <v>727</v>
      </c>
      <c r="F20" s="274">
        <v>12</v>
      </c>
      <c r="G20" s="109"/>
      <c r="H20" s="110" t="s">
        <v>728</v>
      </c>
      <c r="I20" s="111" t="s">
        <v>729</v>
      </c>
      <c r="J20" s="276" t="s">
        <v>730</v>
      </c>
      <c r="K20" s="277" t="s">
        <v>763</v>
      </c>
      <c r="L20" s="278">
        <v>44411</v>
      </c>
      <c r="M20" s="276" t="s">
        <v>71</v>
      </c>
      <c r="N20" s="279" t="s">
        <v>764</v>
      </c>
      <c r="O20" s="110" t="s">
        <v>744</v>
      </c>
      <c r="P20" s="111" t="s">
        <v>29</v>
      </c>
      <c r="Q20" s="278">
        <v>44411</v>
      </c>
      <c r="R20" s="278">
        <v>44775</v>
      </c>
      <c r="S20" s="280" t="s">
        <v>30</v>
      </c>
      <c r="T20" s="281">
        <v>1800000</v>
      </c>
      <c r="U20" s="282">
        <f t="shared" si="0"/>
        <v>198000</v>
      </c>
      <c r="V20" s="280"/>
      <c r="W20" s="283">
        <f t="shared" si="2"/>
        <v>1998000</v>
      </c>
      <c r="X20" s="280"/>
      <c r="AB20" s="266"/>
    </row>
    <row r="21" spans="1:28" x14ac:dyDescent="0.25">
      <c r="A21" s="104">
        <f t="shared" si="1"/>
        <v>13</v>
      </c>
      <c r="B21" s="272" t="s">
        <v>725</v>
      </c>
      <c r="C21" s="106" t="s">
        <v>726</v>
      </c>
      <c r="D21" s="106" t="s">
        <v>726</v>
      </c>
      <c r="E21" s="273" t="s">
        <v>727</v>
      </c>
      <c r="F21" s="274">
        <v>48</v>
      </c>
      <c r="G21" s="109"/>
      <c r="H21" s="110" t="s">
        <v>728</v>
      </c>
      <c r="I21" s="111" t="s">
        <v>729</v>
      </c>
      <c r="J21" s="276" t="s">
        <v>730</v>
      </c>
      <c r="K21" s="277" t="s">
        <v>765</v>
      </c>
      <c r="L21" s="278">
        <v>44411</v>
      </c>
      <c r="M21" s="276" t="s">
        <v>71</v>
      </c>
      <c r="N21" s="279" t="s">
        <v>766</v>
      </c>
      <c r="O21" s="110" t="s">
        <v>767</v>
      </c>
      <c r="P21" s="111" t="s">
        <v>29</v>
      </c>
      <c r="Q21" s="278">
        <v>44411</v>
      </c>
      <c r="R21" s="278">
        <v>44775</v>
      </c>
      <c r="S21" s="280" t="s">
        <v>30</v>
      </c>
      <c r="T21" s="281">
        <v>7200000</v>
      </c>
      <c r="U21" s="282">
        <f t="shared" si="0"/>
        <v>792000</v>
      </c>
      <c r="V21" s="280"/>
      <c r="W21" s="283">
        <f t="shared" si="2"/>
        <v>7992000</v>
      </c>
      <c r="X21" s="280"/>
      <c r="AB21" s="266"/>
    </row>
    <row r="22" spans="1:28" x14ac:dyDescent="0.25">
      <c r="A22" s="104">
        <f t="shared" si="1"/>
        <v>14</v>
      </c>
      <c r="B22" s="272" t="s">
        <v>725</v>
      </c>
      <c r="C22" s="106" t="s">
        <v>726</v>
      </c>
      <c r="D22" s="106" t="s">
        <v>726</v>
      </c>
      <c r="E22" s="273" t="s">
        <v>727</v>
      </c>
      <c r="F22" s="274">
        <v>12</v>
      </c>
      <c r="G22" s="109"/>
      <c r="H22" s="110" t="s">
        <v>728</v>
      </c>
      <c r="I22" s="111" t="s">
        <v>729</v>
      </c>
      <c r="J22" s="276" t="s">
        <v>730</v>
      </c>
      <c r="K22" s="277" t="s">
        <v>768</v>
      </c>
      <c r="L22" s="278">
        <v>44411</v>
      </c>
      <c r="M22" s="276" t="s">
        <v>71</v>
      </c>
      <c r="N22" s="279" t="s">
        <v>769</v>
      </c>
      <c r="O22" s="110" t="s">
        <v>744</v>
      </c>
      <c r="P22" s="111" t="s">
        <v>29</v>
      </c>
      <c r="Q22" s="278">
        <v>44411</v>
      </c>
      <c r="R22" s="278">
        <v>44775</v>
      </c>
      <c r="S22" s="280" t="s">
        <v>30</v>
      </c>
      <c r="T22" s="281">
        <v>1800000</v>
      </c>
      <c r="U22" s="282">
        <f t="shared" si="0"/>
        <v>198000</v>
      </c>
      <c r="V22" s="280"/>
      <c r="W22" s="283">
        <f t="shared" si="2"/>
        <v>1998000</v>
      </c>
      <c r="X22" s="280"/>
      <c r="AB22" s="266"/>
    </row>
    <row r="23" spans="1:28" x14ac:dyDescent="0.25">
      <c r="A23" s="104">
        <f t="shared" si="1"/>
        <v>15</v>
      </c>
      <c r="B23" s="272" t="s">
        <v>725</v>
      </c>
      <c r="C23" s="106" t="s">
        <v>726</v>
      </c>
      <c r="D23" s="106" t="s">
        <v>726</v>
      </c>
      <c r="E23" s="273" t="s">
        <v>727</v>
      </c>
      <c r="F23" s="274">
        <v>24</v>
      </c>
      <c r="G23" s="109"/>
      <c r="H23" s="110" t="s">
        <v>728</v>
      </c>
      <c r="I23" s="111" t="s">
        <v>729</v>
      </c>
      <c r="J23" s="276" t="s">
        <v>730</v>
      </c>
      <c r="K23" s="277" t="s">
        <v>770</v>
      </c>
      <c r="L23" s="278">
        <v>44411</v>
      </c>
      <c r="M23" s="276" t="s">
        <v>71</v>
      </c>
      <c r="N23" s="279" t="s">
        <v>771</v>
      </c>
      <c r="O23" s="110" t="s">
        <v>772</v>
      </c>
      <c r="P23" s="111" t="s">
        <v>29</v>
      </c>
      <c r="Q23" s="278">
        <v>44411</v>
      </c>
      <c r="R23" s="278">
        <v>44775</v>
      </c>
      <c r="S23" s="280" t="s">
        <v>30</v>
      </c>
      <c r="T23" s="281">
        <v>3600000</v>
      </c>
      <c r="U23" s="282">
        <f t="shared" si="0"/>
        <v>396000</v>
      </c>
      <c r="V23" s="280"/>
      <c r="W23" s="283">
        <f t="shared" si="2"/>
        <v>3996000</v>
      </c>
      <c r="X23" s="280"/>
    </row>
    <row r="24" spans="1:28" s="290" customFormat="1" x14ac:dyDescent="0.25">
      <c r="A24" s="104">
        <f t="shared" si="1"/>
        <v>16</v>
      </c>
      <c r="B24" s="272" t="s">
        <v>725</v>
      </c>
      <c r="C24" s="106" t="s">
        <v>726</v>
      </c>
      <c r="D24" s="106" t="s">
        <v>726</v>
      </c>
      <c r="E24" s="273" t="s">
        <v>727</v>
      </c>
      <c r="F24" s="274">
        <v>12</v>
      </c>
      <c r="G24" s="285"/>
      <c r="H24" s="110" t="s">
        <v>728</v>
      </c>
      <c r="I24" s="111" t="s">
        <v>729</v>
      </c>
      <c r="J24" s="276" t="s">
        <v>730</v>
      </c>
      <c r="K24" s="277" t="s">
        <v>773</v>
      </c>
      <c r="L24" s="278">
        <v>44411</v>
      </c>
      <c r="M24" s="276" t="s">
        <v>71</v>
      </c>
      <c r="N24" s="279" t="s">
        <v>774</v>
      </c>
      <c r="O24" s="286" t="s">
        <v>775</v>
      </c>
      <c r="P24" s="287" t="s">
        <v>29</v>
      </c>
      <c r="Q24" s="278">
        <v>44411</v>
      </c>
      <c r="R24" s="278">
        <v>44775</v>
      </c>
      <c r="S24" s="280" t="s">
        <v>30</v>
      </c>
      <c r="T24" s="281">
        <v>1800000</v>
      </c>
      <c r="U24" s="282">
        <f t="shared" si="0"/>
        <v>198000</v>
      </c>
      <c r="V24" s="288"/>
      <c r="W24" s="289">
        <f t="shared" si="2"/>
        <v>1998000</v>
      </c>
      <c r="X24" s="288"/>
    </row>
    <row r="25" spans="1:28" x14ac:dyDescent="0.25">
      <c r="A25" s="104">
        <f t="shared" si="1"/>
        <v>17</v>
      </c>
      <c r="B25" s="272" t="s">
        <v>725</v>
      </c>
      <c r="C25" s="106" t="s">
        <v>726</v>
      </c>
      <c r="D25" s="106" t="s">
        <v>726</v>
      </c>
      <c r="E25" s="273" t="s">
        <v>727</v>
      </c>
      <c r="F25" s="274">
        <v>12</v>
      </c>
      <c r="G25" s="109"/>
      <c r="H25" s="110" t="s">
        <v>728</v>
      </c>
      <c r="I25" s="111" t="s">
        <v>729</v>
      </c>
      <c r="J25" s="276" t="s">
        <v>730</v>
      </c>
      <c r="K25" s="277" t="s">
        <v>776</v>
      </c>
      <c r="L25" s="278">
        <v>44411</v>
      </c>
      <c r="M25" s="276" t="s">
        <v>71</v>
      </c>
      <c r="N25" s="279" t="s">
        <v>777</v>
      </c>
      <c r="O25" s="110" t="s">
        <v>744</v>
      </c>
      <c r="P25" s="111" t="s">
        <v>29</v>
      </c>
      <c r="Q25" s="278">
        <v>44411</v>
      </c>
      <c r="R25" s="278">
        <v>44775</v>
      </c>
      <c r="S25" s="280" t="s">
        <v>30</v>
      </c>
      <c r="T25" s="281">
        <v>1800000</v>
      </c>
      <c r="U25" s="282">
        <f t="shared" si="0"/>
        <v>198000</v>
      </c>
      <c r="V25" s="288"/>
      <c r="W25" s="289">
        <f t="shared" si="2"/>
        <v>1998000</v>
      </c>
      <c r="X25" s="280"/>
    </row>
    <row r="26" spans="1:28" x14ac:dyDescent="0.25">
      <c r="A26" s="104">
        <f t="shared" si="1"/>
        <v>18</v>
      </c>
      <c r="B26" s="272" t="s">
        <v>725</v>
      </c>
      <c r="C26" s="106" t="s">
        <v>726</v>
      </c>
      <c r="D26" s="106" t="s">
        <v>726</v>
      </c>
      <c r="E26" s="273" t="s">
        <v>727</v>
      </c>
      <c r="F26" s="274">
        <v>24</v>
      </c>
      <c r="G26" s="109"/>
      <c r="H26" s="110" t="s">
        <v>728</v>
      </c>
      <c r="I26" s="111" t="s">
        <v>729</v>
      </c>
      <c r="J26" s="276" t="s">
        <v>730</v>
      </c>
      <c r="K26" s="277" t="s">
        <v>778</v>
      </c>
      <c r="L26" s="278">
        <v>44411</v>
      </c>
      <c r="M26" s="276" t="s">
        <v>71</v>
      </c>
      <c r="N26" s="279" t="s">
        <v>779</v>
      </c>
      <c r="O26" s="110" t="s">
        <v>780</v>
      </c>
      <c r="P26" s="111" t="s">
        <v>29</v>
      </c>
      <c r="Q26" s="278">
        <v>44411</v>
      </c>
      <c r="R26" s="278">
        <v>44775</v>
      </c>
      <c r="S26" s="280" t="s">
        <v>30</v>
      </c>
      <c r="T26" s="281">
        <v>3600000</v>
      </c>
      <c r="U26" s="282">
        <f t="shared" si="0"/>
        <v>396000</v>
      </c>
      <c r="V26" s="288"/>
      <c r="W26" s="289">
        <f t="shared" si="2"/>
        <v>3996000</v>
      </c>
      <c r="X26" s="280"/>
    </row>
    <row r="27" spans="1:28" x14ac:dyDescent="0.25">
      <c r="A27" s="104">
        <f t="shared" si="1"/>
        <v>19</v>
      </c>
      <c r="B27" s="272" t="s">
        <v>725</v>
      </c>
      <c r="C27" s="106" t="s">
        <v>726</v>
      </c>
      <c r="D27" s="106" t="s">
        <v>726</v>
      </c>
      <c r="E27" s="273" t="s">
        <v>727</v>
      </c>
      <c r="F27" s="274">
        <v>12</v>
      </c>
      <c r="G27" s="109"/>
      <c r="H27" s="110" t="s">
        <v>728</v>
      </c>
      <c r="I27" s="111" t="s">
        <v>729</v>
      </c>
      <c r="J27" s="276" t="s">
        <v>730</v>
      </c>
      <c r="K27" s="277" t="s">
        <v>781</v>
      </c>
      <c r="L27" s="278">
        <v>44411</v>
      </c>
      <c r="M27" s="276" t="s">
        <v>71</v>
      </c>
      <c r="N27" s="279" t="s">
        <v>782</v>
      </c>
      <c r="O27" s="110" t="s">
        <v>783</v>
      </c>
      <c r="P27" s="111" t="s">
        <v>29</v>
      </c>
      <c r="Q27" s="278">
        <v>44411</v>
      </c>
      <c r="R27" s="278">
        <v>44775</v>
      </c>
      <c r="S27" s="280" t="s">
        <v>30</v>
      </c>
      <c r="T27" s="281">
        <v>1800000</v>
      </c>
      <c r="U27" s="282">
        <f t="shared" si="0"/>
        <v>198000</v>
      </c>
      <c r="V27" s="288"/>
      <c r="W27" s="289">
        <f t="shared" si="2"/>
        <v>1998000</v>
      </c>
      <c r="X27" s="280"/>
    </row>
    <row r="28" spans="1:28" x14ac:dyDescent="0.25">
      <c r="A28" s="104">
        <f t="shared" si="1"/>
        <v>20</v>
      </c>
      <c r="B28" s="272" t="s">
        <v>725</v>
      </c>
      <c r="C28" s="106" t="s">
        <v>726</v>
      </c>
      <c r="D28" s="106" t="s">
        <v>726</v>
      </c>
      <c r="E28" s="273" t="s">
        <v>727</v>
      </c>
      <c r="F28" s="274">
        <v>24</v>
      </c>
      <c r="G28" s="109"/>
      <c r="H28" s="110" t="s">
        <v>728</v>
      </c>
      <c r="I28" s="111" t="s">
        <v>729</v>
      </c>
      <c r="J28" s="276" t="s">
        <v>730</v>
      </c>
      <c r="K28" s="277" t="s">
        <v>784</v>
      </c>
      <c r="L28" s="278">
        <v>44411</v>
      </c>
      <c r="M28" s="276" t="s">
        <v>71</v>
      </c>
      <c r="N28" s="279" t="s">
        <v>785</v>
      </c>
      <c r="O28" s="110" t="s">
        <v>786</v>
      </c>
      <c r="P28" s="111" t="s">
        <v>29</v>
      </c>
      <c r="Q28" s="278">
        <v>44411</v>
      </c>
      <c r="R28" s="278">
        <v>44775</v>
      </c>
      <c r="S28" s="280" t="s">
        <v>30</v>
      </c>
      <c r="T28" s="281">
        <v>1800000</v>
      </c>
      <c r="U28" s="282">
        <f t="shared" si="0"/>
        <v>198000</v>
      </c>
      <c r="V28" s="288"/>
      <c r="W28" s="289">
        <f t="shared" si="2"/>
        <v>1998000</v>
      </c>
      <c r="X28" s="280"/>
    </row>
    <row r="29" spans="1:28" x14ac:dyDescent="0.25">
      <c r="A29" s="104">
        <f t="shared" si="1"/>
        <v>21</v>
      </c>
      <c r="B29" s="272" t="s">
        <v>725</v>
      </c>
      <c r="C29" s="106" t="s">
        <v>726</v>
      </c>
      <c r="D29" s="106" t="s">
        <v>726</v>
      </c>
      <c r="E29" s="273" t="s">
        <v>727</v>
      </c>
      <c r="F29" s="274">
        <v>12</v>
      </c>
      <c r="G29" s="109"/>
      <c r="H29" s="110" t="s">
        <v>728</v>
      </c>
      <c r="I29" s="111" t="s">
        <v>729</v>
      </c>
      <c r="J29" s="276" t="s">
        <v>730</v>
      </c>
      <c r="K29" s="277" t="s">
        <v>787</v>
      </c>
      <c r="L29" s="278">
        <v>44411</v>
      </c>
      <c r="M29" s="276" t="s">
        <v>71</v>
      </c>
      <c r="N29" s="279" t="s">
        <v>788</v>
      </c>
      <c r="O29" s="110" t="s">
        <v>739</v>
      </c>
      <c r="P29" s="111" t="s">
        <v>29</v>
      </c>
      <c r="Q29" s="278">
        <v>44411</v>
      </c>
      <c r="R29" s="278">
        <v>44775</v>
      </c>
      <c r="S29" s="280" t="s">
        <v>30</v>
      </c>
      <c r="T29" s="281">
        <v>1800000</v>
      </c>
      <c r="U29" s="282">
        <f t="shared" si="0"/>
        <v>198000</v>
      </c>
      <c r="V29" s="288"/>
      <c r="W29" s="289">
        <f t="shared" si="2"/>
        <v>1998000</v>
      </c>
      <c r="X29" s="280"/>
    </row>
    <row r="30" spans="1:28" x14ac:dyDescent="0.25">
      <c r="A30" s="104">
        <f t="shared" si="1"/>
        <v>22</v>
      </c>
      <c r="B30" s="272" t="s">
        <v>725</v>
      </c>
      <c r="C30" s="106" t="s">
        <v>726</v>
      </c>
      <c r="D30" s="106" t="s">
        <v>726</v>
      </c>
      <c r="E30" s="273" t="s">
        <v>727</v>
      </c>
      <c r="F30" s="274">
        <v>6</v>
      </c>
      <c r="G30" s="109"/>
      <c r="H30" s="110" t="s">
        <v>728</v>
      </c>
      <c r="I30" s="111" t="s">
        <v>729</v>
      </c>
      <c r="J30" s="276" t="s">
        <v>789</v>
      </c>
      <c r="K30" s="277" t="s">
        <v>790</v>
      </c>
      <c r="L30" s="278">
        <v>44417</v>
      </c>
      <c r="M30" s="276" t="s">
        <v>71</v>
      </c>
      <c r="N30" s="279" t="s">
        <v>791</v>
      </c>
      <c r="O30" s="110" t="s">
        <v>792</v>
      </c>
      <c r="P30" s="111" t="s">
        <v>29</v>
      </c>
      <c r="Q30" s="278">
        <v>44417</v>
      </c>
      <c r="R30" s="278">
        <v>44781</v>
      </c>
      <c r="S30" s="280" t="s">
        <v>30</v>
      </c>
      <c r="T30" s="291">
        <v>1800000</v>
      </c>
      <c r="U30" s="282">
        <f t="shared" si="0"/>
        <v>198000</v>
      </c>
      <c r="V30" s="288"/>
      <c r="W30" s="289">
        <f t="shared" si="2"/>
        <v>1998000</v>
      </c>
      <c r="X30" s="280"/>
    </row>
    <row r="31" spans="1:28" x14ac:dyDescent="0.25">
      <c r="A31" s="104">
        <f t="shared" si="1"/>
        <v>23</v>
      </c>
      <c r="B31" s="272" t="s">
        <v>725</v>
      </c>
      <c r="C31" s="106" t="s">
        <v>726</v>
      </c>
      <c r="D31" s="106" t="s">
        <v>726</v>
      </c>
      <c r="E31" s="273" t="s">
        <v>727</v>
      </c>
      <c r="F31" s="274">
        <v>12</v>
      </c>
      <c r="G31" s="109"/>
      <c r="H31" s="110" t="s">
        <v>728</v>
      </c>
      <c r="I31" s="111" t="s">
        <v>729</v>
      </c>
      <c r="J31" s="276" t="s">
        <v>793</v>
      </c>
      <c r="K31" s="277" t="s">
        <v>794</v>
      </c>
      <c r="L31" s="278">
        <v>44417</v>
      </c>
      <c r="M31" s="276" t="s">
        <v>71</v>
      </c>
      <c r="N31" s="279" t="s">
        <v>795</v>
      </c>
      <c r="O31" s="110" t="s">
        <v>796</v>
      </c>
      <c r="P31" s="111" t="s">
        <v>29</v>
      </c>
      <c r="Q31" s="278">
        <v>44417</v>
      </c>
      <c r="R31" s="278">
        <v>44781</v>
      </c>
      <c r="S31" s="280" t="s">
        <v>30</v>
      </c>
      <c r="T31" s="291">
        <v>5400000</v>
      </c>
      <c r="U31" s="282">
        <f t="shared" si="0"/>
        <v>594000</v>
      </c>
      <c r="V31" s="288"/>
      <c r="W31" s="289">
        <f t="shared" si="2"/>
        <v>5994000</v>
      </c>
      <c r="X31" s="280"/>
    </row>
    <row r="32" spans="1:28" x14ac:dyDescent="0.25">
      <c r="A32" s="104">
        <f t="shared" si="1"/>
        <v>24</v>
      </c>
      <c r="B32" s="272" t="s">
        <v>725</v>
      </c>
      <c r="C32" s="106" t="s">
        <v>726</v>
      </c>
      <c r="D32" s="106" t="s">
        <v>726</v>
      </c>
      <c r="E32" s="273" t="s">
        <v>727</v>
      </c>
      <c r="F32" s="274">
        <v>6</v>
      </c>
      <c r="G32" s="109"/>
      <c r="H32" s="110" t="s">
        <v>728</v>
      </c>
      <c r="I32" s="111" t="s">
        <v>729</v>
      </c>
      <c r="J32" s="276" t="s">
        <v>139</v>
      </c>
      <c r="K32" s="277" t="s">
        <v>797</v>
      </c>
      <c r="L32" s="278">
        <v>44417</v>
      </c>
      <c r="M32" s="276" t="s">
        <v>71</v>
      </c>
      <c r="N32" s="279" t="s">
        <v>798</v>
      </c>
      <c r="O32" s="110" t="s">
        <v>799</v>
      </c>
      <c r="P32" s="111" t="s">
        <v>29</v>
      </c>
      <c r="Q32" s="278">
        <v>44417</v>
      </c>
      <c r="R32" s="278">
        <v>44781</v>
      </c>
      <c r="S32" s="292" t="s">
        <v>30</v>
      </c>
      <c r="T32" s="291">
        <v>1800000</v>
      </c>
      <c r="U32" s="282">
        <f t="shared" si="0"/>
        <v>198000</v>
      </c>
      <c r="V32" s="288"/>
      <c r="W32" s="289">
        <f t="shared" si="2"/>
        <v>1998000</v>
      </c>
      <c r="X32" s="280"/>
    </row>
    <row r="33" spans="1:27" s="295" customFormat="1" x14ac:dyDescent="0.25">
      <c r="A33" s="104">
        <f t="shared" si="1"/>
        <v>25</v>
      </c>
      <c r="B33" s="272" t="s">
        <v>725</v>
      </c>
      <c r="C33" s="106" t="s">
        <v>726</v>
      </c>
      <c r="D33" s="106" t="s">
        <v>726</v>
      </c>
      <c r="E33" s="273" t="s">
        <v>727</v>
      </c>
      <c r="F33" s="274">
        <v>6</v>
      </c>
      <c r="G33" s="293"/>
      <c r="H33" s="110" t="s">
        <v>728</v>
      </c>
      <c r="I33" s="111" t="s">
        <v>729</v>
      </c>
      <c r="J33" s="276" t="s">
        <v>789</v>
      </c>
      <c r="K33" s="277" t="s">
        <v>800</v>
      </c>
      <c r="L33" s="278">
        <v>44417</v>
      </c>
      <c r="M33" s="276" t="s">
        <v>71</v>
      </c>
      <c r="N33" s="279" t="s">
        <v>801</v>
      </c>
      <c r="O33" s="110" t="s">
        <v>802</v>
      </c>
      <c r="P33" s="287" t="s">
        <v>29</v>
      </c>
      <c r="Q33" s="278">
        <v>44417</v>
      </c>
      <c r="R33" s="278">
        <v>44781</v>
      </c>
      <c r="S33" s="292" t="s">
        <v>30</v>
      </c>
      <c r="T33" s="291">
        <v>1800000</v>
      </c>
      <c r="U33" s="282">
        <f t="shared" si="0"/>
        <v>198000</v>
      </c>
      <c r="V33" s="288"/>
      <c r="W33" s="289">
        <f t="shared" si="2"/>
        <v>1998000</v>
      </c>
      <c r="X33" s="294"/>
    </row>
    <row r="34" spans="1:27" x14ac:dyDescent="0.25">
      <c r="A34" s="104">
        <f t="shared" si="1"/>
        <v>26</v>
      </c>
      <c r="B34" s="272" t="s">
        <v>725</v>
      </c>
      <c r="C34" s="106" t="s">
        <v>726</v>
      </c>
      <c r="D34" s="106" t="s">
        <v>726</v>
      </c>
      <c r="E34" s="273" t="s">
        <v>727</v>
      </c>
      <c r="F34" s="274">
        <v>6</v>
      </c>
      <c r="G34" s="109"/>
      <c r="H34" s="110" t="s">
        <v>728</v>
      </c>
      <c r="I34" s="111" t="s">
        <v>729</v>
      </c>
      <c r="J34" s="276" t="s">
        <v>803</v>
      </c>
      <c r="K34" s="277" t="s">
        <v>804</v>
      </c>
      <c r="L34" s="278">
        <v>44417</v>
      </c>
      <c r="M34" s="276" t="s">
        <v>71</v>
      </c>
      <c r="N34" s="279" t="s">
        <v>805</v>
      </c>
      <c r="O34" s="110" t="s">
        <v>806</v>
      </c>
      <c r="P34" s="111" t="s">
        <v>29</v>
      </c>
      <c r="Q34" s="278">
        <v>44417</v>
      </c>
      <c r="R34" s="278">
        <v>44781</v>
      </c>
      <c r="S34" s="292" t="s">
        <v>30</v>
      </c>
      <c r="T34" s="291">
        <v>1800000</v>
      </c>
      <c r="U34" s="282">
        <f t="shared" si="0"/>
        <v>198000</v>
      </c>
      <c r="V34" s="288"/>
      <c r="W34" s="289">
        <f t="shared" si="2"/>
        <v>1998000</v>
      </c>
      <c r="X34" s="280"/>
    </row>
    <row r="35" spans="1:27" x14ac:dyDescent="0.25">
      <c r="A35" s="104">
        <f t="shared" si="1"/>
        <v>27</v>
      </c>
      <c r="B35" s="272" t="s">
        <v>725</v>
      </c>
      <c r="C35" s="106" t="s">
        <v>726</v>
      </c>
      <c r="D35" s="106" t="s">
        <v>726</v>
      </c>
      <c r="E35" s="273" t="s">
        <v>727</v>
      </c>
      <c r="F35" s="274">
        <v>6</v>
      </c>
      <c r="G35" s="109"/>
      <c r="H35" s="110" t="s">
        <v>728</v>
      </c>
      <c r="I35" s="111" t="s">
        <v>729</v>
      </c>
      <c r="J35" s="276" t="s">
        <v>803</v>
      </c>
      <c r="K35" s="277" t="s">
        <v>807</v>
      </c>
      <c r="L35" s="278">
        <v>44417</v>
      </c>
      <c r="M35" s="276" t="s">
        <v>71</v>
      </c>
      <c r="N35" s="279" t="s">
        <v>808</v>
      </c>
      <c r="O35" s="110" t="s">
        <v>809</v>
      </c>
      <c r="P35" s="111" t="s">
        <v>29</v>
      </c>
      <c r="Q35" s="278">
        <v>44417</v>
      </c>
      <c r="R35" s="278">
        <v>44781</v>
      </c>
      <c r="S35" s="292" t="s">
        <v>30</v>
      </c>
      <c r="T35" s="291">
        <v>1800000</v>
      </c>
      <c r="U35" s="282">
        <f t="shared" si="0"/>
        <v>198000</v>
      </c>
      <c r="V35" s="288"/>
      <c r="W35" s="289">
        <f t="shared" si="2"/>
        <v>1998000</v>
      </c>
      <c r="X35" s="280"/>
    </row>
    <row r="36" spans="1:27" x14ac:dyDescent="0.25">
      <c r="A36" s="104">
        <f t="shared" si="1"/>
        <v>28</v>
      </c>
      <c r="B36" s="272" t="s">
        <v>725</v>
      </c>
      <c r="C36" s="106" t="s">
        <v>726</v>
      </c>
      <c r="D36" s="106" t="s">
        <v>726</v>
      </c>
      <c r="E36" s="273" t="s">
        <v>727</v>
      </c>
      <c r="F36" s="274">
        <v>6</v>
      </c>
      <c r="G36" s="109"/>
      <c r="H36" s="110" t="s">
        <v>728</v>
      </c>
      <c r="I36" s="111" t="s">
        <v>729</v>
      </c>
      <c r="J36" s="276" t="s">
        <v>810</v>
      </c>
      <c r="K36" s="277" t="s">
        <v>811</v>
      </c>
      <c r="L36" s="278">
        <v>44417</v>
      </c>
      <c r="M36" s="276" t="s">
        <v>71</v>
      </c>
      <c r="N36" s="279" t="s">
        <v>812</v>
      </c>
      <c r="O36" s="110" t="s">
        <v>813</v>
      </c>
      <c r="P36" s="111" t="s">
        <v>29</v>
      </c>
      <c r="Q36" s="278">
        <v>44417</v>
      </c>
      <c r="R36" s="278">
        <v>44781</v>
      </c>
      <c r="S36" s="292" t="s">
        <v>30</v>
      </c>
      <c r="T36" s="291">
        <v>1800000</v>
      </c>
      <c r="U36" s="282">
        <f t="shared" si="0"/>
        <v>198000</v>
      </c>
      <c r="V36" s="288"/>
      <c r="W36" s="289">
        <f t="shared" si="2"/>
        <v>1998000</v>
      </c>
      <c r="X36" s="280"/>
      <c r="AA36" s="146"/>
    </row>
    <row r="37" spans="1:27" x14ac:dyDescent="0.25">
      <c r="A37" s="104">
        <f t="shared" si="1"/>
        <v>29</v>
      </c>
      <c r="B37" s="272" t="s">
        <v>725</v>
      </c>
      <c r="C37" s="106" t="s">
        <v>726</v>
      </c>
      <c r="D37" s="106" t="s">
        <v>726</v>
      </c>
      <c r="E37" s="273" t="s">
        <v>727</v>
      </c>
      <c r="F37" s="274">
        <v>6</v>
      </c>
      <c r="G37" s="109"/>
      <c r="H37" s="110" t="s">
        <v>728</v>
      </c>
      <c r="I37" s="111" t="s">
        <v>729</v>
      </c>
      <c r="J37" s="276" t="s">
        <v>814</v>
      </c>
      <c r="K37" s="277" t="s">
        <v>815</v>
      </c>
      <c r="L37" s="278">
        <v>44417</v>
      </c>
      <c r="M37" s="276" t="s">
        <v>71</v>
      </c>
      <c r="N37" s="279" t="s">
        <v>816</v>
      </c>
      <c r="O37" s="110" t="s">
        <v>802</v>
      </c>
      <c r="P37" s="111" t="s">
        <v>29</v>
      </c>
      <c r="Q37" s="278">
        <v>44417</v>
      </c>
      <c r="R37" s="278">
        <v>44781</v>
      </c>
      <c r="S37" s="292" t="s">
        <v>30</v>
      </c>
      <c r="T37" s="291">
        <v>1800000</v>
      </c>
      <c r="U37" s="282">
        <f t="shared" si="0"/>
        <v>198000</v>
      </c>
      <c r="V37" s="288"/>
      <c r="W37" s="289">
        <f t="shared" si="2"/>
        <v>1998000</v>
      </c>
      <c r="X37" s="280"/>
    </row>
    <row r="38" spans="1:27" x14ac:dyDescent="0.25">
      <c r="A38" s="104">
        <f t="shared" si="1"/>
        <v>30</v>
      </c>
      <c r="B38" s="272" t="s">
        <v>725</v>
      </c>
      <c r="C38" s="106" t="s">
        <v>726</v>
      </c>
      <c r="D38" s="106" t="s">
        <v>726</v>
      </c>
      <c r="E38" s="273" t="s">
        <v>727</v>
      </c>
      <c r="F38" s="274">
        <v>6</v>
      </c>
      <c r="G38" s="109"/>
      <c r="H38" s="110" t="s">
        <v>728</v>
      </c>
      <c r="I38" s="111" t="s">
        <v>729</v>
      </c>
      <c r="J38" s="276" t="s">
        <v>817</v>
      </c>
      <c r="K38" s="277" t="s">
        <v>818</v>
      </c>
      <c r="L38" s="278">
        <v>44417</v>
      </c>
      <c r="M38" s="276" t="s">
        <v>71</v>
      </c>
      <c r="N38" s="279" t="s">
        <v>819</v>
      </c>
      <c r="O38" s="110" t="s">
        <v>820</v>
      </c>
      <c r="P38" s="111" t="s">
        <v>29</v>
      </c>
      <c r="Q38" s="278">
        <v>44417</v>
      </c>
      <c r="R38" s="278">
        <v>44781</v>
      </c>
      <c r="S38" s="292" t="s">
        <v>30</v>
      </c>
      <c r="T38" s="291">
        <v>1800000</v>
      </c>
      <c r="U38" s="282">
        <f t="shared" si="0"/>
        <v>198000</v>
      </c>
      <c r="V38" s="288"/>
      <c r="W38" s="289">
        <f t="shared" si="2"/>
        <v>1998000</v>
      </c>
      <c r="X38" s="280"/>
    </row>
    <row r="39" spans="1:27" x14ac:dyDescent="0.25">
      <c r="A39" s="104">
        <f t="shared" si="1"/>
        <v>31</v>
      </c>
      <c r="B39" s="272" t="s">
        <v>725</v>
      </c>
      <c r="C39" s="106" t="s">
        <v>726</v>
      </c>
      <c r="D39" s="106" t="s">
        <v>726</v>
      </c>
      <c r="E39" s="273" t="s">
        <v>727</v>
      </c>
      <c r="F39" s="274">
        <v>24</v>
      </c>
      <c r="G39" s="109"/>
      <c r="H39" s="110" t="s">
        <v>728</v>
      </c>
      <c r="I39" s="111" t="s">
        <v>729</v>
      </c>
      <c r="J39" s="276" t="s">
        <v>821</v>
      </c>
      <c r="K39" s="277" t="s">
        <v>822</v>
      </c>
      <c r="L39" s="278">
        <v>44417</v>
      </c>
      <c r="M39" s="276" t="s">
        <v>71</v>
      </c>
      <c r="N39" s="279" t="s">
        <v>823</v>
      </c>
      <c r="O39" s="110" t="s">
        <v>813</v>
      </c>
      <c r="P39" s="111" t="s">
        <v>29</v>
      </c>
      <c r="Q39" s="278">
        <v>44417</v>
      </c>
      <c r="R39" s="278">
        <v>44781</v>
      </c>
      <c r="S39" s="292" t="s">
        <v>30</v>
      </c>
      <c r="T39" s="291">
        <v>7200000</v>
      </c>
      <c r="U39" s="282">
        <f t="shared" si="0"/>
        <v>792000</v>
      </c>
      <c r="V39" s="288"/>
      <c r="W39" s="289">
        <f t="shared" si="2"/>
        <v>7992000</v>
      </c>
      <c r="X39" s="280"/>
    </row>
    <row r="40" spans="1:27" x14ac:dyDescent="0.25">
      <c r="A40" s="104">
        <f t="shared" si="1"/>
        <v>32</v>
      </c>
      <c r="B40" s="272" t="s">
        <v>725</v>
      </c>
      <c r="C40" s="106" t="s">
        <v>726</v>
      </c>
      <c r="D40" s="106" t="s">
        <v>726</v>
      </c>
      <c r="E40" s="273" t="s">
        <v>727</v>
      </c>
      <c r="F40" s="274">
        <v>6</v>
      </c>
      <c r="G40" s="109"/>
      <c r="H40" s="110" t="s">
        <v>728</v>
      </c>
      <c r="I40" s="111" t="s">
        <v>729</v>
      </c>
      <c r="J40" s="276" t="s">
        <v>824</v>
      </c>
      <c r="K40" s="277" t="s">
        <v>825</v>
      </c>
      <c r="L40" s="278">
        <v>44417</v>
      </c>
      <c r="M40" s="276" t="s">
        <v>71</v>
      </c>
      <c r="N40" s="279" t="s">
        <v>826</v>
      </c>
      <c r="O40" s="110" t="s">
        <v>827</v>
      </c>
      <c r="P40" s="111" t="s">
        <v>29</v>
      </c>
      <c r="Q40" s="278">
        <v>44447</v>
      </c>
      <c r="R40" s="278">
        <v>44781</v>
      </c>
      <c r="S40" s="292" t="s">
        <v>30</v>
      </c>
      <c r="T40" s="291">
        <v>1800000</v>
      </c>
      <c r="U40" s="282">
        <f t="shared" si="0"/>
        <v>198000</v>
      </c>
      <c r="V40" s="288"/>
      <c r="W40" s="289">
        <f t="shared" si="2"/>
        <v>1998000</v>
      </c>
      <c r="X40" s="280"/>
    </row>
    <row r="41" spans="1:27" x14ac:dyDescent="0.25">
      <c r="A41" s="104">
        <f t="shared" si="1"/>
        <v>33</v>
      </c>
      <c r="B41" s="272" t="s">
        <v>725</v>
      </c>
      <c r="C41" s="106" t="s">
        <v>726</v>
      </c>
      <c r="D41" s="106" t="s">
        <v>828</v>
      </c>
      <c r="E41" s="273" t="s">
        <v>829</v>
      </c>
      <c r="F41" s="274">
        <v>24</v>
      </c>
      <c r="G41" s="109"/>
      <c r="H41" s="110" t="s">
        <v>830</v>
      </c>
      <c r="I41" s="111" t="s">
        <v>831</v>
      </c>
      <c r="J41" s="276" t="s">
        <v>832</v>
      </c>
      <c r="K41" s="277" t="s">
        <v>833</v>
      </c>
      <c r="L41" s="278">
        <v>44417</v>
      </c>
      <c r="M41" s="276" t="s">
        <v>71</v>
      </c>
      <c r="N41" s="279" t="s">
        <v>834</v>
      </c>
      <c r="O41" s="110" t="s">
        <v>835</v>
      </c>
      <c r="P41" s="111" t="s">
        <v>29</v>
      </c>
      <c r="Q41" s="278">
        <v>44417</v>
      </c>
      <c r="R41" s="278">
        <v>44781</v>
      </c>
      <c r="S41" s="292" t="s">
        <v>30</v>
      </c>
      <c r="T41" s="291">
        <v>3360000</v>
      </c>
      <c r="U41" s="282">
        <f t="shared" si="0"/>
        <v>369600</v>
      </c>
      <c r="V41" s="288"/>
      <c r="W41" s="289">
        <f t="shared" si="2"/>
        <v>3729600</v>
      </c>
      <c r="X41" s="280"/>
    </row>
    <row r="42" spans="1:27" x14ac:dyDescent="0.25">
      <c r="A42" s="104">
        <f t="shared" si="1"/>
        <v>34</v>
      </c>
      <c r="B42" s="272" t="s">
        <v>725</v>
      </c>
      <c r="C42" s="106" t="s">
        <v>726</v>
      </c>
      <c r="D42" s="106" t="s">
        <v>828</v>
      </c>
      <c r="E42" s="273" t="s">
        <v>829</v>
      </c>
      <c r="F42" s="274">
        <v>24</v>
      </c>
      <c r="G42" s="109"/>
      <c r="H42" s="110" t="s">
        <v>830</v>
      </c>
      <c r="I42" s="111" t="s">
        <v>831</v>
      </c>
      <c r="J42" s="276" t="s">
        <v>836</v>
      </c>
      <c r="K42" s="277" t="s">
        <v>837</v>
      </c>
      <c r="L42" s="278">
        <v>44417</v>
      </c>
      <c r="M42" s="276" t="s">
        <v>71</v>
      </c>
      <c r="N42" s="279" t="s">
        <v>838</v>
      </c>
      <c r="O42" s="110" t="s">
        <v>839</v>
      </c>
      <c r="P42" s="111" t="s">
        <v>29</v>
      </c>
      <c r="Q42" s="278">
        <v>44417</v>
      </c>
      <c r="R42" s="278">
        <v>44781</v>
      </c>
      <c r="S42" s="292" t="s">
        <v>30</v>
      </c>
      <c r="T42" s="291">
        <v>3696000</v>
      </c>
      <c r="U42" s="282">
        <f t="shared" si="0"/>
        <v>406560</v>
      </c>
      <c r="V42" s="288"/>
      <c r="W42" s="289">
        <f t="shared" si="2"/>
        <v>4102560</v>
      </c>
      <c r="X42" s="280"/>
    </row>
    <row r="43" spans="1:27" x14ac:dyDescent="0.25">
      <c r="A43" s="104">
        <f t="shared" si="1"/>
        <v>35</v>
      </c>
      <c r="B43" s="272" t="s">
        <v>725</v>
      </c>
      <c r="C43" s="106" t="s">
        <v>726</v>
      </c>
      <c r="D43" s="106" t="s">
        <v>828</v>
      </c>
      <c r="E43" s="273" t="s">
        <v>829</v>
      </c>
      <c r="F43" s="274">
        <v>12</v>
      </c>
      <c r="G43" s="109"/>
      <c r="H43" s="110" t="s">
        <v>830</v>
      </c>
      <c r="I43" s="111" t="s">
        <v>831</v>
      </c>
      <c r="J43" s="276" t="s">
        <v>836</v>
      </c>
      <c r="K43" s="277" t="s">
        <v>840</v>
      </c>
      <c r="L43" s="278">
        <v>44417</v>
      </c>
      <c r="M43" s="276" t="s">
        <v>71</v>
      </c>
      <c r="N43" s="279" t="s">
        <v>841</v>
      </c>
      <c r="O43" s="110" t="s">
        <v>842</v>
      </c>
      <c r="P43" s="111" t="s">
        <v>29</v>
      </c>
      <c r="Q43" s="278">
        <v>44417</v>
      </c>
      <c r="R43" s="278">
        <v>44781</v>
      </c>
      <c r="S43" s="292" t="s">
        <v>30</v>
      </c>
      <c r="T43" s="291">
        <v>1680000</v>
      </c>
      <c r="U43" s="282">
        <f t="shared" si="0"/>
        <v>184800</v>
      </c>
      <c r="V43" s="288"/>
      <c r="W43" s="289">
        <f t="shared" si="2"/>
        <v>1864800</v>
      </c>
      <c r="X43" s="280"/>
    </row>
    <row r="44" spans="1:27" x14ac:dyDescent="0.25">
      <c r="A44" s="104">
        <f t="shared" si="1"/>
        <v>36</v>
      </c>
      <c r="B44" s="272" t="s">
        <v>725</v>
      </c>
      <c r="C44" s="106" t="s">
        <v>726</v>
      </c>
      <c r="D44" s="106" t="s">
        <v>828</v>
      </c>
      <c r="E44" s="273" t="s">
        <v>829</v>
      </c>
      <c r="F44" s="274">
        <v>12</v>
      </c>
      <c r="G44" s="109"/>
      <c r="H44" s="110" t="s">
        <v>830</v>
      </c>
      <c r="I44" s="111" t="s">
        <v>831</v>
      </c>
      <c r="J44" s="276" t="s">
        <v>836</v>
      </c>
      <c r="K44" s="277" t="s">
        <v>843</v>
      </c>
      <c r="L44" s="278">
        <v>44417</v>
      </c>
      <c r="M44" s="276" t="s">
        <v>71</v>
      </c>
      <c r="N44" s="279" t="s">
        <v>844</v>
      </c>
      <c r="O44" s="110" t="s">
        <v>845</v>
      </c>
      <c r="P44" s="111" t="s">
        <v>29</v>
      </c>
      <c r="Q44" s="278">
        <v>44417</v>
      </c>
      <c r="R44" s="278">
        <v>44781</v>
      </c>
      <c r="S44" s="292" t="s">
        <v>30</v>
      </c>
      <c r="T44" s="291">
        <v>3696000</v>
      </c>
      <c r="U44" s="282">
        <f t="shared" si="0"/>
        <v>406560</v>
      </c>
      <c r="V44" s="288"/>
      <c r="W44" s="289">
        <f t="shared" si="2"/>
        <v>4102560</v>
      </c>
      <c r="X44" s="280"/>
    </row>
    <row r="45" spans="1:27" x14ac:dyDescent="0.25">
      <c r="A45" s="104">
        <f t="shared" si="1"/>
        <v>37</v>
      </c>
      <c r="B45" s="272" t="s">
        <v>725</v>
      </c>
      <c r="C45" s="106" t="s">
        <v>726</v>
      </c>
      <c r="D45" s="106" t="s">
        <v>828</v>
      </c>
      <c r="E45" s="273" t="s">
        <v>829</v>
      </c>
      <c r="F45" s="274">
        <v>24</v>
      </c>
      <c r="G45" s="109"/>
      <c r="H45" s="110" t="s">
        <v>830</v>
      </c>
      <c r="I45" s="111" t="s">
        <v>831</v>
      </c>
      <c r="J45" s="276" t="s">
        <v>836</v>
      </c>
      <c r="K45" s="277" t="s">
        <v>846</v>
      </c>
      <c r="L45" s="278">
        <v>44417</v>
      </c>
      <c r="M45" s="276" t="s">
        <v>71</v>
      </c>
      <c r="N45" s="279" t="s">
        <v>847</v>
      </c>
      <c r="O45" s="110" t="s">
        <v>767</v>
      </c>
      <c r="P45" s="111" t="s">
        <v>29</v>
      </c>
      <c r="Q45" s="278">
        <v>44417</v>
      </c>
      <c r="R45" s="278">
        <v>44781</v>
      </c>
      <c r="S45" s="292" t="s">
        <v>30</v>
      </c>
      <c r="T45" s="291">
        <v>3360000</v>
      </c>
      <c r="U45" s="282">
        <f t="shared" si="0"/>
        <v>369600</v>
      </c>
      <c r="V45" s="288"/>
      <c r="W45" s="289">
        <f t="shared" si="2"/>
        <v>3729600</v>
      </c>
      <c r="X45" s="280"/>
    </row>
    <row r="46" spans="1:27" x14ac:dyDescent="0.25">
      <c r="A46" s="104">
        <f t="shared" si="1"/>
        <v>38</v>
      </c>
      <c r="B46" s="272" t="s">
        <v>725</v>
      </c>
      <c r="C46" s="106" t="s">
        <v>726</v>
      </c>
      <c r="D46" s="106" t="s">
        <v>828</v>
      </c>
      <c r="E46" s="273" t="s">
        <v>829</v>
      </c>
      <c r="F46" s="274">
        <v>12</v>
      </c>
      <c r="G46" s="109"/>
      <c r="H46" s="110" t="s">
        <v>830</v>
      </c>
      <c r="I46" s="111" t="s">
        <v>831</v>
      </c>
      <c r="J46" s="276" t="s">
        <v>848</v>
      </c>
      <c r="K46" s="277" t="s">
        <v>849</v>
      </c>
      <c r="L46" s="278">
        <v>44417</v>
      </c>
      <c r="M46" s="276" t="s">
        <v>71</v>
      </c>
      <c r="N46" s="276" t="s">
        <v>850</v>
      </c>
      <c r="O46" s="110" t="s">
        <v>851</v>
      </c>
      <c r="P46" s="111" t="s">
        <v>29</v>
      </c>
      <c r="Q46" s="278">
        <v>44417</v>
      </c>
      <c r="R46" s="278">
        <v>44781</v>
      </c>
      <c r="S46" s="292" t="s">
        <v>30</v>
      </c>
      <c r="T46" s="291">
        <v>7727000</v>
      </c>
      <c r="U46" s="282">
        <f t="shared" si="0"/>
        <v>849970</v>
      </c>
      <c r="V46" s="288"/>
      <c r="W46" s="289">
        <f t="shared" si="2"/>
        <v>8576970</v>
      </c>
      <c r="X46" s="280"/>
    </row>
    <row r="47" spans="1:27" x14ac:dyDescent="0.25">
      <c r="A47" s="104">
        <f t="shared" si="1"/>
        <v>39</v>
      </c>
      <c r="B47" s="272" t="s">
        <v>725</v>
      </c>
      <c r="C47" s="106" t="s">
        <v>852</v>
      </c>
      <c r="D47" s="106" t="s">
        <v>853</v>
      </c>
      <c r="E47" s="273" t="s">
        <v>383</v>
      </c>
      <c r="F47" s="296">
        <v>75.7</v>
      </c>
      <c r="G47" s="109"/>
      <c r="H47" s="110" t="s">
        <v>854</v>
      </c>
      <c r="I47" s="111"/>
      <c r="J47" s="276" t="s">
        <v>855</v>
      </c>
      <c r="K47" s="297" t="s">
        <v>856</v>
      </c>
      <c r="L47" s="298" t="s">
        <v>857</v>
      </c>
      <c r="M47" s="276" t="s">
        <v>71</v>
      </c>
      <c r="N47" s="299" t="s">
        <v>858</v>
      </c>
      <c r="O47" s="110" t="s">
        <v>859</v>
      </c>
      <c r="P47" s="111" t="s">
        <v>29</v>
      </c>
      <c r="Q47" s="298" t="s">
        <v>857</v>
      </c>
      <c r="R47" s="298" t="s">
        <v>860</v>
      </c>
      <c r="S47" s="292" t="s">
        <v>30</v>
      </c>
      <c r="T47" s="300">
        <v>3100000</v>
      </c>
      <c r="U47" s="282">
        <f t="shared" si="0"/>
        <v>341000</v>
      </c>
      <c r="V47" s="288"/>
      <c r="W47" s="289">
        <f t="shared" si="2"/>
        <v>3441000</v>
      </c>
      <c r="X47" s="280"/>
    </row>
    <row r="48" spans="1:27" x14ac:dyDescent="0.25">
      <c r="A48" s="104">
        <f t="shared" si="1"/>
        <v>40</v>
      </c>
      <c r="B48" s="272" t="s">
        <v>725</v>
      </c>
      <c r="C48" s="106" t="s">
        <v>852</v>
      </c>
      <c r="D48" s="106" t="s">
        <v>853</v>
      </c>
      <c r="E48" s="273" t="s">
        <v>383</v>
      </c>
      <c r="F48" s="296">
        <v>30</v>
      </c>
      <c r="G48" s="109"/>
      <c r="H48" s="110" t="s">
        <v>854</v>
      </c>
      <c r="I48" s="111"/>
      <c r="J48" s="276" t="s">
        <v>855</v>
      </c>
      <c r="K48" s="297" t="s">
        <v>861</v>
      </c>
      <c r="L48" s="298" t="s">
        <v>857</v>
      </c>
      <c r="M48" s="276" t="s">
        <v>71</v>
      </c>
      <c r="N48" s="299" t="s">
        <v>862</v>
      </c>
      <c r="O48" s="110" t="s">
        <v>863</v>
      </c>
      <c r="P48" s="111" t="s">
        <v>29</v>
      </c>
      <c r="Q48" s="298" t="s">
        <v>857</v>
      </c>
      <c r="R48" s="298" t="s">
        <v>860</v>
      </c>
      <c r="S48" s="292" t="s">
        <v>30</v>
      </c>
      <c r="T48" s="291">
        <v>1230000</v>
      </c>
      <c r="U48" s="282">
        <f t="shared" si="0"/>
        <v>135300</v>
      </c>
      <c r="V48" s="288"/>
      <c r="W48" s="289">
        <f t="shared" si="2"/>
        <v>1365300</v>
      </c>
      <c r="X48" s="280"/>
    </row>
    <row r="49" spans="1:24" x14ac:dyDescent="0.25">
      <c r="A49" s="104">
        <f t="shared" si="1"/>
        <v>41</v>
      </c>
      <c r="B49" s="272" t="s">
        <v>725</v>
      </c>
      <c r="C49" s="106" t="s">
        <v>852</v>
      </c>
      <c r="D49" s="106" t="s">
        <v>853</v>
      </c>
      <c r="E49" s="273" t="s">
        <v>383</v>
      </c>
      <c r="F49" s="296">
        <v>8</v>
      </c>
      <c r="G49" s="109"/>
      <c r="H49" s="110" t="s">
        <v>854</v>
      </c>
      <c r="I49" s="111"/>
      <c r="J49" s="276" t="s">
        <v>157</v>
      </c>
      <c r="K49" s="297" t="s">
        <v>864</v>
      </c>
      <c r="L49" s="298" t="s">
        <v>857</v>
      </c>
      <c r="M49" s="276" t="s">
        <v>71</v>
      </c>
      <c r="N49" s="299" t="s">
        <v>865</v>
      </c>
      <c r="O49" s="110" t="s">
        <v>866</v>
      </c>
      <c r="P49" s="111" t="s">
        <v>29</v>
      </c>
      <c r="Q49" s="298" t="s">
        <v>857</v>
      </c>
      <c r="R49" s="298" t="s">
        <v>860</v>
      </c>
      <c r="S49" s="292" t="s">
        <v>30</v>
      </c>
      <c r="T49" s="291">
        <v>328000</v>
      </c>
      <c r="U49" s="282">
        <f t="shared" si="0"/>
        <v>36080</v>
      </c>
      <c r="V49" s="288"/>
      <c r="W49" s="289">
        <f t="shared" si="2"/>
        <v>364080</v>
      </c>
      <c r="X49" s="280"/>
    </row>
    <row r="50" spans="1:24" x14ac:dyDescent="0.25">
      <c r="A50" s="104">
        <f t="shared" si="1"/>
        <v>42</v>
      </c>
      <c r="B50" s="272" t="s">
        <v>725</v>
      </c>
      <c r="C50" s="106" t="s">
        <v>852</v>
      </c>
      <c r="D50" s="106" t="s">
        <v>853</v>
      </c>
      <c r="E50" s="273" t="s">
        <v>383</v>
      </c>
      <c r="F50" s="296">
        <v>55</v>
      </c>
      <c r="G50" s="109"/>
      <c r="H50" s="110" t="s">
        <v>854</v>
      </c>
      <c r="I50" s="111"/>
      <c r="J50" s="276" t="s">
        <v>867</v>
      </c>
      <c r="K50" s="297" t="s">
        <v>868</v>
      </c>
      <c r="L50" s="298" t="s">
        <v>857</v>
      </c>
      <c r="M50" s="276" t="s">
        <v>71</v>
      </c>
      <c r="N50" s="299" t="s">
        <v>869</v>
      </c>
      <c r="O50" s="110" t="s">
        <v>870</v>
      </c>
      <c r="P50" s="111" t="s">
        <v>29</v>
      </c>
      <c r="Q50" s="298" t="s">
        <v>857</v>
      </c>
      <c r="R50" s="298" t="s">
        <v>860</v>
      </c>
      <c r="S50" s="292" t="s">
        <v>30</v>
      </c>
      <c r="T50" s="291">
        <v>2255000</v>
      </c>
      <c r="U50" s="282">
        <f t="shared" si="0"/>
        <v>248050</v>
      </c>
      <c r="V50" s="288"/>
      <c r="W50" s="289">
        <f t="shared" si="2"/>
        <v>2503050</v>
      </c>
      <c r="X50" s="280"/>
    </row>
    <row r="51" spans="1:24" x14ac:dyDescent="0.25">
      <c r="A51" s="104">
        <f t="shared" si="1"/>
        <v>43</v>
      </c>
      <c r="B51" s="272" t="s">
        <v>725</v>
      </c>
      <c r="C51" s="106" t="s">
        <v>852</v>
      </c>
      <c r="D51" s="106" t="s">
        <v>853</v>
      </c>
      <c r="E51" s="273" t="s">
        <v>383</v>
      </c>
      <c r="F51" s="296">
        <v>16</v>
      </c>
      <c r="G51" s="109"/>
      <c r="H51" s="110" t="s">
        <v>854</v>
      </c>
      <c r="I51" s="111"/>
      <c r="J51" s="276" t="s">
        <v>871</v>
      </c>
      <c r="K51" s="297" t="s">
        <v>872</v>
      </c>
      <c r="L51" s="298" t="s">
        <v>857</v>
      </c>
      <c r="M51" s="276" t="s">
        <v>71</v>
      </c>
      <c r="N51" s="299" t="s">
        <v>873</v>
      </c>
      <c r="O51" s="110" t="s">
        <v>874</v>
      </c>
      <c r="P51" s="111" t="s">
        <v>29</v>
      </c>
      <c r="Q51" s="298" t="s">
        <v>857</v>
      </c>
      <c r="R51" s="298" t="s">
        <v>860</v>
      </c>
      <c r="S51" s="292" t="s">
        <v>30</v>
      </c>
      <c r="T51" s="291">
        <v>656000</v>
      </c>
      <c r="U51" s="282">
        <f t="shared" si="0"/>
        <v>72160</v>
      </c>
      <c r="V51" s="288"/>
      <c r="W51" s="289">
        <f t="shared" si="2"/>
        <v>728160</v>
      </c>
      <c r="X51" s="280"/>
    </row>
    <row r="52" spans="1:24" x14ac:dyDescent="0.25">
      <c r="A52" s="104">
        <f t="shared" si="1"/>
        <v>44</v>
      </c>
      <c r="B52" s="272" t="s">
        <v>725</v>
      </c>
      <c r="C52" s="106" t="s">
        <v>852</v>
      </c>
      <c r="D52" s="106" t="s">
        <v>853</v>
      </c>
      <c r="E52" s="273" t="s">
        <v>383</v>
      </c>
      <c r="F52" s="296">
        <v>12</v>
      </c>
      <c r="G52" s="109"/>
      <c r="H52" s="110" t="s">
        <v>854</v>
      </c>
      <c r="I52" s="111"/>
      <c r="J52" s="276" t="s">
        <v>867</v>
      </c>
      <c r="K52" s="297" t="s">
        <v>875</v>
      </c>
      <c r="L52" s="298" t="s">
        <v>857</v>
      </c>
      <c r="M52" s="276" t="s">
        <v>71</v>
      </c>
      <c r="N52" s="299" t="s">
        <v>876</v>
      </c>
      <c r="O52" s="110" t="s">
        <v>877</v>
      </c>
      <c r="P52" s="111" t="s">
        <v>29</v>
      </c>
      <c r="Q52" s="298" t="s">
        <v>857</v>
      </c>
      <c r="R52" s="298" t="s">
        <v>860</v>
      </c>
      <c r="S52" s="292" t="s">
        <v>30</v>
      </c>
      <c r="T52" s="291">
        <v>492000</v>
      </c>
      <c r="U52" s="282">
        <f t="shared" si="0"/>
        <v>54120</v>
      </c>
      <c r="V52" s="288"/>
      <c r="W52" s="289">
        <f t="shared" si="2"/>
        <v>546120</v>
      </c>
      <c r="X52" s="280"/>
    </row>
    <row r="53" spans="1:24" x14ac:dyDescent="0.25">
      <c r="A53" s="104">
        <f t="shared" si="1"/>
        <v>45</v>
      </c>
      <c r="B53" s="272" t="s">
        <v>725</v>
      </c>
      <c r="C53" s="106" t="s">
        <v>852</v>
      </c>
      <c r="D53" s="106" t="s">
        <v>853</v>
      </c>
      <c r="E53" s="273" t="s">
        <v>383</v>
      </c>
      <c r="F53" s="296">
        <v>44</v>
      </c>
      <c r="G53" s="109"/>
      <c r="H53" s="110" t="s">
        <v>854</v>
      </c>
      <c r="I53" s="111"/>
      <c r="J53" s="276" t="s">
        <v>878</v>
      </c>
      <c r="K53" s="297" t="s">
        <v>879</v>
      </c>
      <c r="L53" s="298" t="s">
        <v>857</v>
      </c>
      <c r="M53" s="276" t="s">
        <v>71</v>
      </c>
      <c r="N53" s="299" t="s">
        <v>880</v>
      </c>
      <c r="O53" s="110" t="s">
        <v>881</v>
      </c>
      <c r="P53" s="111" t="s">
        <v>29</v>
      </c>
      <c r="Q53" s="298" t="s">
        <v>857</v>
      </c>
      <c r="R53" s="298" t="s">
        <v>860</v>
      </c>
      <c r="S53" s="292" t="s">
        <v>30</v>
      </c>
      <c r="T53" s="291">
        <v>1804000</v>
      </c>
      <c r="U53" s="282">
        <f t="shared" si="0"/>
        <v>198440</v>
      </c>
      <c r="V53" s="288"/>
      <c r="W53" s="289">
        <f t="shared" si="2"/>
        <v>2002440</v>
      </c>
      <c r="X53" s="280"/>
    </row>
    <row r="54" spans="1:24" x14ac:dyDescent="0.25">
      <c r="A54" s="104">
        <f t="shared" si="1"/>
        <v>46</v>
      </c>
      <c r="B54" s="272" t="s">
        <v>725</v>
      </c>
      <c r="C54" s="106" t="s">
        <v>852</v>
      </c>
      <c r="D54" s="106" t="s">
        <v>853</v>
      </c>
      <c r="E54" s="273" t="s">
        <v>383</v>
      </c>
      <c r="F54" s="296">
        <v>7</v>
      </c>
      <c r="G54" s="109"/>
      <c r="H54" s="110" t="s">
        <v>854</v>
      </c>
      <c r="I54" s="111"/>
      <c r="J54" s="276" t="s">
        <v>882</v>
      </c>
      <c r="K54" s="297" t="s">
        <v>883</v>
      </c>
      <c r="L54" s="298" t="s">
        <v>857</v>
      </c>
      <c r="M54" s="276" t="s">
        <v>71</v>
      </c>
      <c r="N54" s="299" t="s">
        <v>884</v>
      </c>
      <c r="O54" s="110" t="s">
        <v>885</v>
      </c>
      <c r="P54" s="111" t="s">
        <v>29</v>
      </c>
      <c r="Q54" s="298" t="s">
        <v>857</v>
      </c>
      <c r="R54" s="298" t="s">
        <v>860</v>
      </c>
      <c r="S54" s="292" t="s">
        <v>30</v>
      </c>
      <c r="T54" s="291">
        <v>287000</v>
      </c>
      <c r="U54" s="282">
        <f t="shared" si="0"/>
        <v>31570</v>
      </c>
      <c r="V54" s="288"/>
      <c r="W54" s="289">
        <f t="shared" si="2"/>
        <v>318570</v>
      </c>
      <c r="X54" s="280"/>
    </row>
    <row r="55" spans="1:24" x14ac:dyDescent="0.25">
      <c r="A55" s="104">
        <f t="shared" si="1"/>
        <v>47</v>
      </c>
      <c r="B55" s="272" t="s">
        <v>725</v>
      </c>
      <c r="C55" s="106" t="s">
        <v>852</v>
      </c>
      <c r="D55" s="106" t="s">
        <v>853</v>
      </c>
      <c r="E55" s="273" t="s">
        <v>383</v>
      </c>
      <c r="F55" s="296">
        <v>16</v>
      </c>
      <c r="G55" s="109"/>
      <c r="H55" s="110" t="s">
        <v>854</v>
      </c>
      <c r="I55" s="111"/>
      <c r="J55" s="276" t="s">
        <v>886</v>
      </c>
      <c r="K55" s="297" t="s">
        <v>887</v>
      </c>
      <c r="L55" s="298" t="s">
        <v>857</v>
      </c>
      <c r="M55" s="276" t="s">
        <v>71</v>
      </c>
      <c r="N55" s="299" t="s">
        <v>888</v>
      </c>
      <c r="O55" s="110" t="s">
        <v>889</v>
      </c>
      <c r="P55" s="111" t="s">
        <v>29</v>
      </c>
      <c r="Q55" s="298" t="s">
        <v>857</v>
      </c>
      <c r="R55" s="298" t="s">
        <v>860</v>
      </c>
      <c r="S55" s="292" t="s">
        <v>30</v>
      </c>
      <c r="T55" s="291">
        <v>656000</v>
      </c>
      <c r="U55" s="282">
        <f t="shared" si="0"/>
        <v>72160</v>
      </c>
      <c r="V55" s="288"/>
      <c r="W55" s="289">
        <f t="shared" si="2"/>
        <v>728160</v>
      </c>
      <c r="X55" s="280"/>
    </row>
    <row r="56" spans="1:24" x14ac:dyDescent="0.25">
      <c r="A56" s="104">
        <f t="shared" si="1"/>
        <v>48</v>
      </c>
      <c r="B56" s="272" t="s">
        <v>725</v>
      </c>
      <c r="C56" s="106" t="s">
        <v>852</v>
      </c>
      <c r="D56" s="106" t="s">
        <v>853</v>
      </c>
      <c r="E56" s="273" t="s">
        <v>383</v>
      </c>
      <c r="F56" s="296">
        <v>42</v>
      </c>
      <c r="G56" s="109"/>
      <c r="H56" s="110" t="s">
        <v>854</v>
      </c>
      <c r="I56" s="111"/>
      <c r="J56" s="276" t="s">
        <v>890</v>
      </c>
      <c r="K56" s="297" t="s">
        <v>891</v>
      </c>
      <c r="L56" s="298" t="s">
        <v>857</v>
      </c>
      <c r="M56" s="276" t="s">
        <v>71</v>
      </c>
      <c r="N56" s="299" t="s">
        <v>892</v>
      </c>
      <c r="O56" s="110" t="s">
        <v>870</v>
      </c>
      <c r="P56" s="111" t="s">
        <v>29</v>
      </c>
      <c r="Q56" s="298" t="s">
        <v>857</v>
      </c>
      <c r="R56" s="298" t="s">
        <v>860</v>
      </c>
      <c r="S56" s="292" t="s">
        <v>30</v>
      </c>
      <c r="T56" s="291">
        <v>1772000</v>
      </c>
      <c r="U56" s="282">
        <f t="shared" si="0"/>
        <v>194920</v>
      </c>
      <c r="V56" s="288"/>
      <c r="W56" s="289">
        <f t="shared" si="2"/>
        <v>1966920</v>
      </c>
      <c r="X56" s="280"/>
    </row>
    <row r="57" spans="1:24" x14ac:dyDescent="0.25">
      <c r="A57" s="104">
        <f t="shared" si="1"/>
        <v>49</v>
      </c>
      <c r="B57" s="272" t="s">
        <v>725</v>
      </c>
      <c r="C57" s="106" t="s">
        <v>852</v>
      </c>
      <c r="D57" s="106" t="s">
        <v>853</v>
      </c>
      <c r="E57" s="273" t="s">
        <v>383</v>
      </c>
      <c r="F57" s="296">
        <v>8</v>
      </c>
      <c r="G57" s="109"/>
      <c r="H57" s="110" t="s">
        <v>854</v>
      </c>
      <c r="I57" s="111"/>
      <c r="J57" s="276" t="s">
        <v>893</v>
      </c>
      <c r="K57" s="297" t="s">
        <v>894</v>
      </c>
      <c r="L57" s="298" t="s">
        <v>857</v>
      </c>
      <c r="M57" s="276" t="s">
        <v>71</v>
      </c>
      <c r="N57" s="299" t="s">
        <v>895</v>
      </c>
      <c r="O57" s="110" t="s">
        <v>874</v>
      </c>
      <c r="P57" s="111" t="s">
        <v>29</v>
      </c>
      <c r="Q57" s="298" t="s">
        <v>857</v>
      </c>
      <c r="R57" s="298" t="s">
        <v>860</v>
      </c>
      <c r="S57" s="292" t="s">
        <v>30</v>
      </c>
      <c r="T57" s="291">
        <v>328000</v>
      </c>
      <c r="U57" s="282">
        <f t="shared" si="0"/>
        <v>36080</v>
      </c>
      <c r="V57" s="288"/>
      <c r="W57" s="289">
        <f t="shared" si="2"/>
        <v>364080</v>
      </c>
      <c r="X57" s="280"/>
    </row>
    <row r="58" spans="1:24" x14ac:dyDescent="0.25">
      <c r="A58" s="104">
        <f t="shared" si="1"/>
        <v>50</v>
      </c>
      <c r="B58" s="272" t="s">
        <v>725</v>
      </c>
      <c r="C58" s="106" t="s">
        <v>852</v>
      </c>
      <c r="D58" s="106" t="s">
        <v>853</v>
      </c>
      <c r="E58" s="273" t="s">
        <v>383</v>
      </c>
      <c r="F58" s="296">
        <v>30</v>
      </c>
      <c r="G58" s="109"/>
      <c r="H58" s="110" t="s">
        <v>854</v>
      </c>
      <c r="I58" s="111"/>
      <c r="J58" s="276" t="s">
        <v>896</v>
      </c>
      <c r="K58" s="297" t="s">
        <v>897</v>
      </c>
      <c r="L58" s="298" t="s">
        <v>857</v>
      </c>
      <c r="M58" s="276" t="s">
        <v>71</v>
      </c>
      <c r="N58" s="299" t="s">
        <v>898</v>
      </c>
      <c r="O58" s="110" t="s">
        <v>899</v>
      </c>
      <c r="P58" s="111" t="s">
        <v>29</v>
      </c>
      <c r="Q58" s="298" t="s">
        <v>857</v>
      </c>
      <c r="R58" s="298" t="s">
        <v>860</v>
      </c>
      <c r="S58" s="292" t="s">
        <v>30</v>
      </c>
      <c r="T58" s="291">
        <v>3280000</v>
      </c>
      <c r="U58" s="282">
        <f t="shared" si="0"/>
        <v>360800</v>
      </c>
      <c r="V58" s="288"/>
      <c r="W58" s="289">
        <f t="shared" si="2"/>
        <v>3640800</v>
      </c>
      <c r="X58" s="280"/>
    </row>
    <row r="59" spans="1:24" x14ac:dyDescent="0.25">
      <c r="A59" s="104">
        <f t="shared" si="1"/>
        <v>51</v>
      </c>
      <c r="B59" s="272" t="s">
        <v>725</v>
      </c>
      <c r="C59" s="106" t="s">
        <v>852</v>
      </c>
      <c r="D59" s="106" t="s">
        <v>853</v>
      </c>
      <c r="E59" s="273" t="s">
        <v>383</v>
      </c>
      <c r="F59" s="296">
        <v>16</v>
      </c>
      <c r="G59" s="109"/>
      <c r="H59" s="110" t="s">
        <v>854</v>
      </c>
      <c r="I59" s="111"/>
      <c r="J59" s="276" t="s">
        <v>900</v>
      </c>
      <c r="K59" s="297" t="s">
        <v>901</v>
      </c>
      <c r="L59" s="298" t="s">
        <v>857</v>
      </c>
      <c r="M59" s="276" t="s">
        <v>71</v>
      </c>
      <c r="N59" s="299" t="s">
        <v>902</v>
      </c>
      <c r="O59" s="110" t="s">
        <v>903</v>
      </c>
      <c r="P59" s="111" t="s">
        <v>29</v>
      </c>
      <c r="Q59" s="298" t="s">
        <v>857</v>
      </c>
      <c r="R59" s="298" t="s">
        <v>860</v>
      </c>
      <c r="S59" s="292" t="s">
        <v>30</v>
      </c>
      <c r="T59" s="291">
        <v>656000</v>
      </c>
      <c r="U59" s="282">
        <f t="shared" si="0"/>
        <v>72160</v>
      </c>
      <c r="V59" s="288"/>
      <c r="W59" s="289">
        <f t="shared" si="2"/>
        <v>728160</v>
      </c>
      <c r="X59" s="280"/>
    </row>
    <row r="60" spans="1:24" x14ac:dyDescent="0.25">
      <c r="A60" s="104">
        <f t="shared" si="1"/>
        <v>52</v>
      </c>
      <c r="B60" s="272" t="s">
        <v>725</v>
      </c>
      <c r="C60" s="106" t="s">
        <v>852</v>
      </c>
      <c r="D60" s="106" t="s">
        <v>853</v>
      </c>
      <c r="E60" s="273" t="s">
        <v>383</v>
      </c>
      <c r="F60" s="296">
        <v>20</v>
      </c>
      <c r="G60" s="109"/>
      <c r="H60" s="110" t="s">
        <v>854</v>
      </c>
      <c r="I60" s="111"/>
      <c r="J60" s="276" t="s">
        <v>896</v>
      </c>
      <c r="K60" s="297" t="s">
        <v>904</v>
      </c>
      <c r="L60" s="298" t="s">
        <v>857</v>
      </c>
      <c r="M60" s="276" t="s">
        <v>71</v>
      </c>
      <c r="N60" s="299" t="s">
        <v>905</v>
      </c>
      <c r="O60" s="110" t="s">
        <v>906</v>
      </c>
      <c r="P60" s="111" t="s">
        <v>29</v>
      </c>
      <c r="Q60" s="298" t="s">
        <v>857</v>
      </c>
      <c r="R60" s="298" t="s">
        <v>860</v>
      </c>
      <c r="S60" s="292" t="s">
        <v>30</v>
      </c>
      <c r="T60" s="291">
        <v>820000</v>
      </c>
      <c r="U60" s="282">
        <f t="shared" si="0"/>
        <v>90200</v>
      </c>
      <c r="V60" s="288"/>
      <c r="W60" s="289">
        <f t="shared" si="2"/>
        <v>910200</v>
      </c>
      <c r="X60" s="280"/>
    </row>
    <row r="61" spans="1:24" x14ac:dyDescent="0.25">
      <c r="A61" s="104">
        <f t="shared" si="1"/>
        <v>53</v>
      </c>
      <c r="B61" s="272" t="s">
        <v>725</v>
      </c>
      <c r="C61" s="106" t="s">
        <v>852</v>
      </c>
      <c r="D61" s="106" t="s">
        <v>853</v>
      </c>
      <c r="E61" s="273" t="s">
        <v>383</v>
      </c>
      <c r="F61" s="296">
        <v>18</v>
      </c>
      <c r="G61" s="109"/>
      <c r="H61" s="110" t="s">
        <v>854</v>
      </c>
      <c r="I61" s="111"/>
      <c r="J61" s="276" t="s">
        <v>907</v>
      </c>
      <c r="K61" s="297" t="s">
        <v>908</v>
      </c>
      <c r="L61" s="298" t="s">
        <v>857</v>
      </c>
      <c r="M61" s="276" t="s">
        <v>71</v>
      </c>
      <c r="N61" s="299" t="s">
        <v>909</v>
      </c>
      <c r="O61" s="110" t="s">
        <v>910</v>
      </c>
      <c r="P61" s="111" t="s">
        <v>29</v>
      </c>
      <c r="Q61" s="298" t="s">
        <v>857</v>
      </c>
      <c r="R61" s="298" t="s">
        <v>860</v>
      </c>
      <c r="S61" s="292" t="s">
        <v>30</v>
      </c>
      <c r="T61" s="291">
        <v>738000</v>
      </c>
      <c r="U61" s="282">
        <f t="shared" si="0"/>
        <v>81180</v>
      </c>
      <c r="V61" s="288"/>
      <c r="W61" s="289">
        <f t="shared" si="2"/>
        <v>819180</v>
      </c>
      <c r="X61" s="280"/>
    </row>
    <row r="62" spans="1:24" x14ac:dyDescent="0.25">
      <c r="A62" s="104">
        <f t="shared" si="1"/>
        <v>54</v>
      </c>
      <c r="B62" s="272" t="s">
        <v>725</v>
      </c>
      <c r="C62" s="106" t="s">
        <v>852</v>
      </c>
      <c r="D62" s="106" t="s">
        <v>853</v>
      </c>
      <c r="E62" s="273" t="s">
        <v>383</v>
      </c>
      <c r="F62" s="296">
        <v>8</v>
      </c>
      <c r="G62" s="109"/>
      <c r="H62" s="110" t="s">
        <v>854</v>
      </c>
      <c r="I62" s="111"/>
      <c r="J62" s="276" t="s">
        <v>911</v>
      </c>
      <c r="K62" s="297" t="s">
        <v>912</v>
      </c>
      <c r="L62" s="298" t="s">
        <v>857</v>
      </c>
      <c r="M62" s="276" t="s">
        <v>71</v>
      </c>
      <c r="N62" s="299" t="s">
        <v>876</v>
      </c>
      <c r="O62" s="110" t="s">
        <v>913</v>
      </c>
      <c r="P62" s="111" t="s">
        <v>29</v>
      </c>
      <c r="Q62" s="298" t="s">
        <v>857</v>
      </c>
      <c r="R62" s="298" t="s">
        <v>860</v>
      </c>
      <c r="S62" s="292" t="s">
        <v>30</v>
      </c>
      <c r="T62" s="291">
        <v>328000</v>
      </c>
      <c r="U62" s="282">
        <f t="shared" si="0"/>
        <v>36080</v>
      </c>
      <c r="V62" s="288"/>
      <c r="W62" s="289">
        <f t="shared" si="2"/>
        <v>364080</v>
      </c>
      <c r="X62" s="280"/>
    </row>
    <row r="63" spans="1:24" x14ac:dyDescent="0.25">
      <c r="A63" s="104">
        <f t="shared" si="1"/>
        <v>55</v>
      </c>
      <c r="B63" s="272" t="s">
        <v>725</v>
      </c>
      <c r="C63" s="106" t="s">
        <v>852</v>
      </c>
      <c r="D63" s="106" t="s">
        <v>853</v>
      </c>
      <c r="E63" s="273" t="s">
        <v>383</v>
      </c>
      <c r="F63" s="296">
        <v>6</v>
      </c>
      <c r="G63" s="109"/>
      <c r="H63" s="110" t="s">
        <v>854</v>
      </c>
      <c r="I63" s="111"/>
      <c r="J63" s="276" t="s">
        <v>914</v>
      </c>
      <c r="K63" s="297" t="s">
        <v>915</v>
      </c>
      <c r="L63" s="298" t="s">
        <v>857</v>
      </c>
      <c r="M63" s="276" t="s">
        <v>71</v>
      </c>
      <c r="N63" s="299" t="s">
        <v>916</v>
      </c>
      <c r="O63" s="110" t="s">
        <v>913</v>
      </c>
      <c r="P63" s="111" t="s">
        <v>29</v>
      </c>
      <c r="Q63" s="298" t="s">
        <v>857</v>
      </c>
      <c r="R63" s="298" t="s">
        <v>860</v>
      </c>
      <c r="S63" s="292" t="s">
        <v>30</v>
      </c>
      <c r="T63" s="291">
        <v>246000</v>
      </c>
      <c r="U63" s="282">
        <f t="shared" si="0"/>
        <v>27060</v>
      </c>
      <c r="V63" s="288"/>
      <c r="W63" s="289">
        <f t="shared" si="2"/>
        <v>273060</v>
      </c>
      <c r="X63" s="280"/>
    </row>
    <row r="64" spans="1:24" x14ac:dyDescent="0.25">
      <c r="A64" s="104">
        <f t="shared" si="1"/>
        <v>56</v>
      </c>
      <c r="B64" s="272" t="s">
        <v>725</v>
      </c>
      <c r="C64" s="106" t="s">
        <v>852</v>
      </c>
      <c r="D64" s="106" t="s">
        <v>853</v>
      </c>
      <c r="E64" s="273" t="s">
        <v>383</v>
      </c>
      <c r="F64" s="296">
        <v>60</v>
      </c>
      <c r="G64" s="109"/>
      <c r="H64" s="110" t="s">
        <v>854</v>
      </c>
      <c r="I64" s="111"/>
      <c r="J64" s="276" t="s">
        <v>917</v>
      </c>
      <c r="K64" s="297" t="s">
        <v>918</v>
      </c>
      <c r="L64" s="298" t="s">
        <v>857</v>
      </c>
      <c r="M64" s="276" t="s">
        <v>71</v>
      </c>
      <c r="N64" s="299" t="s">
        <v>919</v>
      </c>
      <c r="O64" s="110" t="s">
        <v>913</v>
      </c>
      <c r="P64" s="111" t="s">
        <v>29</v>
      </c>
      <c r="Q64" s="298" t="s">
        <v>857</v>
      </c>
      <c r="R64" s="298" t="s">
        <v>860</v>
      </c>
      <c r="S64" s="292" t="s">
        <v>30</v>
      </c>
      <c r="T64" s="291">
        <v>2460000</v>
      </c>
      <c r="U64" s="282">
        <f t="shared" si="0"/>
        <v>270600</v>
      </c>
      <c r="V64" s="288"/>
      <c r="W64" s="289">
        <f t="shared" si="2"/>
        <v>2730600</v>
      </c>
      <c r="X64" s="280"/>
    </row>
    <row r="65" spans="1:24" x14ac:dyDescent="0.25">
      <c r="A65" s="104">
        <f t="shared" si="1"/>
        <v>57</v>
      </c>
      <c r="B65" s="272" t="s">
        <v>725</v>
      </c>
      <c r="C65" s="106" t="s">
        <v>852</v>
      </c>
      <c r="D65" s="106" t="s">
        <v>853</v>
      </c>
      <c r="E65" s="273" t="s">
        <v>383</v>
      </c>
      <c r="F65" s="296">
        <v>30</v>
      </c>
      <c r="G65" s="109"/>
      <c r="H65" s="110" t="s">
        <v>854</v>
      </c>
      <c r="I65" s="111"/>
      <c r="J65" s="276" t="s">
        <v>920</v>
      </c>
      <c r="K65" s="297" t="s">
        <v>921</v>
      </c>
      <c r="L65" s="298" t="s">
        <v>857</v>
      </c>
      <c r="M65" s="276" t="s">
        <v>71</v>
      </c>
      <c r="N65" s="299" t="s">
        <v>922</v>
      </c>
      <c r="O65" s="110" t="s">
        <v>923</v>
      </c>
      <c r="P65" s="111" t="s">
        <v>29</v>
      </c>
      <c r="Q65" s="298" t="s">
        <v>857</v>
      </c>
      <c r="R65" s="298" t="s">
        <v>860</v>
      </c>
      <c r="S65" s="292" t="s">
        <v>30</v>
      </c>
      <c r="T65" s="291">
        <v>1230000</v>
      </c>
      <c r="U65" s="282">
        <f t="shared" si="0"/>
        <v>135300</v>
      </c>
      <c r="V65" s="288"/>
      <c r="W65" s="289">
        <f t="shared" si="2"/>
        <v>1365300</v>
      </c>
      <c r="X65" s="280"/>
    </row>
    <row r="66" spans="1:24" x14ac:dyDescent="0.25">
      <c r="A66" s="104">
        <f t="shared" si="1"/>
        <v>58</v>
      </c>
      <c r="B66" s="272" t="s">
        <v>725</v>
      </c>
      <c r="C66" s="106" t="s">
        <v>852</v>
      </c>
      <c r="D66" s="106" t="s">
        <v>853</v>
      </c>
      <c r="E66" s="273" t="s">
        <v>383</v>
      </c>
      <c r="F66" s="296">
        <v>12</v>
      </c>
      <c r="G66" s="109"/>
      <c r="H66" s="110" t="s">
        <v>854</v>
      </c>
      <c r="I66" s="111"/>
      <c r="J66" s="276" t="s">
        <v>907</v>
      </c>
      <c r="K66" s="297" t="s">
        <v>924</v>
      </c>
      <c r="L66" s="298" t="s">
        <v>857</v>
      </c>
      <c r="M66" s="276" t="s">
        <v>71</v>
      </c>
      <c r="N66" s="299" t="s">
        <v>925</v>
      </c>
      <c r="O66" s="110" t="s">
        <v>926</v>
      </c>
      <c r="P66" s="111" t="s">
        <v>29</v>
      </c>
      <c r="Q66" s="298" t="s">
        <v>857</v>
      </c>
      <c r="R66" s="298" t="s">
        <v>860</v>
      </c>
      <c r="S66" s="292" t="s">
        <v>30</v>
      </c>
      <c r="T66" s="291">
        <v>492000</v>
      </c>
      <c r="U66" s="282">
        <f t="shared" si="0"/>
        <v>54120</v>
      </c>
      <c r="V66" s="288"/>
      <c r="W66" s="289">
        <f t="shared" si="2"/>
        <v>546120</v>
      </c>
      <c r="X66" s="280"/>
    </row>
    <row r="67" spans="1:24" x14ac:dyDescent="0.25">
      <c r="A67" s="104">
        <f t="shared" si="1"/>
        <v>59</v>
      </c>
      <c r="B67" s="272" t="s">
        <v>725</v>
      </c>
      <c r="C67" s="106" t="s">
        <v>852</v>
      </c>
      <c r="D67" s="106" t="s">
        <v>853</v>
      </c>
      <c r="E67" s="273" t="s">
        <v>383</v>
      </c>
      <c r="F67" s="296">
        <v>11</v>
      </c>
      <c r="G67" s="109"/>
      <c r="H67" s="110" t="s">
        <v>854</v>
      </c>
      <c r="I67" s="111"/>
      <c r="J67" s="276" t="s">
        <v>266</v>
      </c>
      <c r="K67" s="297" t="s">
        <v>927</v>
      </c>
      <c r="L67" s="298" t="s">
        <v>857</v>
      </c>
      <c r="M67" s="276" t="s">
        <v>71</v>
      </c>
      <c r="N67" s="299" t="s">
        <v>928</v>
      </c>
      <c r="O67" s="110" t="s">
        <v>926</v>
      </c>
      <c r="P67" s="111" t="s">
        <v>29</v>
      </c>
      <c r="Q67" s="298" t="s">
        <v>857</v>
      </c>
      <c r="R67" s="298" t="s">
        <v>860</v>
      </c>
      <c r="S67" s="292" t="s">
        <v>30</v>
      </c>
      <c r="T67" s="291">
        <v>451000</v>
      </c>
      <c r="U67" s="282">
        <f t="shared" si="0"/>
        <v>49610</v>
      </c>
      <c r="V67" s="288"/>
      <c r="W67" s="289">
        <f t="shared" si="2"/>
        <v>500610</v>
      </c>
      <c r="X67" s="280"/>
    </row>
    <row r="68" spans="1:24" x14ac:dyDescent="0.25">
      <c r="A68" s="104">
        <f t="shared" si="1"/>
        <v>60</v>
      </c>
      <c r="B68" s="272" t="s">
        <v>725</v>
      </c>
      <c r="C68" s="106" t="s">
        <v>852</v>
      </c>
      <c r="D68" s="106" t="s">
        <v>853</v>
      </c>
      <c r="E68" s="273" t="s">
        <v>383</v>
      </c>
      <c r="F68" s="296">
        <v>10</v>
      </c>
      <c r="G68" s="109"/>
      <c r="H68" s="110" t="s">
        <v>854</v>
      </c>
      <c r="I68" s="111"/>
      <c r="J68" s="276" t="s">
        <v>929</v>
      </c>
      <c r="K68" s="297" t="s">
        <v>930</v>
      </c>
      <c r="L68" s="298" t="s">
        <v>857</v>
      </c>
      <c r="M68" s="276" t="s">
        <v>71</v>
      </c>
      <c r="N68" s="299" t="s">
        <v>931</v>
      </c>
      <c r="O68" s="110" t="s">
        <v>874</v>
      </c>
      <c r="P68" s="111" t="s">
        <v>29</v>
      </c>
      <c r="Q68" s="298" t="s">
        <v>857</v>
      </c>
      <c r="R68" s="298" t="s">
        <v>860</v>
      </c>
      <c r="S68" s="292" t="s">
        <v>30</v>
      </c>
      <c r="T68" s="291">
        <v>410000</v>
      </c>
      <c r="U68" s="282">
        <f t="shared" si="0"/>
        <v>45100</v>
      </c>
      <c r="V68" s="288"/>
      <c r="W68" s="289">
        <f t="shared" si="2"/>
        <v>455100</v>
      </c>
      <c r="X68" s="280"/>
    </row>
    <row r="69" spans="1:24" x14ac:dyDescent="0.25">
      <c r="A69" s="104">
        <f t="shared" si="1"/>
        <v>61</v>
      </c>
      <c r="B69" s="272" t="s">
        <v>725</v>
      </c>
      <c r="C69" s="106" t="s">
        <v>852</v>
      </c>
      <c r="D69" s="106" t="s">
        <v>853</v>
      </c>
      <c r="E69" s="273" t="s">
        <v>383</v>
      </c>
      <c r="F69" s="296">
        <v>36</v>
      </c>
      <c r="G69" s="109"/>
      <c r="H69" s="110" t="s">
        <v>854</v>
      </c>
      <c r="I69" s="111"/>
      <c r="J69" s="276" t="s">
        <v>907</v>
      </c>
      <c r="K69" s="297" t="s">
        <v>932</v>
      </c>
      <c r="L69" s="298" t="s">
        <v>857</v>
      </c>
      <c r="M69" s="276" t="s">
        <v>71</v>
      </c>
      <c r="N69" s="299" t="s">
        <v>933</v>
      </c>
      <c r="O69" s="110" t="s">
        <v>934</v>
      </c>
      <c r="P69" s="111" t="s">
        <v>29</v>
      </c>
      <c r="Q69" s="298" t="s">
        <v>857</v>
      </c>
      <c r="R69" s="298" t="s">
        <v>860</v>
      </c>
      <c r="S69" s="292" t="s">
        <v>30</v>
      </c>
      <c r="T69" s="291">
        <v>1476000</v>
      </c>
      <c r="U69" s="282">
        <f t="shared" si="0"/>
        <v>162360</v>
      </c>
      <c r="V69" s="288"/>
      <c r="W69" s="289">
        <f t="shared" si="2"/>
        <v>1638360</v>
      </c>
      <c r="X69" s="280"/>
    </row>
    <row r="70" spans="1:24" x14ac:dyDescent="0.25">
      <c r="A70" s="104">
        <f t="shared" si="1"/>
        <v>62</v>
      </c>
      <c r="B70" s="272" t="s">
        <v>725</v>
      </c>
      <c r="C70" s="106" t="s">
        <v>852</v>
      </c>
      <c r="D70" s="106" t="s">
        <v>853</v>
      </c>
      <c r="E70" s="273" t="s">
        <v>383</v>
      </c>
      <c r="F70" s="296">
        <v>21</v>
      </c>
      <c r="G70" s="109"/>
      <c r="H70" s="110" t="s">
        <v>854</v>
      </c>
      <c r="I70" s="111"/>
      <c r="J70" s="276" t="s">
        <v>299</v>
      </c>
      <c r="K70" s="297" t="s">
        <v>935</v>
      </c>
      <c r="L70" s="298" t="s">
        <v>936</v>
      </c>
      <c r="M70" s="276" t="s">
        <v>71</v>
      </c>
      <c r="N70" s="301" t="s">
        <v>937</v>
      </c>
      <c r="O70" s="110" t="s">
        <v>938</v>
      </c>
      <c r="P70" s="111" t="s">
        <v>29</v>
      </c>
      <c r="Q70" s="298" t="s">
        <v>936</v>
      </c>
      <c r="R70" s="298" t="s">
        <v>939</v>
      </c>
      <c r="S70" s="292" t="s">
        <v>30</v>
      </c>
      <c r="T70" s="291">
        <v>861000</v>
      </c>
      <c r="U70" s="282">
        <f t="shared" si="0"/>
        <v>94710</v>
      </c>
      <c r="V70" s="288"/>
      <c r="W70" s="289">
        <f t="shared" si="2"/>
        <v>955710</v>
      </c>
      <c r="X70" s="280"/>
    </row>
    <row r="71" spans="1:24" x14ac:dyDescent="0.25">
      <c r="A71" s="104">
        <f t="shared" si="1"/>
        <v>63</v>
      </c>
      <c r="B71" s="272" t="s">
        <v>725</v>
      </c>
      <c r="C71" s="106" t="s">
        <v>852</v>
      </c>
      <c r="D71" s="106" t="s">
        <v>853</v>
      </c>
      <c r="E71" s="273" t="s">
        <v>383</v>
      </c>
      <c r="F71" s="296">
        <v>32</v>
      </c>
      <c r="G71" s="109"/>
      <c r="H71" s="110" t="s">
        <v>854</v>
      </c>
      <c r="I71" s="111"/>
      <c r="J71" s="276" t="s">
        <v>299</v>
      </c>
      <c r="K71" s="297" t="s">
        <v>940</v>
      </c>
      <c r="L71" s="298" t="s">
        <v>936</v>
      </c>
      <c r="M71" s="276" t="s">
        <v>71</v>
      </c>
      <c r="N71" s="301" t="s">
        <v>941</v>
      </c>
      <c r="O71" s="110" t="s">
        <v>942</v>
      </c>
      <c r="P71" s="111" t="s">
        <v>29</v>
      </c>
      <c r="Q71" s="298" t="s">
        <v>936</v>
      </c>
      <c r="R71" s="298" t="s">
        <v>939</v>
      </c>
      <c r="S71" s="292" t="s">
        <v>30</v>
      </c>
      <c r="T71" s="291">
        <v>1312000</v>
      </c>
      <c r="U71" s="282">
        <f t="shared" si="0"/>
        <v>144320</v>
      </c>
      <c r="V71" s="288"/>
      <c r="W71" s="289">
        <f t="shared" si="2"/>
        <v>1456320</v>
      </c>
      <c r="X71" s="280"/>
    </row>
    <row r="72" spans="1:24" x14ac:dyDescent="0.25">
      <c r="A72" s="104">
        <f t="shared" si="1"/>
        <v>64</v>
      </c>
      <c r="B72" s="272" t="s">
        <v>725</v>
      </c>
      <c r="C72" s="106" t="s">
        <v>852</v>
      </c>
      <c r="D72" s="106" t="s">
        <v>853</v>
      </c>
      <c r="E72" s="273" t="s">
        <v>383</v>
      </c>
      <c r="F72" s="296">
        <v>30</v>
      </c>
      <c r="G72" s="109"/>
      <c r="H72" s="110" t="s">
        <v>854</v>
      </c>
      <c r="I72" s="111"/>
      <c r="J72" s="276" t="s">
        <v>299</v>
      </c>
      <c r="K72" s="297" t="s">
        <v>943</v>
      </c>
      <c r="L72" s="298" t="s">
        <v>936</v>
      </c>
      <c r="M72" s="276" t="s">
        <v>71</v>
      </c>
      <c r="N72" s="301" t="s">
        <v>944</v>
      </c>
      <c r="O72" s="110" t="s">
        <v>945</v>
      </c>
      <c r="P72" s="111" t="s">
        <v>29</v>
      </c>
      <c r="Q72" s="298" t="s">
        <v>936</v>
      </c>
      <c r="R72" s="298" t="s">
        <v>939</v>
      </c>
      <c r="S72" s="292" t="s">
        <v>30</v>
      </c>
      <c r="T72" s="291">
        <v>1230000</v>
      </c>
      <c r="U72" s="282">
        <f t="shared" si="0"/>
        <v>135300</v>
      </c>
      <c r="V72" s="288"/>
      <c r="W72" s="289">
        <f t="shared" si="2"/>
        <v>1365300</v>
      </c>
      <c r="X72" s="280"/>
    </row>
    <row r="73" spans="1:24" x14ac:dyDescent="0.25">
      <c r="A73" s="104">
        <f t="shared" si="1"/>
        <v>65</v>
      </c>
      <c r="B73" s="272" t="s">
        <v>725</v>
      </c>
      <c r="C73" s="106" t="s">
        <v>852</v>
      </c>
      <c r="D73" s="106" t="s">
        <v>853</v>
      </c>
      <c r="E73" s="273" t="s">
        <v>383</v>
      </c>
      <c r="F73" s="296">
        <v>22</v>
      </c>
      <c r="G73" s="109"/>
      <c r="H73" s="110"/>
      <c r="I73" s="111"/>
      <c r="J73" s="276" t="s">
        <v>299</v>
      </c>
      <c r="K73" s="297" t="s">
        <v>946</v>
      </c>
      <c r="L73" s="298" t="s">
        <v>936</v>
      </c>
      <c r="M73" s="276" t="s">
        <v>71</v>
      </c>
      <c r="N73" s="301" t="s">
        <v>947</v>
      </c>
      <c r="O73" s="110" t="s">
        <v>948</v>
      </c>
      <c r="P73" s="111" t="s">
        <v>29</v>
      </c>
      <c r="Q73" s="298" t="s">
        <v>936</v>
      </c>
      <c r="R73" s="298" t="s">
        <v>939</v>
      </c>
      <c r="S73" s="292" t="s">
        <v>30</v>
      </c>
      <c r="T73" s="291">
        <v>902000</v>
      </c>
      <c r="U73" s="282">
        <f t="shared" si="0"/>
        <v>99220</v>
      </c>
      <c r="V73" s="288"/>
      <c r="W73" s="289">
        <f t="shared" si="2"/>
        <v>1001220</v>
      </c>
      <c r="X73" s="280"/>
    </row>
    <row r="74" spans="1:24" x14ac:dyDescent="0.25">
      <c r="A74" s="104">
        <f t="shared" si="1"/>
        <v>66</v>
      </c>
      <c r="B74" s="272" t="s">
        <v>725</v>
      </c>
      <c r="C74" s="106" t="s">
        <v>852</v>
      </c>
      <c r="D74" s="106" t="s">
        <v>853</v>
      </c>
      <c r="E74" s="273" t="s">
        <v>383</v>
      </c>
      <c r="F74" s="296">
        <v>10</v>
      </c>
      <c r="G74" s="109"/>
      <c r="H74" s="110" t="s">
        <v>949</v>
      </c>
      <c r="I74" s="111"/>
      <c r="J74" s="276" t="s">
        <v>299</v>
      </c>
      <c r="K74" s="297" t="s">
        <v>950</v>
      </c>
      <c r="L74" s="298" t="s">
        <v>936</v>
      </c>
      <c r="M74" s="276" t="s">
        <v>71</v>
      </c>
      <c r="N74" s="301" t="s">
        <v>951</v>
      </c>
      <c r="O74" s="110" t="s">
        <v>952</v>
      </c>
      <c r="P74" s="111" t="s">
        <v>29</v>
      </c>
      <c r="Q74" s="298" t="s">
        <v>936</v>
      </c>
      <c r="R74" s="298" t="s">
        <v>939</v>
      </c>
      <c r="S74" s="292" t="s">
        <v>30</v>
      </c>
      <c r="T74" s="291">
        <v>410000</v>
      </c>
      <c r="U74" s="282">
        <f t="shared" ref="U74:U95" si="3">T74*11%</f>
        <v>45100</v>
      </c>
      <c r="V74" s="288"/>
      <c r="W74" s="289">
        <f t="shared" si="2"/>
        <v>455100</v>
      </c>
      <c r="X74" s="280"/>
    </row>
    <row r="75" spans="1:24" x14ac:dyDescent="0.25">
      <c r="A75" s="104">
        <f t="shared" ref="A75:A95" si="4">+A74+1</f>
        <v>67</v>
      </c>
      <c r="B75" s="272" t="s">
        <v>725</v>
      </c>
      <c r="C75" s="106" t="s">
        <v>852</v>
      </c>
      <c r="D75" s="106" t="s">
        <v>853</v>
      </c>
      <c r="E75" s="273" t="s">
        <v>383</v>
      </c>
      <c r="F75" s="296">
        <v>10</v>
      </c>
      <c r="G75" s="109"/>
      <c r="H75" s="110" t="s">
        <v>949</v>
      </c>
      <c r="I75" s="111"/>
      <c r="J75" s="276" t="s">
        <v>299</v>
      </c>
      <c r="K75" s="297" t="s">
        <v>953</v>
      </c>
      <c r="L75" s="298" t="s">
        <v>936</v>
      </c>
      <c r="M75" s="276" t="s">
        <v>71</v>
      </c>
      <c r="N75" s="301" t="s">
        <v>954</v>
      </c>
      <c r="O75" s="110" t="s">
        <v>955</v>
      </c>
      <c r="P75" s="111" t="s">
        <v>29</v>
      </c>
      <c r="Q75" s="298" t="s">
        <v>936</v>
      </c>
      <c r="R75" s="298" t="s">
        <v>939</v>
      </c>
      <c r="S75" s="292" t="s">
        <v>30</v>
      </c>
      <c r="T75" s="291">
        <v>410000</v>
      </c>
      <c r="U75" s="282">
        <f t="shared" si="3"/>
        <v>45100</v>
      </c>
      <c r="V75" s="288"/>
      <c r="W75" s="289">
        <f t="shared" si="2"/>
        <v>455100</v>
      </c>
      <c r="X75" s="280"/>
    </row>
    <row r="76" spans="1:24" x14ac:dyDescent="0.25">
      <c r="A76" s="104">
        <f t="shared" si="4"/>
        <v>68</v>
      </c>
      <c r="B76" s="272" t="s">
        <v>725</v>
      </c>
      <c r="C76" s="106" t="s">
        <v>852</v>
      </c>
      <c r="D76" s="106" t="s">
        <v>853</v>
      </c>
      <c r="E76" s="273" t="s">
        <v>383</v>
      </c>
      <c r="F76" s="296">
        <v>30</v>
      </c>
      <c r="G76" s="109"/>
      <c r="H76" s="110" t="s">
        <v>949</v>
      </c>
      <c r="I76" s="111"/>
      <c r="J76" s="276" t="s">
        <v>299</v>
      </c>
      <c r="K76" s="297" t="s">
        <v>956</v>
      </c>
      <c r="L76" s="298" t="s">
        <v>936</v>
      </c>
      <c r="M76" s="276" t="s">
        <v>71</v>
      </c>
      <c r="N76" s="301" t="s">
        <v>957</v>
      </c>
      <c r="O76" s="110" t="s">
        <v>958</v>
      </c>
      <c r="P76" s="111" t="s">
        <v>29</v>
      </c>
      <c r="Q76" s="298" t="s">
        <v>936</v>
      </c>
      <c r="R76" s="298" t="s">
        <v>939</v>
      </c>
      <c r="S76" s="292" t="s">
        <v>30</v>
      </c>
      <c r="T76" s="291">
        <v>1230000</v>
      </c>
      <c r="U76" s="282">
        <f t="shared" si="3"/>
        <v>135300</v>
      </c>
      <c r="V76" s="288"/>
      <c r="W76" s="289">
        <f t="shared" ref="W76:W95" si="5">T76+U76+V76</f>
        <v>1365300</v>
      </c>
      <c r="X76" s="280"/>
    </row>
    <row r="77" spans="1:24" x14ac:dyDescent="0.25">
      <c r="A77" s="104">
        <f t="shared" si="4"/>
        <v>69</v>
      </c>
      <c r="B77" s="272" t="s">
        <v>725</v>
      </c>
      <c r="C77" s="106" t="s">
        <v>959</v>
      </c>
      <c r="D77" s="106" t="s">
        <v>960</v>
      </c>
      <c r="E77" s="273" t="s">
        <v>961</v>
      </c>
      <c r="F77" s="274">
        <v>800</v>
      </c>
      <c r="G77" s="109"/>
      <c r="H77" s="110" t="s">
        <v>962</v>
      </c>
      <c r="I77" s="111"/>
      <c r="J77" s="276" t="s">
        <v>283</v>
      </c>
      <c r="K77" s="277" t="s">
        <v>963</v>
      </c>
      <c r="L77" s="278">
        <v>44595</v>
      </c>
      <c r="M77" s="276" t="s">
        <v>964</v>
      </c>
      <c r="N77" s="276" t="s">
        <v>965</v>
      </c>
      <c r="O77" s="110" t="s">
        <v>966</v>
      </c>
      <c r="P77" s="111" t="s">
        <v>967</v>
      </c>
      <c r="Q77" s="278">
        <v>44562</v>
      </c>
      <c r="R77" s="278" t="s">
        <v>968</v>
      </c>
      <c r="S77" s="292" t="s">
        <v>30</v>
      </c>
      <c r="T77" s="276">
        <v>176713777</v>
      </c>
      <c r="U77" s="282">
        <f t="shared" si="3"/>
        <v>19438515.469999999</v>
      </c>
      <c r="V77" s="288"/>
      <c r="W77" s="289">
        <f t="shared" si="5"/>
        <v>196152292.47</v>
      </c>
      <c r="X77" s="280"/>
    </row>
    <row r="78" spans="1:24" x14ac:dyDescent="0.25">
      <c r="A78" s="104">
        <f t="shared" si="4"/>
        <v>70</v>
      </c>
      <c r="B78" s="272" t="s">
        <v>725</v>
      </c>
      <c r="C78" s="106" t="s">
        <v>852</v>
      </c>
      <c r="D78" s="106" t="s">
        <v>969</v>
      </c>
      <c r="E78" s="273" t="s">
        <v>970</v>
      </c>
      <c r="F78" s="274">
        <v>420</v>
      </c>
      <c r="G78" s="109">
        <v>0</v>
      </c>
      <c r="H78" s="110" t="s">
        <v>971</v>
      </c>
      <c r="I78" s="111"/>
      <c r="J78" s="276" t="s">
        <v>283</v>
      </c>
      <c r="K78" s="277" t="s">
        <v>972</v>
      </c>
      <c r="L78" s="278">
        <v>44595</v>
      </c>
      <c r="M78" s="276" t="s">
        <v>964</v>
      </c>
      <c r="N78" s="276" t="s">
        <v>973</v>
      </c>
      <c r="O78" s="110" t="s">
        <v>974</v>
      </c>
      <c r="P78" s="111" t="s">
        <v>967</v>
      </c>
      <c r="Q78" s="278">
        <v>44668</v>
      </c>
      <c r="R78" s="278">
        <v>45032</v>
      </c>
      <c r="S78" s="292" t="s">
        <v>30</v>
      </c>
      <c r="T78" s="276">
        <v>65405405</v>
      </c>
      <c r="U78" s="282">
        <f t="shared" si="3"/>
        <v>7194594.5499999998</v>
      </c>
      <c r="V78" s="288"/>
      <c r="W78" s="289">
        <f t="shared" si="5"/>
        <v>72599999.549999997</v>
      </c>
      <c r="X78" s="280"/>
    </row>
    <row r="79" spans="1:24" x14ac:dyDescent="0.25">
      <c r="A79" s="104">
        <f t="shared" si="4"/>
        <v>71</v>
      </c>
      <c r="B79" s="272" t="s">
        <v>725</v>
      </c>
      <c r="C79" s="106" t="s">
        <v>959</v>
      </c>
      <c r="D79" s="106" t="s">
        <v>960</v>
      </c>
      <c r="E79" s="302" t="s">
        <v>975</v>
      </c>
      <c r="F79" s="274">
        <v>16</v>
      </c>
      <c r="G79" s="109"/>
      <c r="H79" s="110" t="s">
        <v>976</v>
      </c>
      <c r="I79" s="111" t="s">
        <v>977</v>
      </c>
      <c r="J79" s="303" t="s">
        <v>978</v>
      </c>
      <c r="K79" s="277" t="s">
        <v>979</v>
      </c>
      <c r="L79" s="278" t="s">
        <v>980</v>
      </c>
      <c r="M79" s="276" t="s">
        <v>71</v>
      </c>
      <c r="N79" s="279" t="s">
        <v>981</v>
      </c>
      <c r="O79" s="110" t="s">
        <v>982</v>
      </c>
      <c r="P79" s="111" t="s">
        <v>29</v>
      </c>
      <c r="Q79" s="278" t="s">
        <v>980</v>
      </c>
      <c r="R79" s="278" t="s">
        <v>983</v>
      </c>
      <c r="S79" s="292" t="s">
        <v>30</v>
      </c>
      <c r="T79" s="300">
        <v>2700000</v>
      </c>
      <c r="U79" s="282">
        <f t="shared" si="3"/>
        <v>297000</v>
      </c>
      <c r="V79" s="288"/>
      <c r="W79" s="289">
        <f t="shared" si="5"/>
        <v>2997000</v>
      </c>
      <c r="X79" s="280"/>
    </row>
    <row r="80" spans="1:24" x14ac:dyDescent="0.25">
      <c r="A80" s="104">
        <f t="shared" si="4"/>
        <v>72</v>
      </c>
      <c r="B80" s="272" t="s">
        <v>725</v>
      </c>
      <c r="C80" s="106" t="s">
        <v>959</v>
      </c>
      <c r="D80" s="106" t="s">
        <v>960</v>
      </c>
      <c r="E80" s="302" t="s">
        <v>975</v>
      </c>
      <c r="F80" s="274">
        <v>24</v>
      </c>
      <c r="G80" s="109"/>
      <c r="H80" s="110" t="s">
        <v>976</v>
      </c>
      <c r="I80" s="111" t="s">
        <v>977</v>
      </c>
      <c r="J80" s="303" t="s">
        <v>984</v>
      </c>
      <c r="K80" s="277" t="s">
        <v>985</v>
      </c>
      <c r="L80" s="278" t="s">
        <v>986</v>
      </c>
      <c r="M80" s="276" t="s">
        <v>71</v>
      </c>
      <c r="N80" s="279" t="s">
        <v>981</v>
      </c>
      <c r="O80" s="110" t="s">
        <v>982</v>
      </c>
      <c r="P80" s="111" t="s">
        <v>29</v>
      </c>
      <c r="Q80" s="278" t="s">
        <v>986</v>
      </c>
      <c r="R80" s="278" t="s">
        <v>987</v>
      </c>
      <c r="S80" s="292" t="s">
        <v>30</v>
      </c>
      <c r="T80" s="300">
        <v>12000000</v>
      </c>
      <c r="U80" s="282">
        <f t="shared" si="3"/>
        <v>1320000</v>
      </c>
      <c r="V80" s="288"/>
      <c r="W80" s="289">
        <f t="shared" si="5"/>
        <v>13320000</v>
      </c>
      <c r="X80" s="280"/>
    </row>
    <row r="81" spans="1:33" x14ac:dyDescent="0.25">
      <c r="A81" s="104">
        <f t="shared" si="4"/>
        <v>73</v>
      </c>
      <c r="B81" s="272" t="s">
        <v>725</v>
      </c>
      <c r="C81" s="106" t="s">
        <v>959</v>
      </c>
      <c r="D81" s="106" t="s">
        <v>960</v>
      </c>
      <c r="E81" s="302" t="s">
        <v>975</v>
      </c>
      <c r="F81" s="274">
        <v>24</v>
      </c>
      <c r="G81" s="109"/>
      <c r="H81" s="110" t="s">
        <v>976</v>
      </c>
      <c r="I81" s="111" t="s">
        <v>977</v>
      </c>
      <c r="J81" s="303" t="s">
        <v>988</v>
      </c>
      <c r="K81" s="277" t="s">
        <v>989</v>
      </c>
      <c r="L81" s="278" t="s">
        <v>986</v>
      </c>
      <c r="M81" s="276" t="s">
        <v>71</v>
      </c>
      <c r="N81" s="279" t="s">
        <v>990</v>
      </c>
      <c r="O81" s="110" t="s">
        <v>991</v>
      </c>
      <c r="P81" s="111" t="s">
        <v>29</v>
      </c>
      <c r="Q81" s="278" t="s">
        <v>986</v>
      </c>
      <c r="R81" s="278" t="s">
        <v>987</v>
      </c>
      <c r="S81" s="292" t="s">
        <v>30</v>
      </c>
      <c r="T81" s="300">
        <v>3800000</v>
      </c>
      <c r="U81" s="282">
        <f t="shared" si="3"/>
        <v>418000</v>
      </c>
      <c r="V81" s="288"/>
      <c r="W81" s="289">
        <f t="shared" si="5"/>
        <v>4218000</v>
      </c>
      <c r="X81" s="280"/>
    </row>
    <row r="82" spans="1:33" x14ac:dyDescent="0.25">
      <c r="A82" s="104">
        <f t="shared" si="4"/>
        <v>74</v>
      </c>
      <c r="B82" s="272" t="s">
        <v>725</v>
      </c>
      <c r="C82" s="106" t="s">
        <v>959</v>
      </c>
      <c r="D82" s="106" t="s">
        <v>960</v>
      </c>
      <c r="E82" s="302" t="s">
        <v>975</v>
      </c>
      <c r="F82" s="274">
        <v>24</v>
      </c>
      <c r="G82" s="109"/>
      <c r="H82" s="110" t="s">
        <v>976</v>
      </c>
      <c r="I82" s="111" t="s">
        <v>977</v>
      </c>
      <c r="J82" s="303" t="s">
        <v>992</v>
      </c>
      <c r="K82" s="277" t="s">
        <v>993</v>
      </c>
      <c r="L82" s="278" t="s">
        <v>986</v>
      </c>
      <c r="M82" s="276" t="s">
        <v>71</v>
      </c>
      <c r="N82" s="279" t="s">
        <v>994</v>
      </c>
      <c r="O82" s="110" t="s">
        <v>995</v>
      </c>
      <c r="P82" s="111" t="s">
        <v>29</v>
      </c>
      <c r="Q82" s="278" t="s">
        <v>986</v>
      </c>
      <c r="R82" s="278" t="s">
        <v>987</v>
      </c>
      <c r="S82" s="292" t="s">
        <v>30</v>
      </c>
      <c r="T82" s="304">
        <v>12000000</v>
      </c>
      <c r="U82" s="282">
        <f t="shared" si="3"/>
        <v>1320000</v>
      </c>
      <c r="V82" s="288"/>
      <c r="W82" s="289">
        <f t="shared" si="5"/>
        <v>13320000</v>
      </c>
      <c r="X82" s="280"/>
    </row>
    <row r="83" spans="1:33" x14ac:dyDescent="0.25">
      <c r="A83" s="104">
        <f t="shared" si="4"/>
        <v>75</v>
      </c>
      <c r="B83" s="272" t="s">
        <v>725</v>
      </c>
      <c r="C83" s="106" t="s">
        <v>959</v>
      </c>
      <c r="D83" s="106" t="s">
        <v>960</v>
      </c>
      <c r="E83" s="302" t="s">
        <v>975</v>
      </c>
      <c r="F83" s="274">
        <v>24</v>
      </c>
      <c r="G83" s="109"/>
      <c r="H83" s="110" t="s">
        <v>976</v>
      </c>
      <c r="I83" s="111" t="s">
        <v>977</v>
      </c>
      <c r="J83" s="303" t="s">
        <v>996</v>
      </c>
      <c r="K83" s="277" t="s">
        <v>997</v>
      </c>
      <c r="L83" s="278" t="s">
        <v>986</v>
      </c>
      <c r="M83" s="276" t="s">
        <v>71</v>
      </c>
      <c r="N83" s="279" t="s">
        <v>998</v>
      </c>
      <c r="O83" s="110" t="s">
        <v>999</v>
      </c>
      <c r="P83" s="111" t="s">
        <v>29</v>
      </c>
      <c r="Q83" s="278" t="s">
        <v>986</v>
      </c>
      <c r="R83" s="278" t="s">
        <v>987</v>
      </c>
      <c r="S83" s="292" t="s">
        <v>30</v>
      </c>
      <c r="T83" s="304">
        <v>12000000</v>
      </c>
      <c r="U83" s="282">
        <f t="shared" si="3"/>
        <v>1320000</v>
      </c>
      <c r="V83" s="288"/>
      <c r="W83" s="289">
        <f t="shared" si="5"/>
        <v>13320000</v>
      </c>
      <c r="X83" s="280"/>
    </row>
    <row r="84" spans="1:33" x14ac:dyDescent="0.25">
      <c r="A84" s="104">
        <f t="shared" si="4"/>
        <v>76</v>
      </c>
      <c r="B84" s="272" t="s">
        <v>725</v>
      </c>
      <c r="C84" s="106" t="s">
        <v>959</v>
      </c>
      <c r="D84" s="106" t="s">
        <v>960</v>
      </c>
      <c r="E84" s="302" t="s">
        <v>975</v>
      </c>
      <c r="F84" s="274">
        <v>9</v>
      </c>
      <c r="G84" s="109"/>
      <c r="H84" s="110" t="s">
        <v>976</v>
      </c>
      <c r="I84" s="111" t="s">
        <v>977</v>
      </c>
      <c r="J84" s="303" t="s">
        <v>1000</v>
      </c>
      <c r="K84" s="277" t="s">
        <v>1001</v>
      </c>
      <c r="L84" s="278">
        <v>44515</v>
      </c>
      <c r="M84" s="276" t="s">
        <v>71</v>
      </c>
      <c r="N84" s="279" t="s">
        <v>998</v>
      </c>
      <c r="O84" s="110" t="s">
        <v>999</v>
      </c>
      <c r="P84" s="111" t="s">
        <v>29</v>
      </c>
      <c r="Q84" s="278" t="s">
        <v>980</v>
      </c>
      <c r="R84" s="278" t="s">
        <v>983</v>
      </c>
      <c r="S84" s="292" t="s">
        <v>30</v>
      </c>
      <c r="T84" s="304">
        <v>1800000</v>
      </c>
      <c r="U84" s="282">
        <f t="shared" si="3"/>
        <v>198000</v>
      </c>
      <c r="V84" s="288"/>
      <c r="W84" s="289">
        <f t="shared" si="5"/>
        <v>1998000</v>
      </c>
      <c r="X84" s="280"/>
    </row>
    <row r="85" spans="1:33" x14ac:dyDescent="0.25">
      <c r="A85" s="104">
        <f t="shared" si="4"/>
        <v>77</v>
      </c>
      <c r="B85" s="272" t="s">
        <v>725</v>
      </c>
      <c r="C85" s="106" t="s">
        <v>959</v>
      </c>
      <c r="D85" s="106" t="s">
        <v>960</v>
      </c>
      <c r="E85" s="302" t="s">
        <v>975</v>
      </c>
      <c r="F85" s="274">
        <v>24</v>
      </c>
      <c r="G85" s="109"/>
      <c r="H85" s="110" t="s">
        <v>976</v>
      </c>
      <c r="I85" s="111" t="s">
        <v>977</v>
      </c>
      <c r="J85" s="303" t="s">
        <v>1002</v>
      </c>
      <c r="K85" s="277" t="s">
        <v>1003</v>
      </c>
      <c r="L85" s="278" t="s">
        <v>986</v>
      </c>
      <c r="M85" s="276" t="s">
        <v>71</v>
      </c>
      <c r="N85" s="279" t="s">
        <v>1004</v>
      </c>
      <c r="O85" s="110" t="s">
        <v>1005</v>
      </c>
      <c r="P85" s="111" t="s">
        <v>29</v>
      </c>
      <c r="Q85" s="278" t="s">
        <v>986</v>
      </c>
      <c r="R85" s="278" t="s">
        <v>987</v>
      </c>
      <c r="S85" s="292" t="s">
        <v>30</v>
      </c>
      <c r="T85" s="304">
        <v>12000000</v>
      </c>
      <c r="U85" s="282">
        <f t="shared" si="3"/>
        <v>1320000</v>
      </c>
      <c r="V85" s="288"/>
      <c r="W85" s="289">
        <f t="shared" si="5"/>
        <v>13320000</v>
      </c>
      <c r="X85" s="280"/>
    </row>
    <row r="86" spans="1:33" x14ac:dyDescent="0.25">
      <c r="A86" s="104">
        <f t="shared" si="4"/>
        <v>78</v>
      </c>
      <c r="B86" s="272" t="s">
        <v>725</v>
      </c>
      <c r="C86" s="106" t="s">
        <v>959</v>
      </c>
      <c r="D86" s="106" t="s">
        <v>960</v>
      </c>
      <c r="E86" s="302" t="s">
        <v>975</v>
      </c>
      <c r="F86" s="274">
        <v>24</v>
      </c>
      <c r="G86" s="109"/>
      <c r="H86" s="110" t="s">
        <v>976</v>
      </c>
      <c r="I86" s="111" t="s">
        <v>977</v>
      </c>
      <c r="J86" s="303" t="s">
        <v>1002</v>
      </c>
      <c r="K86" s="277" t="s">
        <v>1006</v>
      </c>
      <c r="L86" s="278" t="s">
        <v>986</v>
      </c>
      <c r="M86" s="276" t="s">
        <v>71</v>
      </c>
      <c r="N86" s="279" t="s">
        <v>1007</v>
      </c>
      <c r="O86" s="110" t="s">
        <v>1008</v>
      </c>
      <c r="P86" s="111" t="s">
        <v>29</v>
      </c>
      <c r="Q86" s="278" t="s">
        <v>986</v>
      </c>
      <c r="R86" s="278" t="s">
        <v>987</v>
      </c>
      <c r="S86" s="292" t="s">
        <v>30</v>
      </c>
      <c r="T86" s="304">
        <v>12000000</v>
      </c>
      <c r="U86" s="282">
        <f t="shared" si="3"/>
        <v>1320000</v>
      </c>
      <c r="V86" s="288"/>
      <c r="W86" s="289">
        <f t="shared" si="5"/>
        <v>13320000</v>
      </c>
      <c r="X86" s="280"/>
      <c r="AG86" s="266"/>
    </row>
    <row r="87" spans="1:33" x14ac:dyDescent="0.25">
      <c r="A87" s="104">
        <f t="shared" si="4"/>
        <v>79</v>
      </c>
      <c r="B87" s="272" t="s">
        <v>725</v>
      </c>
      <c r="C87" s="106" t="s">
        <v>959</v>
      </c>
      <c r="D87" s="106" t="s">
        <v>960</v>
      </c>
      <c r="E87" s="302" t="s">
        <v>1009</v>
      </c>
      <c r="F87" s="274">
        <v>18</v>
      </c>
      <c r="G87" s="109">
        <v>27</v>
      </c>
      <c r="H87" s="110" t="s">
        <v>1010</v>
      </c>
      <c r="I87" s="111" t="s">
        <v>1011</v>
      </c>
      <c r="J87" s="303" t="s">
        <v>1012</v>
      </c>
      <c r="K87" s="305" t="s">
        <v>1013</v>
      </c>
      <c r="L87" s="306">
        <v>44713</v>
      </c>
      <c r="M87" s="276" t="s">
        <v>71</v>
      </c>
      <c r="N87" s="279" t="s">
        <v>296</v>
      </c>
      <c r="O87" s="110" t="s">
        <v>1014</v>
      </c>
      <c r="P87" s="111" t="s">
        <v>29</v>
      </c>
      <c r="Q87" s="306">
        <v>44653</v>
      </c>
      <c r="R87" s="306">
        <v>45017</v>
      </c>
      <c r="S87" s="292" t="s">
        <v>30</v>
      </c>
      <c r="T87" s="304">
        <v>9500000</v>
      </c>
      <c r="U87" s="282">
        <f t="shared" si="3"/>
        <v>1045000</v>
      </c>
      <c r="V87" s="288"/>
      <c r="W87" s="289">
        <f t="shared" si="5"/>
        <v>10545000</v>
      </c>
      <c r="X87" s="294"/>
      <c r="AG87" s="266"/>
    </row>
    <row r="88" spans="1:33" x14ac:dyDescent="0.25">
      <c r="A88" s="104">
        <f t="shared" si="4"/>
        <v>80</v>
      </c>
      <c r="B88" s="272" t="s">
        <v>725</v>
      </c>
      <c r="C88" s="106" t="s">
        <v>959</v>
      </c>
      <c r="D88" s="106" t="s">
        <v>960</v>
      </c>
      <c r="E88" s="273" t="s">
        <v>1015</v>
      </c>
      <c r="F88" s="274">
        <v>22.2</v>
      </c>
      <c r="G88" s="109"/>
      <c r="H88" s="110" t="s">
        <v>1010</v>
      </c>
      <c r="I88" s="111" t="s">
        <v>1011</v>
      </c>
      <c r="J88" s="303" t="s">
        <v>1016</v>
      </c>
      <c r="K88" s="277" t="s">
        <v>1017</v>
      </c>
      <c r="L88" s="278">
        <v>44599</v>
      </c>
      <c r="M88" s="276" t="s">
        <v>71</v>
      </c>
      <c r="N88" s="279" t="s">
        <v>1018</v>
      </c>
      <c r="O88" s="110" t="s">
        <v>1019</v>
      </c>
      <c r="P88" s="111" t="s">
        <v>29</v>
      </c>
      <c r="Q88" s="278">
        <v>44532</v>
      </c>
      <c r="R88" s="278">
        <v>44896</v>
      </c>
      <c r="S88" s="292" t="s">
        <v>30</v>
      </c>
      <c r="T88" s="304">
        <v>6600000</v>
      </c>
      <c r="U88" s="282">
        <f t="shared" si="3"/>
        <v>726000</v>
      </c>
      <c r="V88" s="288"/>
      <c r="W88" s="289">
        <f t="shared" si="5"/>
        <v>7326000</v>
      </c>
      <c r="X88" s="280"/>
      <c r="AG88" s="266"/>
    </row>
    <row r="89" spans="1:33" x14ac:dyDescent="0.25">
      <c r="A89" s="104">
        <f t="shared" si="4"/>
        <v>81</v>
      </c>
      <c r="B89" s="272" t="s">
        <v>725</v>
      </c>
      <c r="C89" s="106" t="s">
        <v>959</v>
      </c>
      <c r="D89" s="106" t="s">
        <v>960</v>
      </c>
      <c r="E89" s="273" t="s">
        <v>1015</v>
      </c>
      <c r="F89" s="274">
        <v>22.2</v>
      </c>
      <c r="G89" s="109"/>
      <c r="H89" s="110" t="s">
        <v>1010</v>
      </c>
      <c r="I89" s="111" t="s">
        <v>1011</v>
      </c>
      <c r="J89" s="303" t="s">
        <v>1016</v>
      </c>
      <c r="K89" s="277" t="s">
        <v>1020</v>
      </c>
      <c r="L89" s="278">
        <v>44599</v>
      </c>
      <c r="M89" s="276" t="s">
        <v>71</v>
      </c>
      <c r="N89" s="303" t="s">
        <v>1021</v>
      </c>
      <c r="O89" s="110" t="s">
        <v>1022</v>
      </c>
      <c r="P89" s="111" t="s">
        <v>29</v>
      </c>
      <c r="Q89" s="278">
        <v>44532</v>
      </c>
      <c r="R89" s="278">
        <v>44896</v>
      </c>
      <c r="S89" s="292" t="s">
        <v>30</v>
      </c>
      <c r="T89" s="304">
        <v>6600000</v>
      </c>
      <c r="U89" s="282">
        <f t="shared" si="3"/>
        <v>726000</v>
      </c>
      <c r="V89" s="288"/>
      <c r="W89" s="289">
        <f t="shared" si="5"/>
        <v>7326000</v>
      </c>
      <c r="X89" s="280"/>
      <c r="AG89" s="266"/>
    </row>
    <row r="90" spans="1:33" x14ac:dyDescent="0.25">
      <c r="A90" s="104">
        <f t="shared" si="4"/>
        <v>82</v>
      </c>
      <c r="B90" s="272" t="s">
        <v>725</v>
      </c>
      <c r="C90" s="106" t="s">
        <v>1023</v>
      </c>
      <c r="D90" s="106" t="s">
        <v>73</v>
      </c>
      <c r="E90" s="302" t="s">
        <v>1024</v>
      </c>
      <c r="F90" s="274">
        <v>24</v>
      </c>
      <c r="G90" s="109"/>
      <c r="H90" s="110" t="s">
        <v>1025</v>
      </c>
      <c r="I90" s="111">
        <v>5423798</v>
      </c>
      <c r="J90" s="276" t="s">
        <v>1026</v>
      </c>
      <c r="K90" s="279" t="s">
        <v>1027</v>
      </c>
      <c r="L90" s="307" t="s">
        <v>986</v>
      </c>
      <c r="M90" s="276" t="s">
        <v>71</v>
      </c>
      <c r="N90" s="276" t="s">
        <v>1028</v>
      </c>
      <c r="O90" s="110" t="s">
        <v>1029</v>
      </c>
      <c r="P90" s="111" t="s">
        <v>29</v>
      </c>
      <c r="Q90" s="307" t="s">
        <v>986</v>
      </c>
      <c r="R90" s="307" t="s">
        <v>987</v>
      </c>
      <c r="S90" s="292" t="s">
        <v>30</v>
      </c>
      <c r="T90" s="276">
        <v>3500000</v>
      </c>
      <c r="U90" s="282">
        <f t="shared" si="3"/>
        <v>385000</v>
      </c>
      <c r="V90" s="288"/>
      <c r="W90" s="289">
        <f t="shared" si="5"/>
        <v>3885000</v>
      </c>
      <c r="X90" s="280"/>
      <c r="AG90" s="266"/>
    </row>
    <row r="91" spans="1:33" x14ac:dyDescent="0.25">
      <c r="A91" s="104">
        <f t="shared" si="4"/>
        <v>83</v>
      </c>
      <c r="B91" s="272" t="s">
        <v>725</v>
      </c>
      <c r="C91" s="106" t="s">
        <v>1030</v>
      </c>
      <c r="D91" s="106" t="s">
        <v>1030</v>
      </c>
      <c r="E91" s="273" t="s">
        <v>1031</v>
      </c>
      <c r="F91" s="274">
        <v>75</v>
      </c>
      <c r="G91" s="109"/>
      <c r="H91" s="110" t="s">
        <v>1032</v>
      </c>
      <c r="I91" s="111"/>
      <c r="J91" s="276" t="s">
        <v>1033</v>
      </c>
      <c r="K91" s="279" t="s">
        <v>1034</v>
      </c>
      <c r="L91" s="278">
        <v>44560</v>
      </c>
      <c r="M91" s="276" t="s">
        <v>71</v>
      </c>
      <c r="N91" s="276" t="s">
        <v>1035</v>
      </c>
      <c r="O91" s="110" t="s">
        <v>1036</v>
      </c>
      <c r="P91" s="111" t="s">
        <v>29</v>
      </c>
      <c r="Q91" s="308" t="s">
        <v>1037</v>
      </c>
      <c r="R91" s="308" t="s">
        <v>1038</v>
      </c>
      <c r="S91" s="292" t="s">
        <v>30</v>
      </c>
      <c r="T91" s="304">
        <v>19500000</v>
      </c>
      <c r="U91" s="282">
        <f t="shared" si="3"/>
        <v>2145000</v>
      </c>
      <c r="V91" s="288"/>
      <c r="W91" s="289">
        <f t="shared" si="5"/>
        <v>21645000</v>
      </c>
      <c r="X91" s="280"/>
      <c r="AG91" s="266"/>
    </row>
    <row r="92" spans="1:33" x14ac:dyDescent="0.25">
      <c r="A92" s="104">
        <f t="shared" si="4"/>
        <v>84</v>
      </c>
      <c r="B92" s="272" t="s">
        <v>725</v>
      </c>
      <c r="C92" s="106" t="s">
        <v>1030</v>
      </c>
      <c r="D92" s="106" t="s">
        <v>1030</v>
      </c>
      <c r="E92" s="273" t="s">
        <v>1039</v>
      </c>
      <c r="F92" s="274">
        <v>332.8</v>
      </c>
      <c r="G92" s="109">
        <v>64.5</v>
      </c>
      <c r="H92" s="110" t="s">
        <v>1040</v>
      </c>
      <c r="I92" s="111" t="s">
        <v>1041</v>
      </c>
      <c r="J92" s="276" t="s">
        <v>1042</v>
      </c>
      <c r="K92" s="279" t="s">
        <v>1043</v>
      </c>
      <c r="L92" s="278">
        <v>44501</v>
      </c>
      <c r="M92" s="276" t="s">
        <v>71</v>
      </c>
      <c r="N92" s="276" t="s">
        <v>1044</v>
      </c>
      <c r="O92" s="110" t="s">
        <v>1045</v>
      </c>
      <c r="P92" s="111" t="s">
        <v>29</v>
      </c>
      <c r="Q92" s="278">
        <v>44501</v>
      </c>
      <c r="R92" s="278" t="s">
        <v>1046</v>
      </c>
      <c r="S92" s="292" t="s">
        <v>30</v>
      </c>
      <c r="T92" s="276">
        <f>18333333+18333333</f>
        <v>36666666</v>
      </c>
      <c r="U92" s="282">
        <f t="shared" si="3"/>
        <v>4033333.2600000002</v>
      </c>
      <c r="V92" s="288"/>
      <c r="W92" s="289">
        <f t="shared" si="5"/>
        <v>40699999.259999998</v>
      </c>
      <c r="X92" s="280"/>
      <c r="AG92" s="266"/>
    </row>
    <row r="93" spans="1:33" x14ac:dyDescent="0.25">
      <c r="A93" s="104">
        <f t="shared" si="4"/>
        <v>85</v>
      </c>
      <c r="B93" s="272" t="s">
        <v>725</v>
      </c>
      <c r="C93" s="106" t="s">
        <v>1030</v>
      </c>
      <c r="D93" s="106" t="s">
        <v>1030</v>
      </c>
      <c r="E93" s="309" t="s">
        <v>1047</v>
      </c>
      <c r="F93" s="310">
        <v>90</v>
      </c>
      <c r="G93" s="109"/>
      <c r="H93" s="110"/>
      <c r="I93" s="111"/>
      <c r="J93" s="311"/>
      <c r="K93" s="312"/>
      <c r="L93" s="313"/>
      <c r="M93" s="276"/>
      <c r="N93" s="311"/>
      <c r="O93" s="110"/>
      <c r="P93" s="111"/>
      <c r="Q93" s="313"/>
      <c r="R93" s="313"/>
      <c r="S93" s="292"/>
      <c r="T93" s="276"/>
      <c r="U93" s="282">
        <f t="shared" si="3"/>
        <v>0</v>
      </c>
      <c r="V93" s="288"/>
      <c r="W93" s="289"/>
      <c r="X93" s="280"/>
      <c r="AG93" s="266"/>
    </row>
    <row r="94" spans="1:33" x14ac:dyDescent="0.25">
      <c r="A94" s="104">
        <f t="shared" si="4"/>
        <v>86</v>
      </c>
      <c r="B94" s="272" t="s">
        <v>725</v>
      </c>
      <c r="C94" s="106" t="s">
        <v>1030</v>
      </c>
      <c r="D94" s="106" t="s">
        <v>1030</v>
      </c>
      <c r="E94" s="273" t="s">
        <v>1048</v>
      </c>
      <c r="F94" s="274">
        <v>16</v>
      </c>
      <c r="G94" s="109"/>
      <c r="H94" s="110" t="s">
        <v>1049</v>
      </c>
      <c r="I94" s="111" t="s">
        <v>1050</v>
      </c>
      <c r="J94" s="276" t="s">
        <v>1051</v>
      </c>
      <c r="K94" s="279" t="s">
        <v>1052</v>
      </c>
      <c r="L94" s="278">
        <v>44763</v>
      </c>
      <c r="M94" s="276" t="s">
        <v>71</v>
      </c>
      <c r="N94" s="276" t="s">
        <v>1053</v>
      </c>
      <c r="O94" s="110" t="s">
        <v>1054</v>
      </c>
      <c r="P94" s="111" t="s">
        <v>29</v>
      </c>
      <c r="Q94" s="278">
        <v>44763</v>
      </c>
      <c r="R94" s="278">
        <v>45128</v>
      </c>
      <c r="S94" s="292" t="s">
        <v>30</v>
      </c>
      <c r="T94" s="276">
        <v>30000000</v>
      </c>
      <c r="U94" s="282">
        <f t="shared" si="3"/>
        <v>3300000</v>
      </c>
      <c r="V94" s="288"/>
      <c r="W94" s="289">
        <f t="shared" si="5"/>
        <v>33300000</v>
      </c>
      <c r="X94" s="294"/>
    </row>
    <row r="95" spans="1:33" x14ac:dyDescent="0.25">
      <c r="A95" s="104">
        <f t="shared" si="4"/>
        <v>87</v>
      </c>
      <c r="B95" s="272" t="s">
        <v>725</v>
      </c>
      <c r="C95" s="106" t="s">
        <v>1030</v>
      </c>
      <c r="D95" s="106" t="s">
        <v>1030</v>
      </c>
      <c r="E95" s="273" t="s">
        <v>1055</v>
      </c>
      <c r="F95" s="274">
        <v>1390</v>
      </c>
      <c r="G95" s="109">
        <v>45</v>
      </c>
      <c r="H95" s="110" t="s">
        <v>1056</v>
      </c>
      <c r="I95" s="111" t="s">
        <v>1057</v>
      </c>
      <c r="J95" s="276" t="s">
        <v>167</v>
      </c>
      <c r="K95" s="279" t="s">
        <v>1058</v>
      </c>
      <c r="L95" s="278">
        <v>44635</v>
      </c>
      <c r="M95" s="276" t="s">
        <v>71</v>
      </c>
      <c r="N95" s="276" t="s">
        <v>1059</v>
      </c>
      <c r="O95" s="110" t="s">
        <v>1060</v>
      </c>
      <c r="P95" s="111" t="s">
        <v>29</v>
      </c>
      <c r="Q95" s="278">
        <v>44627</v>
      </c>
      <c r="R95" s="278">
        <v>45357</v>
      </c>
      <c r="S95" s="292" t="s">
        <v>30</v>
      </c>
      <c r="T95" s="276">
        <v>50000000</v>
      </c>
      <c r="U95" s="282">
        <f t="shared" si="3"/>
        <v>5500000</v>
      </c>
      <c r="V95" s="288"/>
      <c r="W95" s="289">
        <f t="shared" si="5"/>
        <v>55500000</v>
      </c>
      <c r="X95" s="280"/>
    </row>
    <row r="96" spans="1:33" x14ac:dyDescent="0.25">
      <c r="A96" s="314"/>
      <c r="B96" s="315"/>
      <c r="C96" s="316"/>
      <c r="D96" s="122"/>
      <c r="E96" s="317"/>
      <c r="F96" s="318"/>
      <c r="G96" s="319"/>
      <c r="H96" s="320"/>
      <c r="I96" s="321"/>
      <c r="J96" s="322"/>
      <c r="K96" s="323"/>
      <c r="L96" s="324"/>
      <c r="M96" s="325"/>
      <c r="N96" s="326"/>
      <c r="O96" s="327"/>
      <c r="P96" s="328"/>
      <c r="Q96" s="329"/>
      <c r="R96" s="329"/>
      <c r="S96" s="330"/>
      <c r="T96" s="331"/>
      <c r="U96" s="332"/>
      <c r="V96" s="333"/>
      <c r="W96" s="334"/>
      <c r="X96" s="333"/>
    </row>
    <row r="97" spans="1:26" x14ac:dyDescent="0.25">
      <c r="A97" s="335"/>
      <c r="B97" s="336"/>
      <c r="C97" s="337"/>
      <c r="D97" s="336"/>
      <c r="E97" s="338"/>
      <c r="F97" s="339"/>
      <c r="G97" s="340"/>
      <c r="H97" s="341"/>
      <c r="I97" s="337"/>
      <c r="J97" s="342"/>
      <c r="K97" s="343"/>
      <c r="L97" s="337"/>
      <c r="M97" s="337"/>
      <c r="N97" s="337"/>
      <c r="O97" s="344"/>
      <c r="P97" s="345"/>
      <c r="Q97" s="346"/>
      <c r="R97" s="346"/>
      <c r="S97" s="346"/>
      <c r="T97" s="346"/>
      <c r="U97" s="346"/>
      <c r="V97" s="346"/>
      <c r="W97" s="346"/>
      <c r="X97" s="346"/>
    </row>
    <row r="98" spans="1:26" x14ac:dyDescent="0.25">
      <c r="A98" s="80"/>
      <c r="B98" s="80"/>
      <c r="C98" s="80"/>
      <c r="D98" s="80"/>
      <c r="E98" s="80"/>
      <c r="F98" s="347"/>
      <c r="G98" s="80"/>
      <c r="H98" s="80"/>
      <c r="I98" s="80"/>
      <c r="J98" s="80"/>
      <c r="K98" s="348"/>
      <c r="L98" s="80"/>
      <c r="M98" s="80"/>
      <c r="N98" s="80"/>
      <c r="O98" s="349"/>
      <c r="P98" s="350"/>
      <c r="Q98" s="349"/>
      <c r="R98" s="349"/>
      <c r="S98" s="349"/>
      <c r="T98" s="140">
        <f>SUM(T10:T97)</f>
        <v>618154848</v>
      </c>
      <c r="U98" s="140">
        <f>SUM(U10:U97)</f>
        <v>67997033.280000001</v>
      </c>
      <c r="V98" s="140">
        <f>SUM(V10:V97)</f>
        <v>0</v>
      </c>
      <c r="W98" s="140">
        <f>SUM(W10:W97)</f>
        <v>686151881.27999997</v>
      </c>
      <c r="X98" s="140">
        <f t="shared" ref="X98" si="6">SUM(X10:X97)</f>
        <v>0</v>
      </c>
    </row>
    <row r="99" spans="1:26" x14ac:dyDescent="0.25">
      <c r="K99" s="351"/>
      <c r="Z99" s="24"/>
    </row>
    <row r="100" spans="1:26" x14ac:dyDescent="0.25">
      <c r="A100" s="352"/>
      <c r="B100" s="352"/>
      <c r="C100" s="352"/>
      <c r="D100" s="352"/>
      <c r="E100" s="352"/>
      <c r="F100" s="352"/>
      <c r="G100" s="353"/>
      <c r="H100" s="352"/>
      <c r="I100" s="352"/>
      <c r="J100" s="354"/>
      <c r="K100" s="355"/>
      <c r="L100" s="352"/>
      <c r="M100" s="352"/>
      <c r="N100" s="352"/>
      <c r="O100" s="352"/>
      <c r="P100" s="352"/>
      <c r="Q100" s="356"/>
      <c r="R100" s="356"/>
      <c r="S100" s="356"/>
      <c r="T100" s="356"/>
      <c r="U100" s="356"/>
      <c r="V100" s="356"/>
      <c r="W100" s="265"/>
      <c r="X100" s="354"/>
      <c r="Y100" s="265"/>
      <c r="Z100" s="24"/>
    </row>
    <row r="101" spans="1:26" x14ac:dyDescent="0.25">
      <c r="A101" s="357" t="s">
        <v>1061</v>
      </c>
      <c r="B101" s="358"/>
      <c r="C101" s="352"/>
      <c r="D101" s="352"/>
      <c r="G101" s="353"/>
      <c r="H101" s="358"/>
      <c r="J101" s="359"/>
      <c r="K101" s="357"/>
      <c r="L101" s="358"/>
      <c r="M101" s="358"/>
      <c r="O101" s="352"/>
      <c r="P101" s="352"/>
      <c r="Q101" s="358"/>
      <c r="R101" s="356"/>
      <c r="S101" s="356"/>
      <c r="T101" s="356"/>
      <c r="U101" s="356"/>
      <c r="V101" s="356"/>
      <c r="W101" s="352"/>
      <c r="X101" s="360"/>
      <c r="Y101" s="361"/>
      <c r="Z101" s="24"/>
    </row>
    <row r="102" spans="1:26" x14ac:dyDescent="0.25">
      <c r="A102" s="358" t="s">
        <v>1062</v>
      </c>
      <c r="B102" s="358"/>
      <c r="C102" s="352"/>
      <c r="D102" s="352"/>
      <c r="G102" s="353"/>
      <c r="H102" s="358"/>
      <c r="J102" s="358"/>
      <c r="K102" s="357"/>
      <c r="L102" s="358"/>
      <c r="M102" s="358"/>
      <c r="O102" s="352"/>
      <c r="P102" s="352"/>
      <c r="Q102" s="358"/>
      <c r="R102" s="356"/>
      <c r="S102" s="356"/>
      <c r="T102" s="356"/>
      <c r="U102" s="356"/>
      <c r="V102" s="356"/>
      <c r="W102" s="352"/>
      <c r="X102" s="356"/>
      <c r="Y102" s="361"/>
    </row>
    <row r="103" spans="1:26" x14ac:dyDescent="0.25">
      <c r="A103" s="362"/>
      <c r="B103" s="362"/>
      <c r="C103" s="356"/>
      <c r="D103" s="356"/>
      <c r="G103" s="363"/>
      <c r="H103" s="362"/>
      <c r="J103" s="362"/>
      <c r="K103" s="364"/>
      <c r="L103" s="362"/>
      <c r="M103" s="362"/>
      <c r="O103" s="356"/>
      <c r="P103" s="356"/>
      <c r="Q103" s="356"/>
      <c r="R103" s="356"/>
      <c r="S103" s="356"/>
      <c r="T103" s="356"/>
      <c r="U103" s="356"/>
      <c r="V103" s="356"/>
      <c r="W103" s="356"/>
      <c r="X103" s="356"/>
      <c r="Y103" s="361"/>
    </row>
    <row r="104" spans="1:26" x14ac:dyDescent="0.25">
      <c r="A104" s="362"/>
      <c r="B104" s="362"/>
      <c r="C104" s="356"/>
      <c r="D104" s="356"/>
      <c r="G104" s="363"/>
      <c r="H104" s="362"/>
      <c r="J104" s="362"/>
      <c r="K104" s="364"/>
      <c r="L104" s="362"/>
      <c r="M104" s="362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61"/>
    </row>
    <row r="105" spans="1:26" x14ac:dyDescent="0.25">
      <c r="A105" s="365"/>
      <c r="B105" s="358"/>
      <c r="C105" s="356"/>
      <c r="D105" s="356"/>
      <c r="G105" s="363"/>
      <c r="H105" s="365"/>
      <c r="J105" s="365"/>
      <c r="K105" s="366"/>
      <c r="L105" s="365"/>
      <c r="M105" s="365"/>
      <c r="O105" s="356"/>
      <c r="P105" s="356"/>
      <c r="Q105" s="356"/>
      <c r="R105" s="356"/>
      <c r="S105" s="356"/>
      <c r="T105" s="356"/>
      <c r="U105" s="356"/>
      <c r="V105" s="356"/>
      <c r="W105" s="356"/>
      <c r="X105" s="352"/>
      <c r="Y105" s="265"/>
    </row>
    <row r="106" spans="1:26" x14ac:dyDescent="0.25">
      <c r="A106" s="358"/>
      <c r="B106" s="362"/>
      <c r="C106" s="356"/>
      <c r="D106" s="356"/>
      <c r="G106" s="363"/>
      <c r="H106" s="358"/>
      <c r="J106" s="358"/>
      <c r="K106" s="357"/>
      <c r="L106" s="358"/>
      <c r="M106" s="358"/>
      <c r="O106" s="356"/>
      <c r="P106" s="356"/>
      <c r="Q106" s="356"/>
      <c r="R106" s="356"/>
      <c r="S106" s="356"/>
      <c r="T106" s="356"/>
      <c r="U106" s="356"/>
      <c r="V106" s="356"/>
      <c r="W106" s="356"/>
      <c r="Y106" s="266"/>
    </row>
    <row r="107" spans="1:26" x14ac:dyDescent="0.25">
      <c r="A107" s="352" t="s">
        <v>1063</v>
      </c>
      <c r="B107" s="352"/>
      <c r="C107" s="352"/>
      <c r="D107" s="352"/>
      <c r="G107" s="353"/>
      <c r="H107" s="352"/>
      <c r="J107" s="352"/>
      <c r="K107" s="355"/>
      <c r="L107" s="352"/>
      <c r="M107" s="352"/>
      <c r="O107" s="352"/>
      <c r="P107" s="352"/>
      <c r="Q107" s="352"/>
      <c r="R107" s="352"/>
      <c r="S107" s="352"/>
      <c r="T107" s="352"/>
      <c r="U107" s="352"/>
      <c r="V107" s="352"/>
      <c r="W107" s="352"/>
      <c r="Y107" s="266"/>
    </row>
    <row r="108" spans="1:26" x14ac:dyDescent="0.25">
      <c r="K108" s="351"/>
    </row>
    <row r="109" spans="1:26" x14ac:dyDescent="0.25">
      <c r="K109" s="351"/>
    </row>
    <row r="110" spans="1:26" x14ac:dyDescent="0.25">
      <c r="K110" s="351"/>
    </row>
    <row r="111" spans="1:26" x14ac:dyDescent="0.25">
      <c r="K111" s="351"/>
    </row>
    <row r="112" spans="1:26" x14ac:dyDescent="0.25">
      <c r="K112" s="351"/>
    </row>
    <row r="113" spans="11:11" x14ac:dyDescent="0.25">
      <c r="K113" s="351"/>
    </row>
    <row r="114" spans="11:11" x14ac:dyDescent="0.25">
      <c r="K114" s="351"/>
    </row>
    <row r="115" spans="11:11" x14ac:dyDescent="0.25">
      <c r="K115" s="351"/>
    </row>
    <row r="116" spans="11:11" x14ac:dyDescent="0.25">
      <c r="K116" s="351"/>
    </row>
    <row r="117" spans="11:11" x14ac:dyDescent="0.25">
      <c r="K117" s="351"/>
    </row>
    <row r="118" spans="11:11" x14ac:dyDescent="0.25">
      <c r="K118" s="351"/>
    </row>
  </sheetData>
  <mergeCells count="12">
    <mergeCell ref="K6:M6"/>
    <mergeCell ref="N6:P6"/>
    <mergeCell ref="Q6:S6"/>
    <mergeCell ref="T6:W6"/>
    <mergeCell ref="X6:X7"/>
    <mergeCell ref="J6:J7"/>
    <mergeCell ref="F8:G8"/>
    <mergeCell ref="A6:A7"/>
    <mergeCell ref="B6:B7"/>
    <mergeCell ref="C6:C7"/>
    <mergeCell ref="D6:D7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7" workbookViewId="0">
      <pane xSplit="3" ySplit="3" topLeftCell="P28" activePane="bottomRight" state="frozen"/>
      <selection activeCell="A7" sqref="A7"/>
      <selection pane="topRight" activeCell="D7" sqref="D7"/>
      <selection pane="bottomLeft" activeCell="A10" sqref="A10"/>
      <selection pane="bottomRight" activeCell="R40" sqref="R40"/>
    </sheetView>
  </sheetViews>
  <sheetFormatPr defaultRowHeight="15" x14ac:dyDescent="0.25"/>
  <cols>
    <col min="1" max="1" width="5" style="367" customWidth="1"/>
    <col min="2" max="2" width="12.28515625" style="367" bestFit="1" customWidth="1"/>
    <col min="3" max="3" width="47.28515625" style="367" bestFit="1" customWidth="1"/>
    <col min="4" max="4" width="6.7109375" style="367" bestFit="1" customWidth="1"/>
    <col min="5" max="5" width="10" style="367" bestFit="1" customWidth="1"/>
    <col min="6" max="6" width="47.7109375" style="367" bestFit="1" customWidth="1"/>
    <col min="7" max="7" width="36.28515625" style="367" bestFit="1" customWidth="1"/>
    <col min="8" max="8" width="21.85546875" style="367" bestFit="1" customWidth="1"/>
    <col min="9" max="9" width="34.7109375" style="367" bestFit="1" customWidth="1"/>
    <col min="10" max="10" width="12.85546875" style="367" bestFit="1" customWidth="1"/>
    <col min="11" max="11" width="6.42578125" style="367" bestFit="1" customWidth="1"/>
    <col min="12" max="12" width="24.85546875" style="367" customWidth="1"/>
    <col min="13" max="13" width="63.42578125" style="367" bestFit="1" customWidth="1"/>
    <col min="14" max="14" width="10.28515625" style="367" customWidth="1"/>
    <col min="15" max="16" width="15.28515625" style="367" bestFit="1" customWidth="1"/>
    <col min="17" max="17" width="13.140625" style="367" bestFit="1" customWidth="1"/>
    <col min="18" max="18" width="13.85546875" style="367" bestFit="1" customWidth="1"/>
    <col min="19" max="19" width="13" style="367" customWidth="1"/>
    <col min="20" max="20" width="8.28515625" style="367" customWidth="1"/>
    <col min="21" max="21" width="13.85546875" style="367" bestFit="1" customWidth="1"/>
    <col min="22" max="22" width="19" style="367" customWidth="1"/>
    <col min="23" max="23" width="7.42578125" style="367" customWidth="1"/>
    <col min="24" max="24" width="9.140625" style="367"/>
    <col min="25" max="25" width="21.140625" style="367" customWidth="1"/>
    <col min="26" max="16384" width="9.140625" style="367"/>
  </cols>
  <sheetData>
    <row r="1" spans="1:24" x14ac:dyDescent="0.25">
      <c r="A1" s="368" t="s">
        <v>0</v>
      </c>
    </row>
    <row r="2" spans="1:24" x14ac:dyDescent="0.25">
      <c r="A2" s="368" t="s">
        <v>75</v>
      </c>
    </row>
    <row r="3" spans="1:24" x14ac:dyDescent="0.25">
      <c r="A3" s="368" t="s">
        <v>76</v>
      </c>
    </row>
    <row r="4" spans="1:24" x14ac:dyDescent="0.25">
      <c r="A4" s="368"/>
    </row>
    <row r="5" spans="1:24" ht="15.75" thickBot="1" x14ac:dyDescent="0.3"/>
    <row r="6" spans="1:24" ht="23.1" customHeight="1" x14ac:dyDescent="0.25">
      <c r="A6" s="778" t="s">
        <v>2</v>
      </c>
      <c r="B6" s="780" t="s">
        <v>3</v>
      </c>
      <c r="C6" s="782" t="s">
        <v>4</v>
      </c>
      <c r="D6" s="783"/>
      <c r="E6" s="783"/>
      <c r="F6" s="783"/>
      <c r="G6" s="784"/>
      <c r="H6" s="773" t="s">
        <v>5</v>
      </c>
      <c r="I6" s="770" t="s">
        <v>6</v>
      </c>
      <c r="J6" s="771"/>
      <c r="K6" s="772"/>
      <c r="L6" s="782" t="s">
        <v>7</v>
      </c>
      <c r="M6" s="783"/>
      <c r="N6" s="784"/>
      <c r="O6" s="770" t="s">
        <v>8</v>
      </c>
      <c r="P6" s="771"/>
      <c r="Q6" s="772"/>
      <c r="R6" s="773" t="s">
        <v>9</v>
      </c>
      <c r="S6" s="773"/>
      <c r="T6" s="773"/>
      <c r="U6" s="773"/>
      <c r="V6" s="774" t="s">
        <v>10</v>
      </c>
    </row>
    <row r="7" spans="1:24" ht="33.75" x14ac:dyDescent="0.25">
      <c r="A7" s="779"/>
      <c r="B7" s="781"/>
      <c r="C7" s="36" t="s">
        <v>11</v>
      </c>
      <c r="D7" s="36" t="s">
        <v>12</v>
      </c>
      <c r="E7" s="596" t="s">
        <v>77</v>
      </c>
      <c r="F7" s="596" t="s">
        <v>14</v>
      </c>
      <c r="G7" s="596" t="s">
        <v>78</v>
      </c>
      <c r="H7" s="785"/>
      <c r="I7" s="38" t="s">
        <v>16</v>
      </c>
      <c r="J7" s="38" t="s">
        <v>17</v>
      </c>
      <c r="K7" s="597" t="s">
        <v>18</v>
      </c>
      <c r="L7" s="597" t="s">
        <v>19</v>
      </c>
      <c r="M7" s="597" t="s">
        <v>14</v>
      </c>
      <c r="N7" s="597" t="s">
        <v>20</v>
      </c>
      <c r="O7" s="38" t="s">
        <v>21</v>
      </c>
      <c r="P7" s="38" t="s">
        <v>22</v>
      </c>
      <c r="Q7" s="36" t="s">
        <v>23</v>
      </c>
      <c r="R7" s="36" t="s">
        <v>24</v>
      </c>
      <c r="S7" s="36" t="s">
        <v>25</v>
      </c>
      <c r="T7" s="36" t="s">
        <v>26</v>
      </c>
      <c r="U7" s="36" t="s">
        <v>27</v>
      </c>
      <c r="V7" s="775"/>
    </row>
    <row r="8" spans="1:24" x14ac:dyDescent="0.25">
      <c r="A8" s="602">
        <v>1</v>
      </c>
      <c r="B8" s="602">
        <v>2</v>
      </c>
      <c r="C8" s="602">
        <v>3</v>
      </c>
      <c r="D8" s="776">
        <v>4</v>
      </c>
      <c r="E8" s="777"/>
      <c r="F8" s="602">
        <v>5</v>
      </c>
      <c r="G8" s="602">
        <v>6</v>
      </c>
      <c r="H8" s="602">
        <v>7</v>
      </c>
      <c r="I8" s="602">
        <v>8</v>
      </c>
      <c r="J8" s="602">
        <v>9</v>
      </c>
      <c r="K8" s="602">
        <v>10</v>
      </c>
      <c r="L8" s="602">
        <v>11</v>
      </c>
      <c r="M8" s="602">
        <v>12</v>
      </c>
      <c r="N8" s="602">
        <v>13</v>
      </c>
      <c r="O8" s="602">
        <v>14</v>
      </c>
      <c r="P8" s="602">
        <v>15</v>
      </c>
      <c r="Q8" s="602">
        <v>16</v>
      </c>
      <c r="R8" s="602">
        <v>17</v>
      </c>
      <c r="S8" s="602">
        <v>18</v>
      </c>
      <c r="T8" s="602">
        <v>19</v>
      </c>
      <c r="U8" s="602">
        <v>20</v>
      </c>
      <c r="V8" s="602">
        <v>27</v>
      </c>
    </row>
    <row r="9" spans="1:24" x14ac:dyDescent="0.25">
      <c r="A9" s="603"/>
      <c r="B9" s="604"/>
      <c r="C9" s="605"/>
      <c r="D9" s="605"/>
      <c r="E9" s="605"/>
      <c r="F9" s="605"/>
      <c r="G9" s="605"/>
      <c r="H9" s="605"/>
      <c r="I9" s="605"/>
      <c r="J9" s="605"/>
      <c r="K9" s="605"/>
      <c r="L9" s="605"/>
      <c r="M9" s="605"/>
      <c r="N9" s="605"/>
      <c r="O9" s="605"/>
      <c r="P9" s="605"/>
      <c r="Q9" s="605"/>
      <c r="R9" s="605"/>
      <c r="S9" s="605"/>
      <c r="T9" s="605"/>
      <c r="U9" s="605"/>
      <c r="V9" s="606"/>
    </row>
    <row r="10" spans="1:24" x14ac:dyDescent="0.25">
      <c r="A10" s="607">
        <v>1</v>
      </c>
      <c r="B10" s="607" t="s">
        <v>79</v>
      </c>
      <c r="C10" s="608" t="s">
        <v>80</v>
      </c>
      <c r="D10" s="609">
        <v>54</v>
      </c>
      <c r="E10" s="610">
        <v>45</v>
      </c>
      <c r="F10" s="607" t="s">
        <v>81</v>
      </c>
      <c r="G10" s="607" t="s">
        <v>82</v>
      </c>
      <c r="H10" s="610" t="s">
        <v>83</v>
      </c>
      <c r="I10" s="611" t="s">
        <v>1517</v>
      </c>
      <c r="J10" s="612" t="s">
        <v>85</v>
      </c>
      <c r="K10" s="607" t="s">
        <v>71</v>
      </c>
      <c r="L10" s="613" t="s">
        <v>86</v>
      </c>
      <c r="M10" s="614" t="s">
        <v>87</v>
      </c>
      <c r="N10" s="607" t="s">
        <v>29</v>
      </c>
      <c r="O10" s="612" t="s">
        <v>85</v>
      </c>
      <c r="P10" s="615" t="s">
        <v>88</v>
      </c>
      <c r="Q10" s="607" t="s">
        <v>30</v>
      </c>
      <c r="R10" s="616">
        <v>68400000</v>
      </c>
      <c r="S10" s="610">
        <f>+R10*0.11</f>
        <v>7524000</v>
      </c>
      <c r="T10" s="617">
        <v>0</v>
      </c>
      <c r="U10" s="618">
        <f>T10+S10+R10</f>
        <v>75924000</v>
      </c>
      <c r="V10" s="619" t="s">
        <v>1518</v>
      </c>
      <c r="W10" s="2"/>
      <c r="X10" s="2"/>
    </row>
    <row r="11" spans="1:24" x14ac:dyDescent="0.25">
      <c r="A11" s="607">
        <v>2</v>
      </c>
      <c r="B11" s="607" t="s">
        <v>79</v>
      </c>
      <c r="C11" s="608" t="s">
        <v>90</v>
      </c>
      <c r="D11" s="620">
        <v>18</v>
      </c>
      <c r="E11" s="610">
        <v>15</v>
      </c>
      <c r="F11" s="607" t="s">
        <v>81</v>
      </c>
      <c r="G11" s="607" t="s">
        <v>82</v>
      </c>
      <c r="H11" s="610" t="s">
        <v>83</v>
      </c>
      <c r="I11" s="611" t="s">
        <v>1519</v>
      </c>
      <c r="J11" s="612" t="s">
        <v>85</v>
      </c>
      <c r="K11" s="607" t="s">
        <v>71</v>
      </c>
      <c r="L11" s="613" t="s">
        <v>92</v>
      </c>
      <c r="M11" s="621" t="s">
        <v>93</v>
      </c>
      <c r="N11" s="607" t="s">
        <v>29</v>
      </c>
      <c r="O11" s="612" t="s">
        <v>85</v>
      </c>
      <c r="P11" s="615" t="s">
        <v>88</v>
      </c>
      <c r="Q11" s="607" t="s">
        <v>30</v>
      </c>
      <c r="R11" s="616">
        <v>22800000</v>
      </c>
      <c r="S11" s="610">
        <f t="shared" ref="S11:S30" si="0">+R11*0.11</f>
        <v>2508000</v>
      </c>
      <c r="T11" s="617">
        <v>0</v>
      </c>
      <c r="U11" s="618">
        <f t="shared" ref="U11:U30" si="1">T11+S11+R11</f>
        <v>25308000</v>
      </c>
      <c r="V11" s="619" t="s">
        <v>1518</v>
      </c>
      <c r="W11" s="53"/>
      <c r="X11" s="54"/>
    </row>
    <row r="12" spans="1:24" x14ac:dyDescent="0.25">
      <c r="A12" s="607">
        <v>3</v>
      </c>
      <c r="B12" s="607" t="s">
        <v>79</v>
      </c>
      <c r="C12" s="608" t="s">
        <v>94</v>
      </c>
      <c r="D12" s="620">
        <v>18</v>
      </c>
      <c r="E12" s="610">
        <v>15</v>
      </c>
      <c r="F12" s="607" t="s">
        <v>81</v>
      </c>
      <c r="G12" s="607" t="s">
        <v>82</v>
      </c>
      <c r="H12" s="610" t="s">
        <v>83</v>
      </c>
      <c r="I12" s="611" t="s">
        <v>1520</v>
      </c>
      <c r="J12" s="612" t="s">
        <v>85</v>
      </c>
      <c r="K12" s="607" t="s">
        <v>71</v>
      </c>
      <c r="L12" s="613" t="s">
        <v>96</v>
      </c>
      <c r="M12" s="621" t="s">
        <v>97</v>
      </c>
      <c r="N12" s="607" t="s">
        <v>29</v>
      </c>
      <c r="O12" s="612" t="s">
        <v>85</v>
      </c>
      <c r="P12" s="615" t="s">
        <v>88</v>
      </c>
      <c r="Q12" s="607" t="s">
        <v>30</v>
      </c>
      <c r="R12" s="616">
        <v>22800000</v>
      </c>
      <c r="S12" s="610">
        <f t="shared" si="0"/>
        <v>2508000</v>
      </c>
      <c r="T12" s="617">
        <v>0</v>
      </c>
      <c r="U12" s="618">
        <f t="shared" si="1"/>
        <v>25308000</v>
      </c>
      <c r="V12" s="619" t="s">
        <v>1518</v>
      </c>
      <c r="W12" s="53"/>
      <c r="X12" s="54"/>
    </row>
    <row r="13" spans="1:24" x14ac:dyDescent="0.25">
      <c r="A13" s="607">
        <v>4</v>
      </c>
      <c r="B13" s="607" t="s">
        <v>79</v>
      </c>
      <c r="C13" s="608" t="s">
        <v>98</v>
      </c>
      <c r="D13" s="620">
        <v>18</v>
      </c>
      <c r="E13" s="610">
        <v>15</v>
      </c>
      <c r="F13" s="607" t="s">
        <v>81</v>
      </c>
      <c r="G13" s="607" t="s">
        <v>82</v>
      </c>
      <c r="H13" s="610" t="s">
        <v>83</v>
      </c>
      <c r="I13" s="611" t="s">
        <v>1521</v>
      </c>
      <c r="J13" s="612" t="s">
        <v>85</v>
      </c>
      <c r="K13" s="607" t="s">
        <v>71</v>
      </c>
      <c r="L13" s="613" t="s">
        <v>100</v>
      </c>
      <c r="M13" s="621" t="s">
        <v>101</v>
      </c>
      <c r="N13" s="607" t="s">
        <v>29</v>
      </c>
      <c r="O13" s="612" t="s">
        <v>85</v>
      </c>
      <c r="P13" s="615" t="s">
        <v>88</v>
      </c>
      <c r="Q13" s="607" t="s">
        <v>30</v>
      </c>
      <c r="R13" s="616">
        <v>22800000</v>
      </c>
      <c r="S13" s="610">
        <f t="shared" si="0"/>
        <v>2508000</v>
      </c>
      <c r="T13" s="617">
        <v>0</v>
      </c>
      <c r="U13" s="618">
        <f t="shared" si="1"/>
        <v>25308000</v>
      </c>
      <c r="V13" s="619" t="s">
        <v>1518</v>
      </c>
      <c r="W13" s="53"/>
      <c r="X13" s="54"/>
    </row>
    <row r="14" spans="1:24" x14ac:dyDescent="0.25">
      <c r="A14" s="607">
        <v>5</v>
      </c>
      <c r="B14" s="607" t="s">
        <v>79</v>
      </c>
      <c r="C14" s="608" t="s">
        <v>102</v>
      </c>
      <c r="D14" s="620">
        <v>18</v>
      </c>
      <c r="E14" s="610">
        <v>15</v>
      </c>
      <c r="F14" s="607" t="s">
        <v>81</v>
      </c>
      <c r="G14" s="607" t="s">
        <v>82</v>
      </c>
      <c r="H14" s="610" t="s">
        <v>83</v>
      </c>
      <c r="I14" s="611" t="s">
        <v>1522</v>
      </c>
      <c r="J14" s="612" t="s">
        <v>85</v>
      </c>
      <c r="K14" s="607" t="s">
        <v>71</v>
      </c>
      <c r="L14" s="613" t="s">
        <v>104</v>
      </c>
      <c r="M14" s="621" t="s">
        <v>105</v>
      </c>
      <c r="N14" s="607" t="s">
        <v>29</v>
      </c>
      <c r="O14" s="612" t="s">
        <v>85</v>
      </c>
      <c r="P14" s="615" t="s">
        <v>88</v>
      </c>
      <c r="Q14" s="607" t="s">
        <v>30</v>
      </c>
      <c r="R14" s="616">
        <v>22800000</v>
      </c>
      <c r="S14" s="610">
        <f t="shared" si="0"/>
        <v>2508000</v>
      </c>
      <c r="T14" s="617">
        <v>0</v>
      </c>
      <c r="U14" s="618">
        <f t="shared" si="1"/>
        <v>25308000</v>
      </c>
      <c r="V14" s="619" t="s">
        <v>1518</v>
      </c>
      <c r="W14" s="2"/>
      <c r="X14" s="54"/>
    </row>
    <row r="15" spans="1:24" x14ac:dyDescent="0.25">
      <c r="A15" s="607">
        <v>6</v>
      </c>
      <c r="B15" s="607" t="s">
        <v>79</v>
      </c>
      <c r="C15" s="608" t="s">
        <v>106</v>
      </c>
      <c r="D15" s="620">
        <v>18</v>
      </c>
      <c r="E15" s="610">
        <v>15</v>
      </c>
      <c r="F15" s="607" t="s">
        <v>81</v>
      </c>
      <c r="G15" s="607" t="s">
        <v>82</v>
      </c>
      <c r="H15" s="610" t="s">
        <v>83</v>
      </c>
      <c r="I15" s="611" t="s">
        <v>1523</v>
      </c>
      <c r="J15" s="612" t="s">
        <v>85</v>
      </c>
      <c r="K15" s="607" t="s">
        <v>71</v>
      </c>
      <c r="L15" s="613" t="s">
        <v>108</v>
      </c>
      <c r="M15" s="621" t="s">
        <v>109</v>
      </c>
      <c r="N15" s="607" t="s">
        <v>29</v>
      </c>
      <c r="O15" s="612" t="s">
        <v>85</v>
      </c>
      <c r="P15" s="615" t="s">
        <v>88</v>
      </c>
      <c r="Q15" s="607" t="s">
        <v>30</v>
      </c>
      <c r="R15" s="616">
        <v>22800000</v>
      </c>
      <c r="S15" s="610">
        <f t="shared" si="0"/>
        <v>2508000</v>
      </c>
      <c r="T15" s="617">
        <v>0</v>
      </c>
      <c r="U15" s="618">
        <f t="shared" si="1"/>
        <v>25308000</v>
      </c>
      <c r="V15" s="619" t="s">
        <v>1518</v>
      </c>
      <c r="W15" s="2"/>
      <c r="X15" s="54"/>
    </row>
    <row r="16" spans="1:24" x14ac:dyDescent="0.25">
      <c r="A16" s="607">
        <v>7</v>
      </c>
      <c r="B16" s="607" t="s">
        <v>79</v>
      </c>
      <c r="C16" s="608" t="s">
        <v>110</v>
      </c>
      <c r="D16" s="620">
        <v>18</v>
      </c>
      <c r="E16" s="610">
        <v>15</v>
      </c>
      <c r="F16" s="607" t="s">
        <v>81</v>
      </c>
      <c r="G16" s="607" t="s">
        <v>82</v>
      </c>
      <c r="H16" s="610" t="s">
        <v>83</v>
      </c>
      <c r="I16" s="611" t="s">
        <v>1524</v>
      </c>
      <c r="J16" s="612" t="s">
        <v>85</v>
      </c>
      <c r="K16" s="607" t="s">
        <v>71</v>
      </c>
      <c r="L16" s="613" t="s">
        <v>112</v>
      </c>
      <c r="M16" s="621" t="s">
        <v>113</v>
      </c>
      <c r="N16" s="607" t="s">
        <v>29</v>
      </c>
      <c r="O16" s="612" t="s">
        <v>85</v>
      </c>
      <c r="P16" s="615" t="s">
        <v>88</v>
      </c>
      <c r="Q16" s="607" t="s">
        <v>30</v>
      </c>
      <c r="R16" s="616">
        <v>22800000</v>
      </c>
      <c r="S16" s="610">
        <f t="shared" si="0"/>
        <v>2508000</v>
      </c>
      <c r="T16" s="617">
        <v>0</v>
      </c>
      <c r="U16" s="618">
        <f t="shared" si="1"/>
        <v>25308000</v>
      </c>
      <c r="V16" s="619" t="s">
        <v>1518</v>
      </c>
      <c r="W16" s="2"/>
      <c r="X16" s="54"/>
    </row>
    <row r="17" spans="1:24" x14ac:dyDescent="0.25">
      <c r="A17" s="607">
        <v>8</v>
      </c>
      <c r="B17" s="607" t="s">
        <v>79</v>
      </c>
      <c r="C17" s="608" t="s">
        <v>114</v>
      </c>
      <c r="D17" s="620">
        <v>36</v>
      </c>
      <c r="E17" s="610">
        <v>30</v>
      </c>
      <c r="F17" s="607" t="s">
        <v>81</v>
      </c>
      <c r="G17" s="607" t="s">
        <v>82</v>
      </c>
      <c r="H17" s="610" t="s">
        <v>83</v>
      </c>
      <c r="I17" s="611" t="s">
        <v>1525</v>
      </c>
      <c r="J17" s="612" t="s">
        <v>85</v>
      </c>
      <c r="K17" s="607" t="s">
        <v>71</v>
      </c>
      <c r="L17" s="613" t="s">
        <v>116</v>
      </c>
      <c r="M17" s="621" t="s">
        <v>117</v>
      </c>
      <c r="N17" s="607" t="s">
        <v>29</v>
      </c>
      <c r="O17" s="612" t="s">
        <v>85</v>
      </c>
      <c r="P17" s="615" t="s">
        <v>88</v>
      </c>
      <c r="Q17" s="607" t="s">
        <v>30</v>
      </c>
      <c r="R17" s="616">
        <v>45600000</v>
      </c>
      <c r="S17" s="610">
        <f t="shared" si="0"/>
        <v>5016000</v>
      </c>
      <c r="T17" s="617">
        <v>0</v>
      </c>
      <c r="U17" s="618">
        <f t="shared" si="1"/>
        <v>50616000</v>
      </c>
      <c r="V17" s="619" t="s">
        <v>1518</v>
      </c>
      <c r="W17" s="2"/>
      <c r="X17" s="54"/>
    </row>
    <row r="18" spans="1:24" x14ac:dyDescent="0.25">
      <c r="A18" s="607">
        <v>9</v>
      </c>
      <c r="B18" s="607" t="s">
        <v>79</v>
      </c>
      <c r="C18" s="608" t="s">
        <v>118</v>
      </c>
      <c r="D18" s="620">
        <v>18</v>
      </c>
      <c r="E18" s="610">
        <v>15</v>
      </c>
      <c r="F18" s="607" t="s">
        <v>81</v>
      </c>
      <c r="G18" s="607" t="s">
        <v>82</v>
      </c>
      <c r="H18" s="610" t="s">
        <v>83</v>
      </c>
      <c r="I18" s="611" t="s">
        <v>1526</v>
      </c>
      <c r="J18" s="612" t="s">
        <v>85</v>
      </c>
      <c r="K18" s="607" t="s">
        <v>71</v>
      </c>
      <c r="L18" s="613" t="s">
        <v>120</v>
      </c>
      <c r="M18" s="621" t="s">
        <v>121</v>
      </c>
      <c r="N18" s="607" t="s">
        <v>29</v>
      </c>
      <c r="O18" s="612" t="s">
        <v>85</v>
      </c>
      <c r="P18" s="615" t="s">
        <v>88</v>
      </c>
      <c r="Q18" s="607" t="s">
        <v>30</v>
      </c>
      <c r="R18" s="616">
        <v>22800000</v>
      </c>
      <c r="S18" s="610">
        <f t="shared" si="0"/>
        <v>2508000</v>
      </c>
      <c r="T18" s="617">
        <v>0</v>
      </c>
      <c r="U18" s="618">
        <f t="shared" si="1"/>
        <v>25308000</v>
      </c>
      <c r="V18" s="619" t="s">
        <v>1518</v>
      </c>
      <c r="W18" s="2"/>
      <c r="X18" s="54"/>
    </row>
    <row r="19" spans="1:24" x14ac:dyDescent="0.25">
      <c r="A19" s="607">
        <v>10</v>
      </c>
      <c r="B19" s="607" t="s">
        <v>79</v>
      </c>
      <c r="C19" s="622" t="s">
        <v>122</v>
      </c>
      <c r="D19" s="620">
        <v>12</v>
      </c>
      <c r="E19" s="623">
        <v>36</v>
      </c>
      <c r="F19" s="624" t="s">
        <v>123</v>
      </c>
      <c r="G19" s="607" t="s">
        <v>124</v>
      </c>
      <c r="H19" s="610" t="s">
        <v>125</v>
      </c>
      <c r="I19" s="611" t="s">
        <v>1527</v>
      </c>
      <c r="J19" s="612" t="s">
        <v>127</v>
      </c>
      <c r="K19" s="607" t="s">
        <v>71</v>
      </c>
      <c r="L19" s="610" t="s">
        <v>128</v>
      </c>
      <c r="M19" s="607" t="s">
        <v>129</v>
      </c>
      <c r="N19" s="607" t="s">
        <v>29</v>
      </c>
      <c r="O19" s="612" t="s">
        <v>127</v>
      </c>
      <c r="P19" s="612" t="s">
        <v>130</v>
      </c>
      <c r="Q19" s="607" t="s">
        <v>30</v>
      </c>
      <c r="R19" s="625">
        <v>1500000</v>
      </c>
      <c r="S19" s="610">
        <f t="shared" si="0"/>
        <v>165000</v>
      </c>
      <c r="T19" s="623">
        <v>0</v>
      </c>
      <c r="U19" s="618">
        <f t="shared" si="1"/>
        <v>1665000</v>
      </c>
      <c r="V19" s="626" t="s">
        <v>1528</v>
      </c>
      <c r="W19" s="60"/>
      <c r="X19" s="54"/>
    </row>
    <row r="20" spans="1:24" x14ac:dyDescent="0.25">
      <c r="A20" s="607">
        <f>+A19+1</f>
        <v>11</v>
      </c>
      <c r="B20" s="607" t="s">
        <v>79</v>
      </c>
      <c r="C20" s="622" t="s">
        <v>131</v>
      </c>
      <c r="D20" s="620">
        <v>200</v>
      </c>
      <c r="E20" s="610">
        <v>12</v>
      </c>
      <c r="F20" s="624" t="s">
        <v>123</v>
      </c>
      <c r="G20" s="607" t="s">
        <v>124</v>
      </c>
      <c r="H20" s="610" t="s">
        <v>132</v>
      </c>
      <c r="I20" s="611" t="s">
        <v>1529</v>
      </c>
      <c r="J20" s="612" t="s">
        <v>127</v>
      </c>
      <c r="K20" s="607" t="s">
        <v>71</v>
      </c>
      <c r="L20" s="610" t="s">
        <v>134</v>
      </c>
      <c r="M20" s="607" t="s">
        <v>135</v>
      </c>
      <c r="N20" s="607" t="s">
        <v>29</v>
      </c>
      <c r="O20" s="612" t="s">
        <v>127</v>
      </c>
      <c r="P20" s="612" t="s">
        <v>130</v>
      </c>
      <c r="Q20" s="607" t="s">
        <v>30</v>
      </c>
      <c r="R20" s="613">
        <v>11000000</v>
      </c>
      <c r="S20" s="610">
        <f t="shared" si="0"/>
        <v>1210000</v>
      </c>
      <c r="T20" s="617">
        <v>0</v>
      </c>
      <c r="U20" s="618">
        <f t="shared" si="1"/>
        <v>12210000</v>
      </c>
      <c r="V20" s="626" t="s">
        <v>1528</v>
      </c>
      <c r="W20" s="2"/>
      <c r="X20" s="54"/>
    </row>
    <row r="21" spans="1:24" x14ac:dyDescent="0.25">
      <c r="A21" s="607">
        <f t="shared" ref="A21:A27" si="2">+A20+1</f>
        <v>12</v>
      </c>
      <c r="B21" s="607" t="s">
        <v>79</v>
      </c>
      <c r="C21" s="622" t="s">
        <v>136</v>
      </c>
      <c r="D21" s="627">
        <v>104</v>
      </c>
      <c r="E21" s="617">
        <v>0</v>
      </c>
      <c r="F21" s="624" t="s">
        <v>137</v>
      </c>
      <c r="G21" s="607" t="s">
        <v>138</v>
      </c>
      <c r="H21" s="610" t="s">
        <v>139</v>
      </c>
      <c r="I21" s="610" t="s">
        <v>1530</v>
      </c>
      <c r="J21" s="612" t="s">
        <v>141</v>
      </c>
      <c r="K21" s="607" t="s">
        <v>71</v>
      </c>
      <c r="L21" s="610" t="s">
        <v>142</v>
      </c>
      <c r="M21" s="607" t="s">
        <v>143</v>
      </c>
      <c r="N21" s="607" t="s">
        <v>29</v>
      </c>
      <c r="O21" s="612" t="s">
        <v>141</v>
      </c>
      <c r="P21" s="612" t="s">
        <v>144</v>
      </c>
      <c r="Q21" s="607" t="s">
        <v>30</v>
      </c>
      <c r="R21" s="628">
        <v>3000000</v>
      </c>
      <c r="S21" s="610">
        <f t="shared" si="0"/>
        <v>330000</v>
      </c>
      <c r="T21" s="617">
        <v>0</v>
      </c>
      <c r="U21" s="618">
        <f t="shared" si="1"/>
        <v>3330000</v>
      </c>
      <c r="V21" s="626" t="s">
        <v>1528</v>
      </c>
      <c r="W21" s="2"/>
      <c r="X21" s="54"/>
    </row>
    <row r="22" spans="1:24" x14ac:dyDescent="0.25">
      <c r="A22" s="607">
        <f t="shared" si="2"/>
        <v>13</v>
      </c>
      <c r="B22" s="607" t="s">
        <v>79</v>
      </c>
      <c r="C22" s="622" t="s">
        <v>145</v>
      </c>
      <c r="D22" s="620">
        <v>100</v>
      </c>
      <c r="E22" s="617">
        <v>0</v>
      </c>
      <c r="F22" s="615" t="s">
        <v>146</v>
      </c>
      <c r="G22" s="607" t="s">
        <v>147</v>
      </c>
      <c r="H22" s="610" t="s">
        <v>148</v>
      </c>
      <c r="I22" s="611" t="s">
        <v>1531</v>
      </c>
      <c r="J22" s="612" t="s">
        <v>150</v>
      </c>
      <c r="K22" s="607" t="s">
        <v>71</v>
      </c>
      <c r="L22" s="610" t="s">
        <v>151</v>
      </c>
      <c r="M22" s="607" t="s">
        <v>152</v>
      </c>
      <c r="N22" s="607" t="s">
        <v>29</v>
      </c>
      <c r="O22" s="612" t="s">
        <v>150</v>
      </c>
      <c r="P22" s="612" t="s">
        <v>153</v>
      </c>
      <c r="Q22" s="607" t="s">
        <v>30</v>
      </c>
      <c r="R22" s="616">
        <v>2200000</v>
      </c>
      <c r="S22" s="610">
        <f t="shared" si="0"/>
        <v>242000</v>
      </c>
      <c r="T22" s="617">
        <v>0</v>
      </c>
      <c r="U22" s="618">
        <f t="shared" si="1"/>
        <v>2442000</v>
      </c>
      <c r="V22" s="626" t="s">
        <v>1528</v>
      </c>
      <c r="W22" s="2"/>
      <c r="X22" s="54"/>
    </row>
    <row r="23" spans="1:24" x14ac:dyDescent="0.25">
      <c r="A23" s="607">
        <f t="shared" si="2"/>
        <v>14</v>
      </c>
      <c r="B23" s="607" t="s">
        <v>79</v>
      </c>
      <c r="C23" s="622" t="s">
        <v>154</v>
      </c>
      <c r="D23" s="620">
        <v>700</v>
      </c>
      <c r="E23" s="610">
        <v>255</v>
      </c>
      <c r="F23" s="629" t="s">
        <v>155</v>
      </c>
      <c r="G23" s="607" t="s">
        <v>156</v>
      </c>
      <c r="H23" s="610" t="s">
        <v>157</v>
      </c>
      <c r="I23" s="611" t="s">
        <v>158</v>
      </c>
      <c r="J23" s="612" t="s">
        <v>159</v>
      </c>
      <c r="K23" s="607" t="s">
        <v>71</v>
      </c>
      <c r="L23" s="610" t="s">
        <v>160</v>
      </c>
      <c r="M23" s="607" t="s">
        <v>161</v>
      </c>
      <c r="N23" s="607" t="s">
        <v>29</v>
      </c>
      <c r="O23" s="612" t="s">
        <v>162</v>
      </c>
      <c r="P23" s="612" t="s">
        <v>163</v>
      </c>
      <c r="Q23" s="607" t="s">
        <v>30</v>
      </c>
      <c r="R23" s="616">
        <v>24800000</v>
      </c>
      <c r="S23" s="610">
        <f t="shared" si="0"/>
        <v>2728000</v>
      </c>
      <c r="T23" s="617">
        <v>0</v>
      </c>
      <c r="U23" s="618">
        <f t="shared" si="1"/>
        <v>27528000</v>
      </c>
      <c r="V23" s="626" t="s">
        <v>1532</v>
      </c>
      <c r="W23" s="2"/>
      <c r="X23" s="54"/>
    </row>
    <row r="24" spans="1:24" x14ac:dyDescent="0.25">
      <c r="A24" s="607">
        <f t="shared" si="2"/>
        <v>15</v>
      </c>
      <c r="B24" s="607" t="s">
        <v>79</v>
      </c>
      <c r="C24" s="622" t="s">
        <v>164</v>
      </c>
      <c r="D24" s="620">
        <v>590</v>
      </c>
      <c r="E24" s="630">
        <v>330</v>
      </c>
      <c r="F24" s="631" t="s">
        <v>165</v>
      </c>
      <c r="G24" s="632" t="s">
        <v>166</v>
      </c>
      <c r="H24" s="610" t="s">
        <v>167</v>
      </c>
      <c r="I24" s="610" t="s">
        <v>168</v>
      </c>
      <c r="J24" s="612" t="s">
        <v>169</v>
      </c>
      <c r="K24" s="607" t="s">
        <v>71</v>
      </c>
      <c r="L24" s="610" t="s">
        <v>170</v>
      </c>
      <c r="M24" s="607" t="s">
        <v>171</v>
      </c>
      <c r="N24" s="607" t="s">
        <v>29</v>
      </c>
      <c r="O24" s="612" t="s">
        <v>169</v>
      </c>
      <c r="P24" s="612" t="s">
        <v>172</v>
      </c>
      <c r="Q24" s="607" t="s">
        <v>30</v>
      </c>
      <c r="R24" s="616">
        <v>32000000</v>
      </c>
      <c r="S24" s="610">
        <f t="shared" si="0"/>
        <v>3520000</v>
      </c>
      <c r="T24" s="617">
        <v>0</v>
      </c>
      <c r="U24" s="618">
        <f t="shared" si="1"/>
        <v>35520000</v>
      </c>
      <c r="V24" s="626" t="s">
        <v>1528</v>
      </c>
      <c r="W24" s="2"/>
      <c r="X24" s="54"/>
    </row>
    <row r="25" spans="1:24" x14ac:dyDescent="0.25">
      <c r="A25" s="607">
        <f t="shared" si="2"/>
        <v>16</v>
      </c>
      <c r="B25" s="607" t="s">
        <v>79</v>
      </c>
      <c r="C25" s="608" t="s">
        <v>173</v>
      </c>
      <c r="D25" s="620">
        <v>24</v>
      </c>
      <c r="E25" s="610">
        <v>18</v>
      </c>
      <c r="F25" s="607" t="s">
        <v>81</v>
      </c>
      <c r="G25" s="607" t="s">
        <v>82</v>
      </c>
      <c r="H25" s="610" t="s">
        <v>83</v>
      </c>
      <c r="I25" s="611" t="s">
        <v>1533</v>
      </c>
      <c r="J25" s="612" t="s">
        <v>174</v>
      </c>
      <c r="K25" s="607" t="s">
        <v>71</v>
      </c>
      <c r="L25" s="613" t="s">
        <v>175</v>
      </c>
      <c r="M25" s="614" t="s">
        <v>176</v>
      </c>
      <c r="N25" s="607" t="s">
        <v>29</v>
      </c>
      <c r="O25" s="612" t="s">
        <v>174</v>
      </c>
      <c r="P25" s="612" t="s">
        <v>177</v>
      </c>
      <c r="Q25" s="607" t="s">
        <v>30</v>
      </c>
      <c r="R25" s="616">
        <f>2300000*12</f>
        <v>27600000</v>
      </c>
      <c r="S25" s="610">
        <f t="shared" si="0"/>
        <v>3036000</v>
      </c>
      <c r="T25" s="617">
        <v>0</v>
      </c>
      <c r="U25" s="618">
        <f t="shared" si="1"/>
        <v>30636000</v>
      </c>
      <c r="V25" s="626" t="s">
        <v>1528</v>
      </c>
      <c r="W25" s="2"/>
      <c r="X25" s="54"/>
    </row>
    <row r="26" spans="1:24" x14ac:dyDescent="0.25">
      <c r="A26" s="607">
        <f t="shared" si="2"/>
        <v>17</v>
      </c>
      <c r="B26" s="607" t="s">
        <v>79</v>
      </c>
      <c r="C26" s="608" t="s">
        <v>178</v>
      </c>
      <c r="D26" s="610">
        <v>0</v>
      </c>
      <c r="E26" s="610">
        <v>255</v>
      </c>
      <c r="F26" s="615" t="s">
        <v>179</v>
      </c>
      <c r="G26" s="607" t="s">
        <v>180</v>
      </c>
      <c r="H26" s="610" t="s">
        <v>181</v>
      </c>
      <c r="I26" s="611" t="s">
        <v>182</v>
      </c>
      <c r="J26" s="612" t="s">
        <v>183</v>
      </c>
      <c r="K26" s="607" t="s">
        <v>71</v>
      </c>
      <c r="L26" s="610" t="s">
        <v>184</v>
      </c>
      <c r="M26" s="607" t="s">
        <v>161</v>
      </c>
      <c r="N26" s="607" t="s">
        <v>29</v>
      </c>
      <c r="O26" s="612" t="s">
        <v>183</v>
      </c>
      <c r="P26" s="612" t="s">
        <v>185</v>
      </c>
      <c r="Q26" s="607" t="s">
        <v>30</v>
      </c>
      <c r="R26" s="616">
        <v>11000000</v>
      </c>
      <c r="S26" s="610">
        <f t="shared" si="0"/>
        <v>1210000</v>
      </c>
      <c r="T26" s="617">
        <v>0</v>
      </c>
      <c r="U26" s="618">
        <f t="shared" si="1"/>
        <v>12210000</v>
      </c>
      <c r="V26" s="626" t="s">
        <v>1528</v>
      </c>
      <c r="W26" s="2"/>
      <c r="X26" s="54"/>
    </row>
    <row r="27" spans="1:24" x14ac:dyDescent="0.25">
      <c r="A27" s="607">
        <f t="shared" si="2"/>
        <v>18</v>
      </c>
      <c r="B27" s="607" t="s">
        <v>79</v>
      </c>
      <c r="C27" s="622" t="s">
        <v>186</v>
      </c>
      <c r="D27" s="610">
        <v>75</v>
      </c>
      <c r="E27" s="610"/>
      <c r="F27" s="633" t="s">
        <v>187</v>
      </c>
      <c r="G27" s="607" t="s">
        <v>188</v>
      </c>
      <c r="H27" s="610" t="s">
        <v>189</v>
      </c>
      <c r="I27" s="611" t="s">
        <v>1534</v>
      </c>
      <c r="J27" s="612" t="s">
        <v>1535</v>
      </c>
      <c r="K27" s="607" t="s">
        <v>71</v>
      </c>
      <c r="L27" s="610" t="s">
        <v>190</v>
      </c>
      <c r="M27" s="607" t="s">
        <v>191</v>
      </c>
      <c r="N27" s="607" t="s">
        <v>29</v>
      </c>
      <c r="O27" s="612" t="s">
        <v>1536</v>
      </c>
      <c r="P27" s="612" t="s">
        <v>1537</v>
      </c>
      <c r="Q27" s="607" t="s">
        <v>31</v>
      </c>
      <c r="R27" s="616">
        <v>5000000</v>
      </c>
      <c r="S27" s="610">
        <f t="shared" si="0"/>
        <v>550000</v>
      </c>
      <c r="T27" s="617"/>
      <c r="U27" s="618">
        <f t="shared" si="1"/>
        <v>5550000</v>
      </c>
      <c r="V27" s="626" t="s">
        <v>1528</v>
      </c>
      <c r="W27" s="2"/>
      <c r="X27" s="54"/>
    </row>
    <row r="28" spans="1:24" x14ac:dyDescent="0.25">
      <c r="A28" s="607">
        <v>19</v>
      </c>
      <c r="B28" s="607" t="s">
        <v>79</v>
      </c>
      <c r="C28" s="622" t="s">
        <v>136</v>
      </c>
      <c r="D28" s="610">
        <v>60</v>
      </c>
      <c r="E28" s="610"/>
      <c r="F28" s="624" t="s">
        <v>137</v>
      </c>
      <c r="G28" s="607" t="s">
        <v>138</v>
      </c>
      <c r="H28" s="610" t="s">
        <v>139</v>
      </c>
      <c r="I28" s="611" t="s">
        <v>1538</v>
      </c>
      <c r="J28" s="612" t="s">
        <v>1539</v>
      </c>
      <c r="K28" s="607" t="s">
        <v>71</v>
      </c>
      <c r="L28" s="610" t="s">
        <v>1540</v>
      </c>
      <c r="M28" s="333" t="s">
        <v>1541</v>
      </c>
      <c r="N28" s="607" t="s">
        <v>29</v>
      </c>
      <c r="O28" s="634" t="s">
        <v>1542</v>
      </c>
      <c r="P28" s="634" t="s">
        <v>1543</v>
      </c>
      <c r="Q28" s="607" t="s">
        <v>31</v>
      </c>
      <c r="R28" s="616">
        <v>2500000</v>
      </c>
      <c r="S28" s="610">
        <f t="shared" si="0"/>
        <v>275000</v>
      </c>
      <c r="T28" s="617"/>
      <c r="U28" s="618">
        <f t="shared" si="1"/>
        <v>2775000</v>
      </c>
      <c r="V28" s="626" t="s">
        <v>1528</v>
      </c>
      <c r="W28" s="2"/>
      <c r="X28" s="54"/>
    </row>
    <row r="29" spans="1:24" x14ac:dyDescent="0.25">
      <c r="A29" s="607">
        <v>20</v>
      </c>
      <c r="B29" s="607" t="s">
        <v>79</v>
      </c>
      <c r="C29" s="622" t="s">
        <v>1544</v>
      </c>
      <c r="D29" s="620"/>
      <c r="E29" s="630"/>
      <c r="F29" s="631" t="s">
        <v>1545</v>
      </c>
      <c r="G29" s="632" t="s">
        <v>147</v>
      </c>
      <c r="H29" s="610" t="s">
        <v>1546</v>
      </c>
      <c r="I29" s="610"/>
      <c r="J29" s="635" t="s">
        <v>1547</v>
      </c>
      <c r="K29" s="607" t="s">
        <v>71</v>
      </c>
      <c r="L29" s="610" t="s">
        <v>1548</v>
      </c>
      <c r="M29" s="607" t="s">
        <v>1549</v>
      </c>
      <c r="N29" s="607" t="s">
        <v>29</v>
      </c>
      <c r="O29" s="636" t="s">
        <v>1550</v>
      </c>
      <c r="P29" s="636" t="s">
        <v>1551</v>
      </c>
      <c r="Q29" s="607" t="s">
        <v>192</v>
      </c>
      <c r="R29" s="616">
        <v>17000000</v>
      </c>
      <c r="S29" s="610">
        <f t="shared" si="0"/>
        <v>1870000</v>
      </c>
      <c r="T29" s="617"/>
      <c r="U29" s="618">
        <f t="shared" si="1"/>
        <v>18870000</v>
      </c>
      <c r="V29" s="626" t="s">
        <v>1528</v>
      </c>
      <c r="W29" s="2"/>
      <c r="X29" s="54"/>
    </row>
    <row r="30" spans="1:24" x14ac:dyDescent="0.25">
      <c r="A30" s="607">
        <v>21</v>
      </c>
      <c r="B30" s="607" t="s">
        <v>79</v>
      </c>
      <c r="C30" s="608" t="s">
        <v>1552</v>
      </c>
      <c r="D30" s="620"/>
      <c r="E30" s="610"/>
      <c r="F30" s="631" t="s">
        <v>1545</v>
      </c>
      <c r="G30" s="607" t="s">
        <v>1553</v>
      </c>
      <c r="H30" s="610" t="s">
        <v>1546</v>
      </c>
      <c r="I30" s="611"/>
      <c r="J30" s="635" t="s">
        <v>1547</v>
      </c>
      <c r="K30" s="607" t="s">
        <v>71</v>
      </c>
      <c r="L30" s="610" t="s">
        <v>1548</v>
      </c>
      <c r="M30" s="607" t="s">
        <v>1549</v>
      </c>
      <c r="N30" s="607" t="s">
        <v>29</v>
      </c>
      <c r="O30" s="636" t="s">
        <v>1550</v>
      </c>
      <c r="P30" s="636" t="s">
        <v>1551</v>
      </c>
      <c r="Q30" s="607" t="s">
        <v>192</v>
      </c>
      <c r="R30" s="616">
        <v>23000000</v>
      </c>
      <c r="S30" s="610">
        <f t="shared" si="0"/>
        <v>2530000</v>
      </c>
      <c r="T30" s="617"/>
      <c r="U30" s="618">
        <f t="shared" si="1"/>
        <v>25530000</v>
      </c>
      <c r="V30" s="626" t="s">
        <v>1528</v>
      </c>
      <c r="W30" s="2"/>
      <c r="X30" s="54"/>
    </row>
    <row r="31" spans="1:24" x14ac:dyDescent="0.25">
      <c r="A31" s="607"/>
      <c r="B31" s="607"/>
      <c r="C31" s="622"/>
      <c r="D31" s="637"/>
      <c r="E31" s="638"/>
      <c r="F31" s="629"/>
      <c r="G31" s="607"/>
      <c r="H31" s="610"/>
      <c r="I31" s="611"/>
      <c r="J31" s="612"/>
      <c r="K31" s="607"/>
      <c r="L31" s="610"/>
      <c r="M31" s="607"/>
      <c r="N31" s="607"/>
      <c r="O31" s="612"/>
      <c r="P31" s="629"/>
      <c r="Q31" s="607"/>
      <c r="R31" s="616"/>
      <c r="S31" s="610"/>
      <c r="T31" s="623"/>
      <c r="U31" s="618"/>
      <c r="V31" s="626"/>
      <c r="W31" s="2"/>
      <c r="X31" s="54"/>
    </row>
    <row r="32" spans="1:24" x14ac:dyDescent="0.25">
      <c r="A32" s="607"/>
      <c r="B32" s="607"/>
      <c r="C32" s="608"/>
      <c r="D32" s="610"/>
      <c r="E32" s="610"/>
      <c r="F32" s="615"/>
      <c r="G32" s="607"/>
      <c r="H32" s="610"/>
      <c r="I32" s="611"/>
      <c r="J32" s="635"/>
      <c r="K32" s="607"/>
      <c r="L32" s="610"/>
      <c r="M32" s="607"/>
      <c r="N32" s="607"/>
      <c r="O32" s="635"/>
      <c r="P32" s="635"/>
      <c r="Q32" s="607"/>
      <c r="R32" s="616"/>
      <c r="S32" s="610"/>
      <c r="T32" s="617"/>
      <c r="U32" s="618"/>
      <c r="V32" s="626"/>
      <c r="W32" s="2"/>
      <c r="X32" s="54"/>
    </row>
    <row r="33" spans="1:24" x14ac:dyDescent="0.25">
      <c r="A33" s="607"/>
      <c r="B33" s="607"/>
      <c r="C33" s="622"/>
      <c r="D33" s="610"/>
      <c r="E33" s="610"/>
      <c r="F33" s="633"/>
      <c r="G33" s="607"/>
      <c r="H33" s="610"/>
      <c r="I33" s="610"/>
      <c r="J33" s="610"/>
      <c r="K33" s="607"/>
      <c r="L33" s="610"/>
      <c r="M33" s="607"/>
      <c r="N33" s="607"/>
      <c r="O33" s="607"/>
      <c r="P33" s="610"/>
      <c r="Q33" s="607"/>
      <c r="R33" s="616"/>
      <c r="S33" s="610"/>
      <c r="T33" s="617"/>
      <c r="U33" s="618"/>
      <c r="V33" s="626"/>
      <c r="W33" s="2"/>
      <c r="X33" s="54"/>
    </row>
    <row r="34" spans="1:24" x14ac:dyDescent="0.25">
      <c r="A34" s="607"/>
      <c r="B34" s="607"/>
      <c r="C34" s="622"/>
      <c r="D34" s="610"/>
      <c r="E34" s="610"/>
      <c r="F34" s="624"/>
      <c r="G34" s="607"/>
      <c r="H34" s="610"/>
      <c r="I34" s="610"/>
      <c r="J34" s="610"/>
      <c r="K34" s="607"/>
      <c r="L34" s="610"/>
      <c r="M34" s="607"/>
      <c r="N34" s="607"/>
      <c r="O34" s="607"/>
      <c r="P34" s="610"/>
      <c r="Q34" s="607"/>
      <c r="R34" s="616"/>
      <c r="S34" s="610"/>
      <c r="T34" s="617"/>
      <c r="U34" s="618"/>
      <c r="V34" s="639"/>
      <c r="W34" s="2"/>
      <c r="X34" s="54"/>
    </row>
    <row r="35" spans="1:24" x14ac:dyDescent="0.25">
      <c r="A35" s="632"/>
      <c r="B35" s="607"/>
      <c r="C35" s="622"/>
      <c r="D35" s="630"/>
      <c r="E35" s="630"/>
      <c r="F35" s="631"/>
      <c r="G35" s="632"/>
      <c r="H35" s="630"/>
      <c r="I35" s="610"/>
      <c r="J35" s="640"/>
      <c r="K35" s="632"/>
      <c r="L35" s="630"/>
      <c r="M35" s="632"/>
      <c r="N35" s="607"/>
      <c r="O35" s="640"/>
      <c r="P35" s="640"/>
      <c r="Q35" s="632"/>
      <c r="R35" s="641"/>
      <c r="S35" s="630"/>
      <c r="T35" s="642"/>
      <c r="U35" s="618"/>
      <c r="V35" s="639"/>
      <c r="W35" s="2"/>
      <c r="X35" s="54"/>
    </row>
    <row r="36" spans="1:24" x14ac:dyDescent="0.25">
      <c r="A36" s="632"/>
      <c r="B36" s="607"/>
      <c r="C36" s="608"/>
      <c r="D36" s="610"/>
      <c r="E36" s="610"/>
      <c r="F36" s="607"/>
      <c r="G36" s="607"/>
      <c r="H36" s="610"/>
      <c r="I36" s="611"/>
      <c r="J36" s="612"/>
      <c r="K36" s="607"/>
      <c r="L36" s="613"/>
      <c r="M36" s="614"/>
      <c r="N36" s="607"/>
      <c r="O36" s="612"/>
      <c r="P36" s="612"/>
      <c r="Q36" s="632"/>
      <c r="R36" s="641"/>
      <c r="S36" s="630"/>
      <c r="T36" s="642"/>
      <c r="U36" s="618"/>
      <c r="V36" s="639"/>
      <c r="W36" s="2"/>
      <c r="X36" s="54"/>
    </row>
    <row r="37" spans="1:24" x14ac:dyDescent="0.25">
      <c r="A37" s="632"/>
      <c r="B37" s="632"/>
      <c r="C37" s="643"/>
      <c r="D37" s="630"/>
      <c r="E37" s="630"/>
      <c r="F37" s="631"/>
      <c r="G37" s="632"/>
      <c r="H37" s="630"/>
      <c r="I37" s="630"/>
      <c r="J37" s="630"/>
      <c r="K37" s="632"/>
      <c r="L37" s="630"/>
      <c r="M37" s="632"/>
      <c r="N37" s="632"/>
      <c r="O37" s="632"/>
      <c r="P37" s="630"/>
      <c r="Q37" s="632"/>
      <c r="R37" s="641"/>
      <c r="S37" s="630"/>
      <c r="T37" s="632"/>
      <c r="U37" s="644"/>
      <c r="V37" s="645"/>
      <c r="W37" s="2"/>
      <c r="X37" s="54"/>
    </row>
    <row r="38" spans="1:24" x14ac:dyDescent="0.25">
      <c r="A38" s="645"/>
      <c r="B38" s="645"/>
      <c r="C38" s="646"/>
      <c r="D38" s="646"/>
      <c r="E38" s="646"/>
      <c r="F38" s="646"/>
      <c r="G38" s="646"/>
      <c r="H38" s="646"/>
      <c r="I38" s="646"/>
      <c r="J38" s="646"/>
      <c r="K38" s="646"/>
      <c r="L38" s="646"/>
      <c r="M38" s="646"/>
      <c r="N38" s="646"/>
      <c r="O38" s="646"/>
      <c r="P38" s="646"/>
      <c r="Q38" s="646"/>
      <c r="R38" s="647">
        <f>SUM(R10:R30)</f>
        <v>434200000</v>
      </c>
      <c r="S38" s="647">
        <f>SUM(S10:S30)</f>
        <v>47762000</v>
      </c>
      <c r="T38" s="647">
        <f t="shared" ref="T38" si="3">SUM(T10:T29)</f>
        <v>0</v>
      </c>
      <c r="U38" s="647">
        <f>SUM(U10:U30)</f>
        <v>481962000</v>
      </c>
      <c r="V38" s="648"/>
      <c r="X38" s="54"/>
    </row>
    <row r="39" spans="1:24" x14ac:dyDescent="0.25">
      <c r="A39" s="649" t="s">
        <v>32</v>
      </c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  <c r="O39" s="650"/>
      <c r="P39" s="650"/>
      <c r="Q39" s="650"/>
      <c r="R39" s="650"/>
      <c r="S39" s="650"/>
      <c r="T39" s="650"/>
      <c r="U39" s="650"/>
      <c r="V39" s="650"/>
      <c r="X39" s="54"/>
    </row>
    <row r="40" spans="1:24" x14ac:dyDescent="0.25">
      <c r="A40" s="650" t="s">
        <v>33</v>
      </c>
      <c r="B40" s="650"/>
      <c r="C40" s="650"/>
      <c r="D40" s="650"/>
      <c r="E40" s="650"/>
      <c r="F40" s="650"/>
      <c r="G40" s="650"/>
      <c r="H40" s="650"/>
      <c r="I40" s="650"/>
      <c r="J40" s="650"/>
      <c r="K40" s="650"/>
      <c r="L40" s="650"/>
      <c r="M40" s="650"/>
      <c r="N40" s="650"/>
      <c r="O40" s="650"/>
      <c r="P40" s="650"/>
      <c r="Q40" s="650"/>
      <c r="R40" s="695">
        <v>476759063</v>
      </c>
      <c r="S40" s="650"/>
      <c r="T40" s="650"/>
      <c r="V40" s="650"/>
    </row>
    <row r="41" spans="1:24" x14ac:dyDescent="0.25">
      <c r="A41" s="84" t="s">
        <v>34</v>
      </c>
      <c r="E41" s="26"/>
    </row>
    <row r="42" spans="1:24" x14ac:dyDescent="0.25">
      <c r="A42" s="84" t="s">
        <v>35</v>
      </c>
    </row>
    <row r="43" spans="1:24" x14ac:dyDescent="0.25">
      <c r="A43" s="84" t="s">
        <v>36</v>
      </c>
    </row>
    <row r="44" spans="1:24" x14ac:dyDescent="0.25">
      <c r="A44" s="84" t="s">
        <v>37</v>
      </c>
    </row>
    <row r="45" spans="1:24" x14ac:dyDescent="0.25">
      <c r="A45" s="84" t="s">
        <v>38</v>
      </c>
    </row>
    <row r="46" spans="1:24" x14ac:dyDescent="0.25">
      <c r="A46" s="84" t="s">
        <v>39</v>
      </c>
    </row>
    <row r="47" spans="1:24" x14ac:dyDescent="0.25">
      <c r="A47" s="84" t="s">
        <v>40</v>
      </c>
    </row>
    <row r="48" spans="1:24" x14ac:dyDescent="0.25">
      <c r="A48" s="84" t="s">
        <v>41</v>
      </c>
    </row>
    <row r="49" spans="1:1" x14ac:dyDescent="0.25">
      <c r="A49" s="84" t="s">
        <v>42</v>
      </c>
    </row>
    <row r="50" spans="1:1" x14ac:dyDescent="0.25">
      <c r="A50" s="84" t="s">
        <v>43</v>
      </c>
    </row>
    <row r="51" spans="1:1" x14ac:dyDescent="0.25">
      <c r="A51" s="84" t="s">
        <v>44</v>
      </c>
    </row>
    <row r="52" spans="1:1" x14ac:dyDescent="0.25">
      <c r="A52" s="84" t="s">
        <v>45</v>
      </c>
    </row>
    <row r="53" spans="1:1" x14ac:dyDescent="0.25">
      <c r="A53" s="84" t="s">
        <v>46</v>
      </c>
    </row>
    <row r="54" spans="1:1" x14ac:dyDescent="0.25">
      <c r="A54" s="84" t="s">
        <v>47</v>
      </c>
    </row>
    <row r="55" spans="1:1" x14ac:dyDescent="0.25">
      <c r="A55" s="84" t="s">
        <v>48</v>
      </c>
    </row>
    <row r="56" spans="1:1" x14ac:dyDescent="0.25">
      <c r="A56" s="84" t="s">
        <v>49</v>
      </c>
    </row>
    <row r="57" spans="1:1" x14ac:dyDescent="0.25">
      <c r="A57" s="84" t="s">
        <v>50</v>
      </c>
    </row>
    <row r="58" spans="1:1" x14ac:dyDescent="0.25">
      <c r="A58" s="84" t="s">
        <v>51</v>
      </c>
    </row>
    <row r="59" spans="1:1" x14ac:dyDescent="0.25">
      <c r="A59" s="84" t="s">
        <v>52</v>
      </c>
    </row>
    <row r="60" spans="1:1" x14ac:dyDescent="0.25">
      <c r="A60" s="84" t="s">
        <v>53</v>
      </c>
    </row>
    <row r="61" spans="1:1" x14ac:dyDescent="0.25">
      <c r="A61" s="84" t="s">
        <v>54</v>
      </c>
    </row>
    <row r="62" spans="1:1" x14ac:dyDescent="0.25">
      <c r="A62" s="84" t="s">
        <v>55</v>
      </c>
    </row>
    <row r="63" spans="1:1" x14ac:dyDescent="0.25">
      <c r="A63" s="84" t="s">
        <v>56</v>
      </c>
    </row>
    <row r="64" spans="1:1" x14ac:dyDescent="0.25">
      <c r="A64" s="84" t="s">
        <v>57</v>
      </c>
    </row>
    <row r="65" spans="1:1" x14ac:dyDescent="0.25">
      <c r="A65" s="84" t="s">
        <v>58</v>
      </c>
    </row>
    <row r="66" spans="1:1" x14ac:dyDescent="0.25">
      <c r="A66" s="84" t="s">
        <v>59</v>
      </c>
    </row>
  </sheetData>
  <mergeCells count="10">
    <mergeCell ref="O6:Q6"/>
    <mergeCell ref="R6:U6"/>
    <mergeCell ref="V6:V7"/>
    <mergeCell ref="D8:E8"/>
    <mergeCell ref="A6:A7"/>
    <mergeCell ref="B6:B7"/>
    <mergeCell ref="C6:G6"/>
    <mergeCell ref="H6:H7"/>
    <mergeCell ref="I6:K6"/>
    <mergeCell ref="L6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tabSelected="1" workbookViewId="0">
      <pane xSplit="3" ySplit="8" topLeftCell="W35" activePane="bottomRight" state="frozen"/>
      <selection pane="topRight" activeCell="D1" sqref="D1"/>
      <selection pane="bottomLeft" activeCell="A8" sqref="A8"/>
      <selection pane="bottomRight" activeCell="AH45" sqref="AH45"/>
    </sheetView>
  </sheetViews>
  <sheetFormatPr defaultRowHeight="15" x14ac:dyDescent="0.25"/>
  <cols>
    <col min="1" max="1" width="5.7109375" customWidth="1"/>
    <col min="2" max="2" width="12.140625" customWidth="1"/>
    <col min="3" max="3" width="45.28515625" customWidth="1"/>
    <col min="4" max="4" width="6.42578125" style="367" customWidth="1"/>
    <col min="5" max="5" width="4.42578125" customWidth="1"/>
    <col min="6" max="6" width="6.140625" style="367" customWidth="1"/>
    <col min="7" max="7" width="5.42578125" customWidth="1"/>
    <col min="8" max="8" width="68" customWidth="1"/>
    <col min="9" max="9" width="10.28515625" customWidth="1"/>
    <col min="10" max="10" width="23.28515625" customWidth="1"/>
    <col min="11" max="11" width="30.7109375" customWidth="1"/>
    <col min="12" max="12" width="16" customWidth="1"/>
    <col min="14" max="14" width="17.7109375" customWidth="1"/>
    <col min="15" max="15" width="79.140625" customWidth="1"/>
    <col min="17" max="17" width="14.7109375" customWidth="1"/>
    <col min="18" max="18" width="12.85546875" customWidth="1"/>
    <col min="19" max="19" width="13.7109375" customWidth="1"/>
    <col min="20" max="20" width="16" customWidth="1"/>
    <col min="21" max="21" width="12.42578125" customWidth="1"/>
    <col min="23" max="23" width="14.42578125" customWidth="1"/>
    <col min="24" max="28" width="0" hidden="1" customWidth="1"/>
    <col min="29" max="29" width="3.42578125" hidden="1" customWidth="1"/>
    <col min="30" max="30" width="14" style="367" customWidth="1"/>
    <col min="31" max="31" width="12.7109375" style="367" customWidth="1"/>
    <col min="32" max="32" width="12.42578125" style="367" customWidth="1"/>
    <col min="33" max="34" width="13.140625" style="367" customWidth="1"/>
    <col min="35" max="35" width="12.140625" customWidth="1"/>
  </cols>
  <sheetData>
    <row r="1" spans="1:39" x14ac:dyDescent="0.25">
      <c r="A1" s="1" t="s">
        <v>0</v>
      </c>
    </row>
    <row r="2" spans="1:39" x14ac:dyDescent="0.25">
      <c r="A2" s="1" t="s">
        <v>1</v>
      </c>
    </row>
    <row r="3" spans="1:39" s="367" customFormat="1" x14ac:dyDescent="0.25">
      <c r="A3" s="368" t="s">
        <v>1613</v>
      </c>
    </row>
    <row r="4" spans="1:39" x14ac:dyDescent="0.25">
      <c r="A4" s="1" t="s">
        <v>508</v>
      </c>
    </row>
    <row r="5" spans="1:39" ht="15.75" thickBot="1" x14ac:dyDescent="0.3">
      <c r="A5" s="1"/>
    </row>
    <row r="6" spans="1:39" ht="27" customHeight="1" x14ac:dyDescent="0.25">
      <c r="A6" s="792" t="s">
        <v>2</v>
      </c>
      <c r="B6" s="794" t="s">
        <v>3</v>
      </c>
      <c r="C6" s="789" t="s">
        <v>4</v>
      </c>
      <c r="D6" s="790"/>
      <c r="E6" s="790"/>
      <c r="F6" s="790"/>
      <c r="G6" s="790"/>
      <c r="H6" s="790"/>
      <c r="I6" s="791"/>
      <c r="J6" s="796" t="s">
        <v>5</v>
      </c>
      <c r="K6" s="786" t="s">
        <v>6</v>
      </c>
      <c r="L6" s="787"/>
      <c r="M6" s="788"/>
      <c r="N6" s="789" t="s">
        <v>7</v>
      </c>
      <c r="O6" s="790"/>
      <c r="P6" s="791"/>
      <c r="Q6" s="786" t="s">
        <v>8</v>
      </c>
      <c r="R6" s="787"/>
      <c r="S6" s="788"/>
      <c r="T6" s="796" t="s">
        <v>9</v>
      </c>
      <c r="U6" s="796"/>
      <c r="V6" s="796"/>
      <c r="W6" s="796"/>
      <c r="X6" s="800" t="s">
        <v>61</v>
      </c>
      <c r="Y6" s="802" t="s">
        <v>62</v>
      </c>
      <c r="Z6" s="803"/>
      <c r="AA6" s="803"/>
      <c r="AB6" s="803"/>
      <c r="AC6" s="804"/>
      <c r="AD6" s="802" t="s">
        <v>1591</v>
      </c>
      <c r="AE6" s="803"/>
      <c r="AF6" s="803"/>
      <c r="AG6" s="803"/>
      <c r="AH6" s="804"/>
      <c r="AI6" s="805" t="s">
        <v>10</v>
      </c>
      <c r="AJ6" s="2"/>
      <c r="AK6" s="2"/>
      <c r="AL6" s="2"/>
      <c r="AM6" s="2"/>
    </row>
    <row r="7" spans="1:39" ht="94.5" x14ac:dyDescent="0.25">
      <c r="A7" s="793"/>
      <c r="B7" s="795"/>
      <c r="C7" s="3" t="s">
        <v>11</v>
      </c>
      <c r="D7" s="798" t="s">
        <v>12</v>
      </c>
      <c r="E7" s="799"/>
      <c r="F7" s="798" t="s">
        <v>13</v>
      </c>
      <c r="G7" s="799"/>
      <c r="H7" s="4" t="s">
        <v>14</v>
      </c>
      <c r="I7" s="4" t="s">
        <v>15</v>
      </c>
      <c r="J7" s="797"/>
      <c r="K7" s="5" t="s">
        <v>16</v>
      </c>
      <c r="L7" s="5" t="s">
        <v>17</v>
      </c>
      <c r="M7" s="6" t="s">
        <v>18</v>
      </c>
      <c r="N7" s="6" t="s">
        <v>19</v>
      </c>
      <c r="O7" s="6" t="s">
        <v>14</v>
      </c>
      <c r="P7" s="7" t="s">
        <v>20</v>
      </c>
      <c r="Q7" s="5" t="s">
        <v>21</v>
      </c>
      <c r="R7" s="5" t="s">
        <v>22</v>
      </c>
      <c r="S7" s="3" t="s">
        <v>23</v>
      </c>
      <c r="T7" s="3" t="s">
        <v>24</v>
      </c>
      <c r="U7" s="3" t="s">
        <v>25</v>
      </c>
      <c r="V7" s="3" t="s">
        <v>26</v>
      </c>
      <c r="W7" s="3" t="s">
        <v>27</v>
      </c>
      <c r="X7" s="801"/>
      <c r="Y7" s="27" t="s">
        <v>63</v>
      </c>
      <c r="Z7" s="27" t="s">
        <v>64</v>
      </c>
      <c r="AA7" s="27" t="s">
        <v>65</v>
      </c>
      <c r="AB7" s="27" t="s">
        <v>66</v>
      </c>
      <c r="AC7" s="27" t="s">
        <v>67</v>
      </c>
      <c r="AD7" s="697" t="s">
        <v>63</v>
      </c>
      <c r="AE7" s="697" t="s">
        <v>64</v>
      </c>
      <c r="AF7" s="697" t="s">
        <v>65</v>
      </c>
      <c r="AG7" s="697" t="s">
        <v>66</v>
      </c>
      <c r="AH7" s="697" t="s">
        <v>67</v>
      </c>
      <c r="AI7" s="806"/>
      <c r="AJ7" s="2"/>
      <c r="AK7" s="2"/>
      <c r="AL7" s="2"/>
      <c r="AM7" s="2"/>
    </row>
    <row r="8" spans="1:39" x14ac:dyDescent="0.25">
      <c r="A8" s="9">
        <v>1</v>
      </c>
      <c r="B8" s="9">
        <v>2</v>
      </c>
      <c r="C8" s="9">
        <v>3</v>
      </c>
      <c r="D8" s="699"/>
      <c r="E8" s="722">
        <v>4</v>
      </c>
      <c r="F8" s="722"/>
      <c r="G8" s="723"/>
      <c r="H8" s="9">
        <v>5</v>
      </c>
      <c r="I8" s="9">
        <v>6</v>
      </c>
      <c r="J8" s="9">
        <v>7</v>
      </c>
      <c r="K8" s="9">
        <v>8</v>
      </c>
      <c r="L8" s="9">
        <v>9</v>
      </c>
      <c r="M8" s="9">
        <v>10</v>
      </c>
      <c r="N8" s="9">
        <v>11</v>
      </c>
      <c r="O8" s="9">
        <v>12</v>
      </c>
      <c r="P8" s="9">
        <v>13</v>
      </c>
      <c r="Q8" s="9">
        <v>14</v>
      </c>
      <c r="R8" s="9">
        <v>15</v>
      </c>
      <c r="S8" s="9">
        <v>16</v>
      </c>
      <c r="T8" s="9">
        <v>17</v>
      </c>
      <c r="U8" s="9">
        <v>18</v>
      </c>
      <c r="V8" s="9">
        <v>19</v>
      </c>
      <c r="W8" s="9">
        <v>20</v>
      </c>
      <c r="X8" s="9">
        <v>21</v>
      </c>
      <c r="Y8" s="9">
        <v>22</v>
      </c>
      <c r="Z8" s="9">
        <v>23</v>
      </c>
      <c r="AA8" s="9">
        <v>24</v>
      </c>
      <c r="AB8" s="9" t="s">
        <v>68</v>
      </c>
      <c r="AC8" s="9" t="s">
        <v>69</v>
      </c>
      <c r="AD8" s="696"/>
      <c r="AE8" s="696"/>
      <c r="AF8" s="696"/>
      <c r="AG8" s="696"/>
      <c r="AH8" s="696"/>
      <c r="AI8" s="28">
        <v>21</v>
      </c>
    </row>
    <row r="9" spans="1:39" x14ac:dyDescent="0.25">
      <c r="A9" s="29"/>
      <c r="B9" s="30"/>
      <c r="C9" s="31"/>
      <c r="D9" s="702"/>
      <c r="E9" s="30"/>
      <c r="F9" s="702"/>
      <c r="G9" s="30"/>
      <c r="H9" s="31"/>
      <c r="I9" s="31"/>
      <c r="J9" s="94"/>
      <c r="K9" s="31"/>
      <c r="L9" s="31"/>
      <c r="M9" s="31"/>
      <c r="N9" s="31"/>
      <c r="O9" s="31"/>
      <c r="P9" s="31"/>
      <c r="Q9" s="31"/>
      <c r="R9" s="31"/>
      <c r="S9" s="31"/>
      <c r="T9" s="231"/>
      <c r="U9" s="231"/>
      <c r="V9" s="31"/>
      <c r="W9" s="31"/>
      <c r="X9" s="31"/>
      <c r="Y9" s="31"/>
      <c r="Z9" s="31"/>
      <c r="AA9" s="31"/>
      <c r="AB9" s="31"/>
      <c r="AC9" s="31"/>
      <c r="AD9" s="698"/>
      <c r="AE9" s="698"/>
      <c r="AF9" s="698"/>
      <c r="AG9" s="698"/>
      <c r="AH9" s="698"/>
      <c r="AI9" s="32"/>
    </row>
    <row r="10" spans="1:39" x14ac:dyDescent="0.25">
      <c r="A10" s="232">
        <v>1</v>
      </c>
      <c r="B10" s="233" t="s">
        <v>508</v>
      </c>
      <c r="C10" s="234" t="s">
        <v>509</v>
      </c>
      <c r="D10" s="704">
        <v>72</v>
      </c>
      <c r="E10" s="708" t="s">
        <v>1592</v>
      </c>
      <c r="F10" s="709"/>
      <c r="G10" s="707" t="s">
        <v>510</v>
      </c>
      <c r="H10" s="233" t="s">
        <v>511</v>
      </c>
      <c r="I10" s="236">
        <v>6388546</v>
      </c>
      <c r="J10" s="237" t="s">
        <v>512</v>
      </c>
      <c r="K10" s="238" t="s">
        <v>1601</v>
      </c>
      <c r="L10" s="239" t="s">
        <v>1602</v>
      </c>
      <c r="M10" s="235" t="s">
        <v>28</v>
      </c>
      <c r="N10" s="238" t="s">
        <v>513</v>
      </c>
      <c r="O10" s="233" t="s">
        <v>514</v>
      </c>
      <c r="P10" s="235" t="s">
        <v>29</v>
      </c>
      <c r="Q10" s="239" t="s">
        <v>515</v>
      </c>
      <c r="R10" s="239" t="s">
        <v>516</v>
      </c>
      <c r="S10" s="235" t="s">
        <v>30</v>
      </c>
      <c r="T10" s="240">
        <v>4818000</v>
      </c>
      <c r="U10" s="147">
        <f>T10*0.11</f>
        <v>529980</v>
      </c>
      <c r="V10" s="233"/>
      <c r="W10" s="241">
        <f>T10+U10+V10</f>
        <v>5347980</v>
      </c>
      <c r="X10" s="31"/>
      <c r="Y10" s="31"/>
      <c r="Z10" s="31"/>
      <c r="AA10" s="31"/>
      <c r="AB10" s="31"/>
      <c r="AC10" s="31"/>
      <c r="AD10" s="700">
        <v>7500000</v>
      </c>
      <c r="AE10" s="700">
        <v>0</v>
      </c>
      <c r="AF10" s="700">
        <v>0</v>
      </c>
      <c r="AG10" s="701">
        <f>AE10+AF10</f>
        <v>0</v>
      </c>
      <c r="AH10" s="701">
        <f>AD10+AG10</f>
        <v>7500000</v>
      </c>
      <c r="AI10" s="15"/>
      <c r="AJ10" s="14"/>
      <c r="AK10" s="14"/>
      <c r="AL10" s="14"/>
      <c r="AM10" s="14"/>
    </row>
    <row r="11" spans="1:39" x14ac:dyDescent="0.25">
      <c r="A11" s="232">
        <v>2</v>
      </c>
      <c r="B11" s="233" t="s">
        <v>508</v>
      </c>
      <c r="C11" s="234" t="s">
        <v>509</v>
      </c>
      <c r="D11" s="704">
        <v>24</v>
      </c>
      <c r="E11" s="708" t="s">
        <v>1592</v>
      </c>
      <c r="F11" s="709"/>
      <c r="G11" s="707"/>
      <c r="H11" s="233" t="s">
        <v>511</v>
      </c>
      <c r="I11" s="236">
        <v>6388546</v>
      </c>
      <c r="J11" s="237" t="s">
        <v>517</v>
      </c>
      <c r="K11" s="242" t="s">
        <v>1610</v>
      </c>
      <c r="L11" s="239" t="s">
        <v>1603</v>
      </c>
      <c r="M11" s="235" t="s">
        <v>28</v>
      </c>
      <c r="N11" s="238" t="s">
        <v>518</v>
      </c>
      <c r="O11" s="233" t="s">
        <v>519</v>
      </c>
      <c r="P11" s="235" t="s">
        <v>29</v>
      </c>
      <c r="Q11" s="239" t="s">
        <v>520</v>
      </c>
      <c r="R11" s="239" t="s">
        <v>521</v>
      </c>
      <c r="S11" s="235" t="s">
        <v>30</v>
      </c>
      <c r="T11" s="240">
        <v>4818000</v>
      </c>
      <c r="U11" s="147">
        <f t="shared" ref="U11:U37" si="0">T11*0.11</f>
        <v>529980</v>
      </c>
      <c r="V11" s="233"/>
      <c r="W11" s="241">
        <f t="shared" ref="W11:W31" si="1">T11+U11+V11</f>
        <v>5347980</v>
      </c>
      <c r="X11" s="31"/>
      <c r="Y11" s="31"/>
      <c r="Z11" s="31"/>
      <c r="AA11" s="31"/>
      <c r="AB11" s="31"/>
      <c r="AC11" s="31"/>
      <c r="AD11" s="700">
        <v>5000000</v>
      </c>
      <c r="AE11" s="700">
        <v>0</v>
      </c>
      <c r="AF11" s="700">
        <v>0</v>
      </c>
      <c r="AG11" s="701">
        <f>AE11+AF11</f>
        <v>0</v>
      </c>
      <c r="AH11" s="701">
        <f>AD11+AG11</f>
        <v>5000000</v>
      </c>
      <c r="AI11" s="15"/>
      <c r="AJ11" s="14"/>
      <c r="AK11" s="14"/>
      <c r="AL11" s="14"/>
      <c r="AM11" s="14"/>
    </row>
    <row r="12" spans="1:39" x14ac:dyDescent="0.25">
      <c r="A12" s="232">
        <v>3</v>
      </c>
      <c r="B12" s="233" t="s">
        <v>508</v>
      </c>
      <c r="C12" s="243" t="s">
        <v>522</v>
      </c>
      <c r="D12" s="705">
        <v>75</v>
      </c>
      <c r="E12" s="708" t="s">
        <v>1592</v>
      </c>
      <c r="F12" s="709"/>
      <c r="G12" s="707"/>
      <c r="H12" s="244" t="s">
        <v>523</v>
      </c>
      <c r="I12" s="235">
        <v>198946</v>
      </c>
      <c r="J12" s="237" t="s">
        <v>302</v>
      </c>
      <c r="K12" s="238" t="s">
        <v>524</v>
      </c>
      <c r="L12" s="239" t="s">
        <v>525</v>
      </c>
      <c r="M12" s="235" t="s">
        <v>28</v>
      </c>
      <c r="N12" s="238" t="s">
        <v>526</v>
      </c>
      <c r="O12" s="244" t="s">
        <v>527</v>
      </c>
      <c r="P12" s="235" t="s">
        <v>29</v>
      </c>
      <c r="Q12" s="239" t="s">
        <v>528</v>
      </c>
      <c r="R12" s="239" t="s">
        <v>529</v>
      </c>
      <c r="S12" s="235" t="s">
        <v>30</v>
      </c>
      <c r="T12" s="240">
        <v>5700000</v>
      </c>
      <c r="U12" s="147">
        <f t="shared" si="0"/>
        <v>627000</v>
      </c>
      <c r="V12" s="233"/>
      <c r="W12" s="241">
        <f t="shared" si="1"/>
        <v>6327000</v>
      </c>
      <c r="X12" s="31"/>
      <c r="Y12" s="31"/>
      <c r="Z12" s="31"/>
      <c r="AA12" s="31"/>
      <c r="AB12" s="31"/>
      <c r="AC12" s="31"/>
      <c r="AD12" s="700">
        <v>6270000</v>
      </c>
      <c r="AE12" s="700">
        <v>0</v>
      </c>
      <c r="AF12" s="700">
        <v>0</v>
      </c>
      <c r="AG12" s="701">
        <f>AE12+AF12</f>
        <v>0</v>
      </c>
      <c r="AH12" s="701">
        <f>AD12+AG12</f>
        <v>6270000</v>
      </c>
      <c r="AI12" s="15"/>
      <c r="AJ12" s="14"/>
      <c r="AK12" s="14"/>
      <c r="AL12" s="14"/>
      <c r="AM12" s="14"/>
    </row>
    <row r="13" spans="1:39" x14ac:dyDescent="0.25">
      <c r="A13" s="232">
        <v>4</v>
      </c>
      <c r="B13" s="233" t="s">
        <v>508</v>
      </c>
      <c r="C13" s="243" t="s">
        <v>530</v>
      </c>
      <c r="D13" s="706"/>
      <c r="E13" s="708"/>
      <c r="F13" s="710">
        <v>36</v>
      </c>
      <c r="G13" s="708" t="s">
        <v>1592</v>
      </c>
      <c r="H13" s="233" t="s">
        <v>531</v>
      </c>
      <c r="I13" s="235">
        <v>7701025</v>
      </c>
      <c r="J13" s="237" t="s">
        <v>266</v>
      </c>
      <c r="K13" s="238" t="s">
        <v>532</v>
      </c>
      <c r="L13" s="239" t="s">
        <v>533</v>
      </c>
      <c r="M13" s="235" t="s">
        <v>28</v>
      </c>
      <c r="N13" s="238" t="s">
        <v>534</v>
      </c>
      <c r="O13" s="244" t="s">
        <v>535</v>
      </c>
      <c r="P13" s="235" t="s">
        <v>29</v>
      </c>
      <c r="Q13" s="239" t="s">
        <v>536</v>
      </c>
      <c r="R13" s="239" t="s">
        <v>537</v>
      </c>
      <c r="S13" s="235" t="s">
        <v>30</v>
      </c>
      <c r="T13" s="245">
        <v>45045045</v>
      </c>
      <c r="U13" s="147">
        <f t="shared" si="0"/>
        <v>4954954.95</v>
      </c>
      <c r="V13" s="233"/>
      <c r="W13" s="241">
        <f t="shared" si="1"/>
        <v>49999999.950000003</v>
      </c>
      <c r="X13" s="31"/>
      <c r="Y13" s="31"/>
      <c r="Z13" s="31"/>
      <c r="AA13" s="31"/>
      <c r="AB13" s="31"/>
      <c r="AC13" s="31"/>
      <c r="AD13" s="700">
        <v>0</v>
      </c>
      <c r="AE13" s="700">
        <v>0</v>
      </c>
      <c r="AF13" s="700">
        <v>0</v>
      </c>
      <c r="AG13" s="701">
        <f>AE13+AF13</f>
        <v>0</v>
      </c>
      <c r="AH13" s="701">
        <f>AD13+AG13</f>
        <v>0</v>
      </c>
      <c r="AI13" s="15"/>
      <c r="AJ13" s="14"/>
      <c r="AK13" s="14"/>
      <c r="AL13" s="14"/>
      <c r="AM13" s="14"/>
    </row>
    <row r="14" spans="1:39" x14ac:dyDescent="0.25">
      <c r="A14" s="232">
        <v>5</v>
      </c>
      <c r="B14" s="233" t="s">
        <v>508</v>
      </c>
      <c r="C14" s="243" t="s">
        <v>538</v>
      </c>
      <c r="D14" s="706"/>
      <c r="E14" s="708"/>
      <c r="F14" s="710">
        <v>36</v>
      </c>
      <c r="G14" s="708" t="s">
        <v>1592</v>
      </c>
      <c r="H14" s="243" t="s">
        <v>539</v>
      </c>
      <c r="I14" s="235">
        <v>675907</v>
      </c>
      <c r="J14" s="237" t="s">
        <v>250</v>
      </c>
      <c r="K14" s="238" t="s">
        <v>540</v>
      </c>
      <c r="L14" s="239" t="s">
        <v>541</v>
      </c>
      <c r="M14" s="235" t="s">
        <v>28</v>
      </c>
      <c r="N14" s="238" t="s">
        <v>542</v>
      </c>
      <c r="O14" s="244" t="s">
        <v>543</v>
      </c>
      <c r="P14" s="235" t="s">
        <v>29</v>
      </c>
      <c r="Q14" s="239" t="s">
        <v>544</v>
      </c>
      <c r="R14" s="239" t="s">
        <v>545</v>
      </c>
      <c r="S14" s="235" t="s">
        <v>30</v>
      </c>
      <c r="T14" s="240">
        <v>66000000</v>
      </c>
      <c r="U14" s="147">
        <f t="shared" si="0"/>
        <v>7260000</v>
      </c>
      <c r="V14" s="233"/>
      <c r="W14" s="241">
        <f t="shared" si="1"/>
        <v>73260000</v>
      </c>
      <c r="X14" s="31"/>
      <c r="Y14" s="31"/>
      <c r="Z14" s="31"/>
      <c r="AA14" s="31"/>
      <c r="AB14" s="31"/>
      <c r="AC14" s="31"/>
      <c r="AD14" s="700">
        <v>0</v>
      </c>
      <c r="AE14" s="700">
        <v>0</v>
      </c>
      <c r="AF14" s="700">
        <v>0</v>
      </c>
      <c r="AG14" s="701">
        <f>AE14+AF14</f>
        <v>0</v>
      </c>
      <c r="AH14" s="701">
        <f>AD14+AG14</f>
        <v>0</v>
      </c>
      <c r="AI14" s="15"/>
      <c r="AJ14" s="14"/>
      <c r="AK14" s="14"/>
      <c r="AL14" s="14"/>
      <c r="AM14" s="14"/>
    </row>
    <row r="15" spans="1:39" x14ac:dyDescent="0.25">
      <c r="A15" s="232">
        <v>6</v>
      </c>
      <c r="B15" s="233" t="s">
        <v>508</v>
      </c>
      <c r="C15" s="243" t="s">
        <v>546</v>
      </c>
      <c r="D15" s="706">
        <v>500</v>
      </c>
      <c r="E15" s="708" t="s">
        <v>1592</v>
      </c>
      <c r="F15" s="709"/>
      <c r="G15" s="707"/>
      <c r="H15" s="243" t="s">
        <v>547</v>
      </c>
      <c r="I15" s="235">
        <v>7701021</v>
      </c>
      <c r="J15" s="237" t="s">
        <v>548</v>
      </c>
      <c r="K15" s="238" t="s">
        <v>549</v>
      </c>
      <c r="L15" s="239" t="s">
        <v>550</v>
      </c>
      <c r="M15" s="235" t="s">
        <v>28</v>
      </c>
      <c r="N15" s="238" t="s">
        <v>551</v>
      </c>
      <c r="O15" s="246" t="s">
        <v>552</v>
      </c>
      <c r="P15" s="235" t="s">
        <v>29</v>
      </c>
      <c r="Q15" s="239" t="s">
        <v>553</v>
      </c>
      <c r="R15" s="239" t="s">
        <v>554</v>
      </c>
      <c r="S15" s="235" t="s">
        <v>30</v>
      </c>
      <c r="T15" s="240">
        <v>5280000</v>
      </c>
      <c r="U15" s="147">
        <f t="shared" si="0"/>
        <v>580800</v>
      </c>
      <c r="V15" s="233"/>
      <c r="W15" s="241">
        <f t="shared" si="1"/>
        <v>5860800</v>
      </c>
      <c r="X15" s="31"/>
      <c r="Y15" s="31"/>
      <c r="Z15" s="31"/>
      <c r="AA15" s="31"/>
      <c r="AB15" s="31"/>
      <c r="AC15" s="31"/>
      <c r="AD15" s="700">
        <v>0</v>
      </c>
      <c r="AE15" s="700">
        <v>0</v>
      </c>
      <c r="AF15" s="700">
        <v>0</v>
      </c>
      <c r="AG15" s="701">
        <f t="shared" ref="AG15:AG37" si="2">AE15+AF15</f>
        <v>0</v>
      </c>
      <c r="AH15" s="701">
        <f t="shared" ref="AH15:AH37" si="3">AD15+AG15</f>
        <v>0</v>
      </c>
      <c r="AI15" s="15"/>
      <c r="AJ15" s="14"/>
      <c r="AK15" s="14"/>
      <c r="AL15" s="14"/>
      <c r="AM15" s="14"/>
    </row>
    <row r="16" spans="1:39" x14ac:dyDescent="0.25">
      <c r="A16" s="232">
        <v>7</v>
      </c>
      <c r="B16" s="233" t="s">
        <v>508</v>
      </c>
      <c r="C16" s="243" t="s">
        <v>555</v>
      </c>
      <c r="D16" s="706"/>
      <c r="E16" s="708"/>
      <c r="F16" s="710">
        <v>18</v>
      </c>
      <c r="G16" s="708" t="s">
        <v>1592</v>
      </c>
      <c r="H16" s="233" t="s">
        <v>531</v>
      </c>
      <c r="I16" s="235">
        <v>458793</v>
      </c>
      <c r="J16" s="237" t="s">
        <v>556</v>
      </c>
      <c r="K16" s="238" t="s">
        <v>557</v>
      </c>
      <c r="L16" s="239" t="s">
        <v>558</v>
      </c>
      <c r="M16" s="235" t="s">
        <v>28</v>
      </c>
      <c r="N16" s="238" t="s">
        <v>559</v>
      </c>
      <c r="O16" s="244" t="s">
        <v>560</v>
      </c>
      <c r="P16" s="235" t="s">
        <v>29</v>
      </c>
      <c r="Q16" s="239" t="s">
        <v>561</v>
      </c>
      <c r="R16" s="239" t="s">
        <v>562</v>
      </c>
      <c r="S16" s="235" t="s">
        <v>30</v>
      </c>
      <c r="T16" s="240">
        <v>24200000</v>
      </c>
      <c r="U16" s="147">
        <f t="shared" si="0"/>
        <v>2662000</v>
      </c>
      <c r="V16" s="233"/>
      <c r="W16" s="241">
        <f t="shared" si="1"/>
        <v>26862000</v>
      </c>
      <c r="X16" s="31"/>
      <c r="Y16" s="31"/>
      <c r="Z16" s="31"/>
      <c r="AA16" s="31"/>
      <c r="AB16" s="31"/>
      <c r="AC16" s="31"/>
      <c r="AD16" s="700">
        <v>0</v>
      </c>
      <c r="AE16" s="700">
        <v>0</v>
      </c>
      <c r="AF16" s="700">
        <v>0</v>
      </c>
      <c r="AG16" s="701">
        <f t="shared" si="2"/>
        <v>0</v>
      </c>
      <c r="AH16" s="701">
        <f t="shared" si="3"/>
        <v>0</v>
      </c>
      <c r="AI16" s="15"/>
      <c r="AJ16" s="14"/>
      <c r="AK16" s="14"/>
      <c r="AL16" s="14"/>
      <c r="AM16" s="14"/>
    </row>
    <row r="17" spans="1:39" x14ac:dyDescent="0.25">
      <c r="A17" s="232">
        <v>8</v>
      </c>
      <c r="B17" s="233" t="s">
        <v>508</v>
      </c>
      <c r="C17" s="243" t="s">
        <v>563</v>
      </c>
      <c r="D17" s="706"/>
      <c r="E17" s="708"/>
      <c r="F17" s="710">
        <v>36</v>
      </c>
      <c r="G17" s="708" t="s">
        <v>1592</v>
      </c>
      <c r="H17" s="243" t="s">
        <v>564</v>
      </c>
      <c r="I17" s="235">
        <v>6143642</v>
      </c>
      <c r="J17" s="237" t="s">
        <v>565</v>
      </c>
      <c r="K17" s="238" t="s">
        <v>566</v>
      </c>
      <c r="L17" s="239" t="s">
        <v>567</v>
      </c>
      <c r="M17" s="235" t="s">
        <v>28</v>
      </c>
      <c r="N17" s="238" t="s">
        <v>568</v>
      </c>
      <c r="O17" s="244" t="s">
        <v>569</v>
      </c>
      <c r="P17" s="235" t="s">
        <v>29</v>
      </c>
      <c r="Q17" s="239" t="s">
        <v>570</v>
      </c>
      <c r="R17" s="239" t="s">
        <v>571</v>
      </c>
      <c r="S17" s="235" t="s">
        <v>30</v>
      </c>
      <c r="T17" s="240">
        <v>16500000</v>
      </c>
      <c r="U17" s="147">
        <f t="shared" si="0"/>
        <v>1815000</v>
      </c>
      <c r="V17" s="233"/>
      <c r="W17" s="241">
        <f t="shared" si="1"/>
        <v>18315000</v>
      </c>
      <c r="X17" s="31"/>
      <c r="Y17" s="31"/>
      <c r="Z17" s="31"/>
      <c r="AA17" s="31"/>
      <c r="AB17" s="31"/>
      <c r="AC17" s="31"/>
      <c r="AD17" s="700">
        <v>0</v>
      </c>
      <c r="AE17" s="700">
        <v>0</v>
      </c>
      <c r="AF17" s="700">
        <v>0</v>
      </c>
      <c r="AG17" s="701">
        <f t="shared" si="2"/>
        <v>0</v>
      </c>
      <c r="AH17" s="701">
        <f t="shared" si="3"/>
        <v>0</v>
      </c>
      <c r="AI17" s="15"/>
      <c r="AJ17" s="14"/>
      <c r="AK17" s="14"/>
      <c r="AL17" s="14"/>
      <c r="AM17" s="14"/>
    </row>
    <row r="18" spans="1:39" x14ac:dyDescent="0.25">
      <c r="A18" s="232">
        <v>9</v>
      </c>
      <c r="B18" s="233" t="s">
        <v>508</v>
      </c>
      <c r="C18" s="234" t="s">
        <v>555</v>
      </c>
      <c r="D18" s="712"/>
      <c r="E18" s="708"/>
      <c r="F18" s="710">
        <v>18</v>
      </c>
      <c r="G18" s="708" t="s">
        <v>1592</v>
      </c>
      <c r="H18" s="233" t="s">
        <v>531</v>
      </c>
      <c r="I18" s="235">
        <v>6388547</v>
      </c>
      <c r="J18" s="237" t="s">
        <v>572</v>
      </c>
      <c r="K18" s="238" t="s">
        <v>573</v>
      </c>
      <c r="L18" s="239" t="s">
        <v>574</v>
      </c>
      <c r="M18" s="235" t="s">
        <v>28</v>
      </c>
      <c r="N18" s="238" t="s">
        <v>575</v>
      </c>
      <c r="O18" s="244" t="s">
        <v>576</v>
      </c>
      <c r="P18" s="235" t="s">
        <v>29</v>
      </c>
      <c r="Q18" s="239" t="s">
        <v>577</v>
      </c>
      <c r="R18" s="239" t="s">
        <v>578</v>
      </c>
      <c r="S18" s="235" t="s">
        <v>30</v>
      </c>
      <c r="T18" s="240">
        <v>22000000</v>
      </c>
      <c r="U18" s="147">
        <f t="shared" si="0"/>
        <v>2420000</v>
      </c>
      <c r="V18" s="233"/>
      <c r="W18" s="241">
        <f t="shared" si="1"/>
        <v>24420000</v>
      </c>
      <c r="X18" s="31"/>
      <c r="Y18" s="31"/>
      <c r="Z18" s="31"/>
      <c r="AA18" s="31"/>
      <c r="AB18" s="31"/>
      <c r="AC18" s="31"/>
      <c r="AD18" s="700">
        <v>0</v>
      </c>
      <c r="AE18" s="700">
        <v>0</v>
      </c>
      <c r="AF18" s="700">
        <v>0</v>
      </c>
      <c r="AG18" s="701">
        <f t="shared" si="2"/>
        <v>0</v>
      </c>
      <c r="AH18" s="701">
        <f t="shared" si="3"/>
        <v>0</v>
      </c>
      <c r="AI18" s="15"/>
      <c r="AJ18" s="14"/>
      <c r="AK18" s="14"/>
      <c r="AL18" s="14"/>
      <c r="AM18" s="14"/>
    </row>
    <row r="19" spans="1:39" x14ac:dyDescent="0.25">
      <c r="A19" s="232">
        <v>10</v>
      </c>
      <c r="B19" s="233" t="s">
        <v>508</v>
      </c>
      <c r="C19" s="234" t="s">
        <v>579</v>
      </c>
      <c r="D19" s="712"/>
      <c r="E19" s="708"/>
      <c r="F19" s="710">
        <v>15</v>
      </c>
      <c r="G19" s="708" t="s">
        <v>1592</v>
      </c>
      <c r="H19" s="233" t="s">
        <v>580</v>
      </c>
      <c r="I19" s="247">
        <v>7701025</v>
      </c>
      <c r="J19" s="237" t="s">
        <v>189</v>
      </c>
      <c r="K19" s="238" t="s">
        <v>581</v>
      </c>
      <c r="L19" s="239" t="s">
        <v>582</v>
      </c>
      <c r="M19" s="235" t="s">
        <v>28</v>
      </c>
      <c r="N19" s="238" t="s">
        <v>583</v>
      </c>
      <c r="O19" s="246" t="s">
        <v>584</v>
      </c>
      <c r="P19" s="235" t="s">
        <v>29</v>
      </c>
      <c r="Q19" s="239" t="s">
        <v>585</v>
      </c>
      <c r="R19" s="239" t="s">
        <v>586</v>
      </c>
      <c r="S19" s="235" t="s">
        <v>30</v>
      </c>
      <c r="T19" s="240">
        <v>3630000</v>
      </c>
      <c r="U19" s="147">
        <f t="shared" si="0"/>
        <v>399300</v>
      </c>
      <c r="V19" s="233"/>
      <c r="W19" s="241">
        <f t="shared" si="1"/>
        <v>4029300</v>
      </c>
      <c r="X19" s="31"/>
      <c r="Y19" s="31"/>
      <c r="Z19" s="31"/>
      <c r="AA19" s="31"/>
      <c r="AB19" s="31"/>
      <c r="AC19" s="31"/>
      <c r="AD19" s="700">
        <v>0</v>
      </c>
      <c r="AE19" s="700">
        <v>0</v>
      </c>
      <c r="AF19" s="700">
        <v>0</v>
      </c>
      <c r="AG19" s="701">
        <f t="shared" si="2"/>
        <v>0</v>
      </c>
      <c r="AH19" s="701">
        <f t="shared" si="3"/>
        <v>0</v>
      </c>
      <c r="AI19" s="15"/>
      <c r="AJ19" s="14"/>
      <c r="AK19" s="14"/>
      <c r="AL19" s="14"/>
      <c r="AM19" s="14"/>
    </row>
    <row r="20" spans="1:39" x14ac:dyDescent="0.25">
      <c r="A20" s="232">
        <v>11</v>
      </c>
      <c r="B20" s="233" t="s">
        <v>508</v>
      </c>
      <c r="C20" s="234" t="s">
        <v>587</v>
      </c>
      <c r="D20" s="712"/>
      <c r="E20" s="708"/>
      <c r="F20" s="710">
        <v>36</v>
      </c>
      <c r="G20" s="708" t="s">
        <v>1592</v>
      </c>
      <c r="H20" s="234" t="s">
        <v>588</v>
      </c>
      <c r="I20" s="235">
        <v>7701025</v>
      </c>
      <c r="J20" s="237" t="s">
        <v>266</v>
      </c>
      <c r="K20" s="238" t="s">
        <v>589</v>
      </c>
      <c r="L20" s="239" t="s">
        <v>590</v>
      </c>
      <c r="M20" s="235" t="s">
        <v>28</v>
      </c>
      <c r="N20" s="238" t="s">
        <v>591</v>
      </c>
      <c r="O20" s="246" t="s">
        <v>592</v>
      </c>
      <c r="P20" s="235" t="s">
        <v>29</v>
      </c>
      <c r="Q20" s="239" t="s">
        <v>593</v>
      </c>
      <c r="R20" s="239" t="s">
        <v>594</v>
      </c>
      <c r="S20" s="235" t="s">
        <v>30</v>
      </c>
      <c r="T20" s="240">
        <v>16500000</v>
      </c>
      <c r="U20" s="147">
        <f>T20*0.11</f>
        <v>1815000</v>
      </c>
      <c r="V20" s="233"/>
      <c r="W20" s="241">
        <f t="shared" si="1"/>
        <v>18315000</v>
      </c>
      <c r="X20" s="31"/>
      <c r="Y20" s="31"/>
      <c r="Z20" s="31"/>
      <c r="AA20" s="31"/>
      <c r="AB20" s="31"/>
      <c r="AC20" s="31"/>
      <c r="AD20" s="700">
        <v>0</v>
      </c>
      <c r="AE20" s="700">
        <v>0</v>
      </c>
      <c r="AF20" s="700">
        <v>0</v>
      </c>
      <c r="AG20" s="701">
        <f t="shared" si="2"/>
        <v>0</v>
      </c>
      <c r="AH20" s="701">
        <f t="shared" si="3"/>
        <v>0</v>
      </c>
      <c r="AI20" s="15"/>
      <c r="AJ20" s="14"/>
      <c r="AK20" s="14"/>
      <c r="AL20" s="14"/>
      <c r="AM20" s="14"/>
    </row>
    <row r="21" spans="1:39" x14ac:dyDescent="0.25">
      <c r="A21" s="232">
        <v>12</v>
      </c>
      <c r="B21" s="233" t="s">
        <v>508</v>
      </c>
      <c r="C21" s="234" t="s">
        <v>595</v>
      </c>
      <c r="D21" s="704">
        <v>15</v>
      </c>
      <c r="E21" s="708" t="s">
        <v>1592</v>
      </c>
      <c r="F21" s="710">
        <v>15</v>
      </c>
      <c r="G21" s="708" t="s">
        <v>1592</v>
      </c>
      <c r="H21" s="233" t="s">
        <v>580</v>
      </c>
      <c r="I21" s="235">
        <v>874658</v>
      </c>
      <c r="J21" s="237" t="s">
        <v>596</v>
      </c>
      <c r="K21" s="238" t="s">
        <v>597</v>
      </c>
      <c r="L21" s="239" t="s">
        <v>598</v>
      </c>
      <c r="M21" s="235" t="s">
        <v>28</v>
      </c>
      <c r="N21" s="238" t="s">
        <v>599</v>
      </c>
      <c r="O21" s="246" t="s">
        <v>600</v>
      </c>
      <c r="P21" s="235" t="s">
        <v>29</v>
      </c>
      <c r="Q21" s="239" t="s">
        <v>601</v>
      </c>
      <c r="R21" s="239" t="s">
        <v>602</v>
      </c>
      <c r="S21" s="235" t="s">
        <v>30</v>
      </c>
      <c r="T21" s="240">
        <v>3300000</v>
      </c>
      <c r="U21" s="147">
        <f t="shared" si="0"/>
        <v>363000</v>
      </c>
      <c r="V21" s="233"/>
      <c r="W21" s="241">
        <f t="shared" si="1"/>
        <v>3663000</v>
      </c>
      <c r="X21" s="31"/>
      <c r="Y21" s="31"/>
      <c r="Z21" s="31"/>
      <c r="AA21" s="31"/>
      <c r="AB21" s="31"/>
      <c r="AC21" s="31"/>
      <c r="AD21" s="700">
        <v>0</v>
      </c>
      <c r="AE21" s="700">
        <v>0</v>
      </c>
      <c r="AF21" s="700">
        <v>0</v>
      </c>
      <c r="AG21" s="701">
        <f t="shared" si="2"/>
        <v>0</v>
      </c>
      <c r="AH21" s="701">
        <f t="shared" si="3"/>
        <v>0</v>
      </c>
      <c r="AI21" s="15"/>
      <c r="AJ21" s="14"/>
      <c r="AK21" s="14"/>
      <c r="AL21" s="14"/>
      <c r="AM21" s="14"/>
    </row>
    <row r="22" spans="1:39" x14ac:dyDescent="0.25">
      <c r="A22" s="232">
        <v>13</v>
      </c>
      <c r="B22" s="233" t="s">
        <v>508</v>
      </c>
      <c r="C22" s="243" t="s">
        <v>603</v>
      </c>
      <c r="D22" s="706">
        <v>4</v>
      </c>
      <c r="E22" s="708" t="s">
        <v>1592</v>
      </c>
      <c r="F22" s="709"/>
      <c r="G22" s="707"/>
      <c r="H22" s="233" t="s">
        <v>604</v>
      </c>
      <c r="I22" s="235">
        <v>7701025</v>
      </c>
      <c r="J22" s="237" t="s">
        <v>605</v>
      </c>
      <c r="K22" s="238" t="s">
        <v>606</v>
      </c>
      <c r="L22" s="239" t="s">
        <v>607</v>
      </c>
      <c r="M22" s="235" t="s">
        <v>28</v>
      </c>
      <c r="N22" s="248" t="s">
        <v>608</v>
      </c>
      <c r="O22" s="246" t="s">
        <v>609</v>
      </c>
      <c r="P22" s="235" t="s">
        <v>29</v>
      </c>
      <c r="Q22" s="239" t="s">
        <v>610</v>
      </c>
      <c r="R22" s="239" t="s">
        <v>611</v>
      </c>
      <c r="S22" s="235" t="s">
        <v>30</v>
      </c>
      <c r="T22" s="240">
        <v>1320000</v>
      </c>
      <c r="U22" s="147">
        <f t="shared" si="0"/>
        <v>145200</v>
      </c>
      <c r="V22" s="233"/>
      <c r="W22" s="241">
        <f t="shared" si="1"/>
        <v>1465200</v>
      </c>
      <c r="X22" s="31"/>
      <c r="Y22" s="31"/>
      <c r="Z22" s="31"/>
      <c r="AA22" s="31"/>
      <c r="AB22" s="31"/>
      <c r="AC22" s="31"/>
      <c r="AD22" s="700">
        <v>1500000</v>
      </c>
      <c r="AE22" s="700">
        <v>0</v>
      </c>
      <c r="AF22" s="700">
        <v>0</v>
      </c>
      <c r="AG22" s="701">
        <f t="shared" si="2"/>
        <v>0</v>
      </c>
      <c r="AH22" s="701">
        <f t="shared" si="3"/>
        <v>1500000</v>
      </c>
      <c r="AI22" s="15"/>
      <c r="AJ22" s="14"/>
      <c r="AK22" s="14"/>
      <c r="AL22" s="14"/>
      <c r="AM22" s="14"/>
    </row>
    <row r="23" spans="1:39" x14ac:dyDescent="0.25">
      <c r="A23" s="232">
        <v>14</v>
      </c>
      <c r="B23" s="233" t="s">
        <v>508</v>
      </c>
      <c r="C23" s="234" t="s">
        <v>612</v>
      </c>
      <c r="D23" s="712"/>
      <c r="E23" s="708"/>
      <c r="F23" s="710">
        <v>15</v>
      </c>
      <c r="G23" s="708" t="s">
        <v>1592</v>
      </c>
      <c r="H23" s="233" t="s">
        <v>613</v>
      </c>
      <c r="I23" s="235">
        <v>198946</v>
      </c>
      <c r="J23" s="237" t="s">
        <v>614</v>
      </c>
      <c r="K23" s="238" t="s">
        <v>615</v>
      </c>
      <c r="L23" s="239" t="s">
        <v>616</v>
      </c>
      <c r="M23" s="235" t="s">
        <v>28</v>
      </c>
      <c r="N23" s="238" t="s">
        <v>617</v>
      </c>
      <c r="O23" s="246" t="s">
        <v>618</v>
      </c>
      <c r="P23" s="235" t="s">
        <v>29</v>
      </c>
      <c r="Q23" s="239" t="s">
        <v>619</v>
      </c>
      <c r="R23" s="239" t="s">
        <v>620</v>
      </c>
      <c r="S23" s="235" t="s">
        <v>30</v>
      </c>
      <c r="T23" s="240">
        <v>3272727</v>
      </c>
      <c r="U23" s="147">
        <f t="shared" si="0"/>
        <v>359999.97000000003</v>
      </c>
      <c r="V23" s="233"/>
      <c r="W23" s="241">
        <f t="shared" si="1"/>
        <v>3632726.97</v>
      </c>
      <c r="X23" s="31"/>
      <c r="Y23" s="31"/>
      <c r="Z23" s="31"/>
      <c r="AA23" s="31"/>
      <c r="AB23" s="31"/>
      <c r="AC23" s="31"/>
      <c r="AD23" s="700">
        <v>0</v>
      </c>
      <c r="AE23" s="700">
        <v>0</v>
      </c>
      <c r="AF23" s="700">
        <v>0</v>
      </c>
      <c r="AG23" s="701">
        <f t="shared" si="2"/>
        <v>0</v>
      </c>
      <c r="AH23" s="701">
        <f t="shared" si="3"/>
        <v>0</v>
      </c>
      <c r="AI23" s="15"/>
      <c r="AJ23" s="14"/>
      <c r="AK23" s="14"/>
      <c r="AL23" s="14"/>
      <c r="AM23" s="14"/>
    </row>
    <row r="24" spans="1:39" x14ac:dyDescent="0.25">
      <c r="A24" s="232">
        <v>15</v>
      </c>
      <c r="B24" s="233" t="s">
        <v>508</v>
      </c>
      <c r="C24" s="234" t="s">
        <v>621</v>
      </c>
      <c r="D24" s="704">
        <v>800</v>
      </c>
      <c r="E24" s="708" t="s">
        <v>1592</v>
      </c>
      <c r="F24" s="709"/>
      <c r="G24" s="715"/>
      <c r="H24" s="233" t="s">
        <v>622</v>
      </c>
      <c r="I24" s="235">
        <v>7701026</v>
      </c>
      <c r="J24" s="237" t="s">
        <v>623</v>
      </c>
      <c r="K24" s="238" t="s">
        <v>624</v>
      </c>
      <c r="L24" s="239" t="s">
        <v>625</v>
      </c>
      <c r="M24" s="235" t="s">
        <v>28</v>
      </c>
      <c r="N24" s="238" t="s">
        <v>626</v>
      </c>
      <c r="O24" s="246" t="s">
        <v>627</v>
      </c>
      <c r="P24" s="235" t="s">
        <v>29</v>
      </c>
      <c r="Q24" s="239" t="s">
        <v>628</v>
      </c>
      <c r="R24" s="239" t="s">
        <v>629</v>
      </c>
      <c r="S24" s="247" t="s">
        <v>30</v>
      </c>
      <c r="T24" s="240">
        <v>40000000</v>
      </c>
      <c r="U24" s="147">
        <f t="shared" si="0"/>
        <v>4400000</v>
      </c>
      <c r="V24" s="233"/>
      <c r="W24" s="241">
        <f t="shared" si="1"/>
        <v>44400000</v>
      </c>
      <c r="X24" s="31"/>
      <c r="Y24" s="31"/>
      <c r="Z24" s="31"/>
      <c r="AA24" s="31"/>
      <c r="AB24" s="31"/>
      <c r="AC24" s="31"/>
      <c r="AD24" s="700">
        <v>0</v>
      </c>
      <c r="AE24" s="700">
        <v>0</v>
      </c>
      <c r="AF24" s="700">
        <v>0</v>
      </c>
      <c r="AG24" s="701">
        <f t="shared" si="2"/>
        <v>0</v>
      </c>
      <c r="AH24" s="701">
        <f t="shared" si="3"/>
        <v>0</v>
      </c>
      <c r="AI24" s="15"/>
      <c r="AJ24" s="14"/>
      <c r="AK24" s="14"/>
      <c r="AL24" s="14"/>
      <c r="AM24" s="14"/>
    </row>
    <row r="25" spans="1:39" x14ac:dyDescent="0.25">
      <c r="A25" s="232">
        <v>16</v>
      </c>
      <c r="B25" s="233" t="s">
        <v>508</v>
      </c>
      <c r="C25" s="234" t="s">
        <v>630</v>
      </c>
      <c r="D25" s="704">
        <v>20</v>
      </c>
      <c r="E25" s="708" t="s">
        <v>1592</v>
      </c>
      <c r="F25" s="709"/>
      <c r="G25" s="715"/>
      <c r="H25" s="234" t="s">
        <v>631</v>
      </c>
      <c r="I25" s="235">
        <v>918889</v>
      </c>
      <c r="J25" s="237" t="s">
        <v>632</v>
      </c>
      <c r="K25" s="238" t="s">
        <v>633</v>
      </c>
      <c r="L25" s="239" t="s">
        <v>634</v>
      </c>
      <c r="M25" s="235" t="s">
        <v>28</v>
      </c>
      <c r="N25" s="238" t="s">
        <v>635</v>
      </c>
      <c r="O25" s="246" t="s">
        <v>636</v>
      </c>
      <c r="P25" s="235" t="s">
        <v>29</v>
      </c>
      <c r="Q25" s="239" t="s">
        <v>637</v>
      </c>
      <c r="R25" s="239" t="s">
        <v>638</v>
      </c>
      <c r="S25" s="235" t="s">
        <v>30</v>
      </c>
      <c r="T25" s="240">
        <v>5000000</v>
      </c>
      <c r="U25" s="147">
        <f t="shared" si="0"/>
        <v>550000</v>
      </c>
      <c r="V25" s="233"/>
      <c r="W25" s="241">
        <f t="shared" si="1"/>
        <v>5550000</v>
      </c>
      <c r="X25" s="31"/>
      <c r="Y25" s="31"/>
      <c r="Z25" s="31"/>
      <c r="AA25" s="31"/>
      <c r="AB25" s="31"/>
      <c r="AC25" s="31"/>
      <c r="AD25" s="700">
        <v>0</v>
      </c>
      <c r="AE25" s="700">
        <v>0</v>
      </c>
      <c r="AF25" s="700">
        <v>0</v>
      </c>
      <c r="AG25" s="701">
        <f t="shared" si="2"/>
        <v>0</v>
      </c>
      <c r="AH25" s="701">
        <f t="shared" si="3"/>
        <v>0</v>
      </c>
      <c r="AI25" s="15"/>
      <c r="AJ25" s="14"/>
      <c r="AK25" s="14"/>
      <c r="AL25" s="14"/>
      <c r="AM25" s="14"/>
    </row>
    <row r="26" spans="1:39" x14ac:dyDescent="0.25">
      <c r="A26" s="232">
        <v>17</v>
      </c>
      <c r="B26" s="233" t="s">
        <v>508</v>
      </c>
      <c r="C26" s="234" t="s">
        <v>639</v>
      </c>
      <c r="D26" s="712"/>
      <c r="E26" s="708"/>
      <c r="F26" s="710">
        <v>36</v>
      </c>
      <c r="G26" s="708" t="s">
        <v>1592</v>
      </c>
      <c r="H26" s="234" t="s">
        <v>640</v>
      </c>
      <c r="I26" s="235">
        <v>7701026</v>
      </c>
      <c r="J26" s="237" t="s">
        <v>641</v>
      </c>
      <c r="K26" s="238" t="s">
        <v>642</v>
      </c>
      <c r="L26" s="239" t="s">
        <v>643</v>
      </c>
      <c r="M26" s="235" t="s">
        <v>28</v>
      </c>
      <c r="N26" s="238" t="s">
        <v>644</v>
      </c>
      <c r="O26" s="246" t="s">
        <v>645</v>
      </c>
      <c r="P26" s="235" t="s">
        <v>29</v>
      </c>
      <c r="Q26" s="239" t="s">
        <v>646</v>
      </c>
      <c r="R26" s="239" t="s">
        <v>647</v>
      </c>
      <c r="S26" s="235" t="s">
        <v>30</v>
      </c>
      <c r="T26" s="240">
        <v>4685517</v>
      </c>
      <c r="U26" s="147">
        <f t="shared" si="0"/>
        <v>515406.87</v>
      </c>
      <c r="V26" s="233"/>
      <c r="W26" s="241">
        <f t="shared" si="1"/>
        <v>5200923.87</v>
      </c>
      <c r="X26" s="31"/>
      <c r="Y26" s="31"/>
      <c r="Z26" s="31"/>
      <c r="AA26" s="31"/>
      <c r="AB26" s="31"/>
      <c r="AC26" s="31"/>
      <c r="AD26" s="700">
        <v>0</v>
      </c>
      <c r="AE26" s="700">
        <v>0</v>
      </c>
      <c r="AF26" s="700">
        <v>0</v>
      </c>
      <c r="AG26" s="701">
        <f t="shared" si="2"/>
        <v>0</v>
      </c>
      <c r="AH26" s="701">
        <f t="shared" si="3"/>
        <v>0</v>
      </c>
      <c r="AI26" s="15"/>
      <c r="AJ26" s="14"/>
      <c r="AK26" s="14"/>
      <c r="AL26" s="14"/>
      <c r="AM26" s="14"/>
    </row>
    <row r="27" spans="1:39" x14ac:dyDescent="0.25">
      <c r="A27" s="232">
        <v>18</v>
      </c>
      <c r="B27" s="233" t="s">
        <v>508</v>
      </c>
      <c r="C27" s="234" t="s">
        <v>648</v>
      </c>
      <c r="D27" s="712"/>
      <c r="E27" s="708"/>
      <c r="F27" s="710">
        <v>45</v>
      </c>
      <c r="G27" s="708" t="s">
        <v>1592</v>
      </c>
      <c r="H27" s="234" t="s">
        <v>649</v>
      </c>
      <c r="I27" s="235">
        <v>6143642</v>
      </c>
      <c r="J27" s="237" t="s">
        <v>641</v>
      </c>
      <c r="K27" s="238" t="s">
        <v>650</v>
      </c>
      <c r="L27" s="239" t="s">
        <v>651</v>
      </c>
      <c r="M27" s="235" t="s">
        <v>28</v>
      </c>
      <c r="N27" s="238" t="s">
        <v>652</v>
      </c>
      <c r="O27" s="234" t="s">
        <v>649</v>
      </c>
      <c r="P27" s="235" t="s">
        <v>29</v>
      </c>
      <c r="Q27" s="239" t="s">
        <v>653</v>
      </c>
      <c r="R27" s="239" t="s">
        <v>654</v>
      </c>
      <c r="S27" s="235" t="s">
        <v>30</v>
      </c>
      <c r="T27" s="240">
        <v>4090909</v>
      </c>
      <c r="U27" s="147">
        <f t="shared" si="0"/>
        <v>449999.99</v>
      </c>
      <c r="V27" s="233"/>
      <c r="W27" s="241">
        <f t="shared" si="1"/>
        <v>4540908.99</v>
      </c>
      <c r="X27" s="31"/>
      <c r="Y27" s="31"/>
      <c r="Z27" s="31"/>
      <c r="AA27" s="31"/>
      <c r="AB27" s="31"/>
      <c r="AC27" s="31"/>
      <c r="AD27" s="700">
        <v>0</v>
      </c>
      <c r="AE27" s="700">
        <v>0</v>
      </c>
      <c r="AF27" s="700">
        <v>0</v>
      </c>
      <c r="AG27" s="701">
        <f t="shared" si="2"/>
        <v>0</v>
      </c>
      <c r="AH27" s="701">
        <f t="shared" si="3"/>
        <v>0</v>
      </c>
      <c r="AI27" s="15"/>
      <c r="AJ27" s="14"/>
      <c r="AK27" s="14"/>
      <c r="AL27" s="14"/>
      <c r="AM27" s="14"/>
    </row>
    <row r="28" spans="1:39" x14ac:dyDescent="0.25">
      <c r="A28" s="232">
        <v>19</v>
      </c>
      <c r="B28" s="233" t="s">
        <v>508</v>
      </c>
      <c r="C28" s="234" t="s">
        <v>655</v>
      </c>
      <c r="D28" s="704">
        <v>300</v>
      </c>
      <c r="E28" s="708" t="s">
        <v>1592</v>
      </c>
      <c r="F28" s="709"/>
      <c r="G28" s="707"/>
      <c r="H28" s="234" t="s">
        <v>656</v>
      </c>
      <c r="I28" s="235">
        <v>7701026</v>
      </c>
      <c r="J28" s="237" t="s">
        <v>657</v>
      </c>
      <c r="K28" s="238" t="s">
        <v>658</v>
      </c>
      <c r="L28" s="239" t="s">
        <v>659</v>
      </c>
      <c r="M28" s="235" t="s">
        <v>28</v>
      </c>
      <c r="N28" s="238" t="s">
        <v>660</v>
      </c>
      <c r="O28" s="238" t="s">
        <v>661</v>
      </c>
      <c r="P28" s="235" t="s">
        <v>29</v>
      </c>
      <c r="Q28" s="239" t="s">
        <v>662</v>
      </c>
      <c r="R28" s="239" t="s">
        <v>663</v>
      </c>
      <c r="S28" s="235" t="s">
        <v>30</v>
      </c>
      <c r="T28" s="240">
        <v>6000000</v>
      </c>
      <c r="U28" s="147">
        <f t="shared" si="0"/>
        <v>660000</v>
      </c>
      <c r="V28" s="233"/>
      <c r="W28" s="241">
        <f t="shared" si="1"/>
        <v>6660000</v>
      </c>
      <c r="X28" s="31"/>
      <c r="Y28" s="31"/>
      <c r="Z28" s="31"/>
      <c r="AA28" s="31"/>
      <c r="AB28" s="31"/>
      <c r="AC28" s="31"/>
      <c r="AD28" s="700">
        <v>0</v>
      </c>
      <c r="AE28" s="700">
        <v>0</v>
      </c>
      <c r="AF28" s="700">
        <v>0</v>
      </c>
      <c r="AG28" s="701">
        <f t="shared" si="2"/>
        <v>0</v>
      </c>
      <c r="AH28" s="701">
        <f t="shared" si="3"/>
        <v>0</v>
      </c>
      <c r="AI28" s="15"/>
      <c r="AJ28" s="14"/>
      <c r="AK28" s="14"/>
      <c r="AL28" s="14"/>
      <c r="AM28" s="14"/>
    </row>
    <row r="29" spans="1:39" x14ac:dyDescent="0.25">
      <c r="A29" s="232">
        <v>20</v>
      </c>
      <c r="B29" s="233" t="s">
        <v>508</v>
      </c>
      <c r="C29" s="234" t="s">
        <v>509</v>
      </c>
      <c r="D29" s="712"/>
      <c r="E29" s="708"/>
      <c r="F29" s="710">
        <v>24</v>
      </c>
      <c r="G29" s="708" t="s">
        <v>1592</v>
      </c>
      <c r="H29" s="233" t="s">
        <v>511</v>
      </c>
      <c r="I29" s="235">
        <v>6143642</v>
      </c>
      <c r="J29" s="237" t="s">
        <v>657</v>
      </c>
      <c r="K29" s="238" t="s">
        <v>664</v>
      </c>
      <c r="L29" s="239" t="s">
        <v>665</v>
      </c>
      <c r="M29" s="235" t="s">
        <v>28</v>
      </c>
      <c r="N29" s="238" t="s">
        <v>666</v>
      </c>
      <c r="O29" s="246" t="s">
        <v>667</v>
      </c>
      <c r="P29" s="235" t="s">
        <v>29</v>
      </c>
      <c r="Q29" s="239" t="s">
        <v>668</v>
      </c>
      <c r="R29" s="239" t="s">
        <v>669</v>
      </c>
      <c r="S29" s="235" t="s">
        <v>30</v>
      </c>
      <c r="T29" s="240">
        <v>5000000</v>
      </c>
      <c r="U29" s="147">
        <f t="shared" si="0"/>
        <v>550000</v>
      </c>
      <c r="V29" s="233"/>
      <c r="W29" s="241">
        <f t="shared" si="1"/>
        <v>5550000</v>
      </c>
      <c r="X29" s="31"/>
      <c r="Y29" s="31"/>
      <c r="Z29" s="31"/>
      <c r="AA29" s="31"/>
      <c r="AB29" s="31"/>
      <c r="AC29" s="31"/>
      <c r="AD29" s="700">
        <v>0</v>
      </c>
      <c r="AE29" s="700">
        <v>0</v>
      </c>
      <c r="AF29" s="700">
        <v>0</v>
      </c>
      <c r="AG29" s="701">
        <f t="shared" si="2"/>
        <v>0</v>
      </c>
      <c r="AH29" s="701">
        <f t="shared" si="3"/>
        <v>0</v>
      </c>
      <c r="AI29" s="15"/>
      <c r="AJ29" s="14"/>
      <c r="AK29" s="14"/>
      <c r="AL29" s="14"/>
      <c r="AM29" s="14"/>
    </row>
    <row r="30" spans="1:39" x14ac:dyDescent="0.25">
      <c r="A30" s="232">
        <v>21</v>
      </c>
      <c r="B30" s="249" t="s">
        <v>508</v>
      </c>
      <c r="C30" s="250" t="s">
        <v>670</v>
      </c>
      <c r="D30" s="713"/>
      <c r="E30" s="719"/>
      <c r="F30" s="717">
        <v>36</v>
      </c>
      <c r="G30" s="708" t="s">
        <v>1592</v>
      </c>
      <c r="H30" s="251" t="s">
        <v>523</v>
      </c>
      <c r="I30" s="235">
        <v>9111655</v>
      </c>
      <c r="J30" s="252" t="s">
        <v>641</v>
      </c>
      <c r="K30" s="253" t="s">
        <v>671</v>
      </c>
      <c r="L30" s="239" t="s">
        <v>672</v>
      </c>
      <c r="M30" s="247" t="s">
        <v>28</v>
      </c>
      <c r="N30" s="253" t="s">
        <v>526</v>
      </c>
      <c r="O30" s="251" t="s">
        <v>527</v>
      </c>
      <c r="P30" s="247" t="s">
        <v>29</v>
      </c>
      <c r="Q30" s="239" t="s">
        <v>673</v>
      </c>
      <c r="R30" s="239" t="s">
        <v>674</v>
      </c>
      <c r="S30" s="247" t="s">
        <v>30</v>
      </c>
      <c r="T30" s="240">
        <v>4400000</v>
      </c>
      <c r="U30" s="147">
        <f t="shared" si="0"/>
        <v>484000</v>
      </c>
      <c r="V30" s="249"/>
      <c r="W30" s="254">
        <f t="shared" si="1"/>
        <v>4884000</v>
      </c>
      <c r="X30" s="31"/>
      <c r="Y30" s="31"/>
      <c r="Z30" s="31"/>
      <c r="AA30" s="31"/>
      <c r="AB30" s="31"/>
      <c r="AC30" s="31"/>
      <c r="AD30" s="700">
        <v>0</v>
      </c>
      <c r="AE30" s="700">
        <v>0</v>
      </c>
      <c r="AF30" s="700">
        <v>0</v>
      </c>
      <c r="AG30" s="701">
        <f t="shared" si="2"/>
        <v>0</v>
      </c>
      <c r="AH30" s="701">
        <f t="shared" si="3"/>
        <v>0</v>
      </c>
      <c r="AI30" s="15"/>
      <c r="AJ30" s="14"/>
      <c r="AK30" s="14"/>
      <c r="AL30" s="14"/>
      <c r="AM30" s="14"/>
    </row>
    <row r="31" spans="1:39" x14ac:dyDescent="0.25">
      <c r="A31" s="232">
        <v>22</v>
      </c>
      <c r="B31" s="249" t="s">
        <v>508</v>
      </c>
      <c r="C31" s="250" t="s">
        <v>675</v>
      </c>
      <c r="D31" s="718">
        <v>14</v>
      </c>
      <c r="E31" s="708" t="s">
        <v>1592</v>
      </c>
      <c r="F31" s="716"/>
      <c r="G31" s="711"/>
      <c r="H31" s="251" t="s">
        <v>676</v>
      </c>
      <c r="I31" s="235" t="s">
        <v>298</v>
      </c>
      <c r="J31" s="252" t="s">
        <v>299</v>
      </c>
      <c r="K31" s="253" t="s">
        <v>677</v>
      </c>
      <c r="L31" s="239" t="s">
        <v>678</v>
      </c>
      <c r="M31" s="247" t="s">
        <v>28</v>
      </c>
      <c r="N31" s="253" t="s">
        <v>679</v>
      </c>
      <c r="O31" s="251" t="s">
        <v>676</v>
      </c>
      <c r="P31" s="235" t="s">
        <v>29</v>
      </c>
      <c r="Q31" s="239" t="s">
        <v>680</v>
      </c>
      <c r="R31" s="239" t="s">
        <v>681</v>
      </c>
      <c r="S31" s="247" t="s">
        <v>30</v>
      </c>
      <c r="T31" s="240">
        <v>4000000</v>
      </c>
      <c r="U31" s="147">
        <f t="shared" si="0"/>
        <v>440000</v>
      </c>
      <c r="V31" s="249"/>
      <c r="W31" s="254">
        <f t="shared" si="1"/>
        <v>4440000</v>
      </c>
      <c r="X31" s="31"/>
      <c r="Y31" s="31"/>
      <c r="Z31" s="31"/>
      <c r="AA31" s="31"/>
      <c r="AB31" s="31"/>
      <c r="AC31" s="31"/>
      <c r="AD31" s="700">
        <v>0</v>
      </c>
      <c r="AE31" s="700">
        <v>0</v>
      </c>
      <c r="AF31" s="700">
        <v>0</v>
      </c>
      <c r="AG31" s="701">
        <f t="shared" si="2"/>
        <v>0</v>
      </c>
      <c r="AH31" s="701">
        <f t="shared" si="3"/>
        <v>0</v>
      </c>
      <c r="AI31" s="15"/>
      <c r="AJ31" s="14"/>
      <c r="AK31" s="14"/>
      <c r="AL31" s="14"/>
      <c r="AM31" s="14"/>
    </row>
    <row r="32" spans="1:39" x14ac:dyDescent="0.25">
      <c r="A32" s="232">
        <v>23</v>
      </c>
      <c r="B32" s="255" t="s">
        <v>508</v>
      </c>
      <c r="C32" s="250" t="s">
        <v>682</v>
      </c>
      <c r="D32" s="713"/>
      <c r="E32" s="719"/>
      <c r="F32" s="717">
        <v>18</v>
      </c>
      <c r="G32" s="708" t="s">
        <v>1592</v>
      </c>
      <c r="H32" s="249" t="s">
        <v>531</v>
      </c>
      <c r="I32" s="235">
        <v>168580</v>
      </c>
      <c r="J32" s="252" t="s">
        <v>683</v>
      </c>
      <c r="K32" s="238" t="s">
        <v>684</v>
      </c>
      <c r="L32" s="239" t="s">
        <v>685</v>
      </c>
      <c r="M32" s="235" t="s">
        <v>28</v>
      </c>
      <c r="N32" s="253" t="s">
        <v>686</v>
      </c>
      <c r="O32" s="249" t="s">
        <v>687</v>
      </c>
      <c r="P32" s="235" t="s">
        <v>29</v>
      </c>
      <c r="Q32" s="239" t="s">
        <v>688</v>
      </c>
      <c r="R32" s="239" t="s">
        <v>689</v>
      </c>
      <c r="S32" s="247" t="s">
        <v>30</v>
      </c>
      <c r="T32" s="240">
        <v>22000000</v>
      </c>
      <c r="U32" s="147">
        <f t="shared" si="0"/>
        <v>2420000</v>
      </c>
      <c r="V32" s="249"/>
      <c r="W32" s="254">
        <f>U32+T32</f>
        <v>24420000</v>
      </c>
      <c r="X32" s="31"/>
      <c r="Y32" s="31"/>
      <c r="Z32" s="31"/>
      <c r="AA32" s="31"/>
      <c r="AB32" s="31"/>
      <c r="AC32" s="31"/>
      <c r="AD32" s="700">
        <v>0</v>
      </c>
      <c r="AE32" s="700">
        <v>0</v>
      </c>
      <c r="AF32" s="700">
        <v>0</v>
      </c>
      <c r="AG32" s="701">
        <f t="shared" si="2"/>
        <v>0</v>
      </c>
      <c r="AH32" s="701">
        <f t="shared" si="3"/>
        <v>0</v>
      </c>
      <c r="AI32" s="15"/>
      <c r="AJ32" s="14"/>
      <c r="AK32" s="14"/>
      <c r="AL32" s="14"/>
      <c r="AM32" s="14"/>
    </row>
    <row r="33" spans="1:39" x14ac:dyDescent="0.25">
      <c r="A33" s="232">
        <v>24</v>
      </c>
      <c r="B33" s="249" t="s">
        <v>508</v>
      </c>
      <c r="C33" s="234" t="s">
        <v>690</v>
      </c>
      <c r="D33" s="704">
        <v>1625</v>
      </c>
      <c r="E33" s="708" t="s">
        <v>1592</v>
      </c>
      <c r="F33" s="709"/>
      <c r="G33" s="707"/>
      <c r="H33" s="234" t="s">
        <v>691</v>
      </c>
      <c r="I33" s="235">
        <v>7701021</v>
      </c>
      <c r="J33" s="256" t="s">
        <v>72</v>
      </c>
      <c r="K33" s="238" t="s">
        <v>692</v>
      </c>
      <c r="L33" s="239" t="s">
        <v>693</v>
      </c>
      <c r="M33" s="235" t="s">
        <v>28</v>
      </c>
      <c r="N33" s="238" t="s">
        <v>694</v>
      </c>
      <c r="O33" s="244" t="s">
        <v>695</v>
      </c>
      <c r="P33" s="235" t="s">
        <v>29</v>
      </c>
      <c r="Q33" s="239" t="s">
        <v>696</v>
      </c>
      <c r="R33" s="239" t="s">
        <v>697</v>
      </c>
      <c r="S33" s="235" t="s">
        <v>30</v>
      </c>
      <c r="T33" s="600">
        <v>30360000</v>
      </c>
      <c r="U33" s="147">
        <f t="shared" si="0"/>
        <v>3339600</v>
      </c>
      <c r="V33" s="233"/>
      <c r="W33" s="241">
        <f t="shared" ref="W33" si="4">T33+U33+V33</f>
        <v>33699600</v>
      </c>
      <c r="X33" s="31"/>
      <c r="Y33" s="31"/>
      <c r="Z33" s="31"/>
      <c r="AA33" s="31"/>
      <c r="AB33" s="31"/>
      <c r="AC33" s="31"/>
      <c r="AD33" s="700">
        <v>0</v>
      </c>
      <c r="AE33" s="700">
        <v>0</v>
      </c>
      <c r="AF33" s="700">
        <v>0</v>
      </c>
      <c r="AG33" s="701">
        <f t="shared" si="2"/>
        <v>0</v>
      </c>
      <c r="AH33" s="701">
        <f t="shared" si="3"/>
        <v>0</v>
      </c>
      <c r="AI33" s="15"/>
      <c r="AJ33" s="14"/>
      <c r="AK33" s="14"/>
      <c r="AL33" s="14"/>
      <c r="AM33" s="14"/>
    </row>
    <row r="34" spans="1:39" x14ac:dyDescent="0.25">
      <c r="A34" s="232">
        <v>25</v>
      </c>
      <c r="B34" s="233" t="s">
        <v>508</v>
      </c>
      <c r="C34" s="234" t="s">
        <v>698</v>
      </c>
      <c r="D34" s="712"/>
      <c r="E34" s="708"/>
      <c r="F34" s="710">
        <v>36</v>
      </c>
      <c r="G34" s="708" t="s">
        <v>1592</v>
      </c>
      <c r="H34" s="249" t="s">
        <v>511</v>
      </c>
      <c r="I34" s="257">
        <v>6388546</v>
      </c>
      <c r="J34" s="258" t="s">
        <v>641</v>
      </c>
      <c r="K34" s="238" t="s">
        <v>1604</v>
      </c>
      <c r="L34" s="259" t="s">
        <v>1605</v>
      </c>
      <c r="M34" s="260" t="s">
        <v>28</v>
      </c>
      <c r="N34" s="261" t="s">
        <v>699</v>
      </c>
      <c r="O34" s="262" t="s">
        <v>700</v>
      </c>
      <c r="P34" s="260" t="s">
        <v>29</v>
      </c>
      <c r="Q34" s="259" t="s">
        <v>701</v>
      </c>
      <c r="R34" s="259" t="s">
        <v>702</v>
      </c>
      <c r="S34" s="235" t="s">
        <v>30</v>
      </c>
      <c r="T34" s="601">
        <v>4863636</v>
      </c>
      <c r="U34" s="147">
        <f t="shared" si="0"/>
        <v>534999.96</v>
      </c>
      <c r="V34" s="262"/>
      <c r="W34" s="263">
        <f>T34+U34+V34</f>
        <v>5398635.96</v>
      </c>
      <c r="X34" s="31"/>
      <c r="Y34" s="31"/>
      <c r="Z34" s="31"/>
      <c r="AA34" s="31"/>
      <c r="AB34" s="31"/>
      <c r="AC34" s="31"/>
      <c r="AD34" s="700">
        <v>5000000</v>
      </c>
      <c r="AE34" s="700">
        <v>0</v>
      </c>
      <c r="AF34" s="700">
        <v>0</v>
      </c>
      <c r="AG34" s="701">
        <f t="shared" si="2"/>
        <v>0</v>
      </c>
      <c r="AH34" s="701">
        <f t="shared" si="3"/>
        <v>5000000</v>
      </c>
      <c r="AI34" s="15"/>
      <c r="AJ34" s="14"/>
      <c r="AK34" s="14"/>
      <c r="AL34" s="14"/>
      <c r="AM34" s="14"/>
    </row>
    <row r="35" spans="1:39" x14ac:dyDescent="0.25">
      <c r="A35" s="232">
        <v>26</v>
      </c>
      <c r="B35" s="233" t="s">
        <v>508</v>
      </c>
      <c r="C35" s="234" t="s">
        <v>703</v>
      </c>
      <c r="D35" s="704">
        <v>946</v>
      </c>
      <c r="E35" s="708" t="s">
        <v>1592</v>
      </c>
      <c r="F35" s="709"/>
      <c r="G35" s="703"/>
      <c r="H35" s="262" t="s">
        <v>704</v>
      </c>
      <c r="I35" s="264" t="s">
        <v>705</v>
      </c>
      <c r="J35" s="258" t="s">
        <v>706</v>
      </c>
      <c r="K35" s="238" t="s">
        <v>1611</v>
      </c>
      <c r="L35" s="259" t="s">
        <v>1606</v>
      </c>
      <c r="M35" s="260" t="s">
        <v>28</v>
      </c>
      <c r="N35" s="261" t="s">
        <v>1593</v>
      </c>
      <c r="O35" s="262" t="s">
        <v>708</v>
      </c>
      <c r="P35" s="260" t="s">
        <v>29</v>
      </c>
      <c r="Q35" s="259" t="s">
        <v>709</v>
      </c>
      <c r="R35" s="259" t="s">
        <v>710</v>
      </c>
      <c r="S35" s="235" t="s">
        <v>30</v>
      </c>
      <c r="T35" s="601">
        <v>749730000</v>
      </c>
      <c r="U35" s="147">
        <f t="shared" si="0"/>
        <v>82470300</v>
      </c>
      <c r="V35" s="262"/>
      <c r="W35" s="263">
        <f>T35+U35+V35</f>
        <v>832200300</v>
      </c>
      <c r="X35" s="31"/>
      <c r="Y35" s="31"/>
      <c r="Z35" s="31"/>
      <c r="AA35" s="31"/>
      <c r="AB35" s="31"/>
      <c r="AC35" s="31"/>
      <c r="AD35" s="700">
        <v>846700000</v>
      </c>
      <c r="AE35" s="700">
        <v>0</v>
      </c>
      <c r="AF35" s="700">
        <v>0</v>
      </c>
      <c r="AG35" s="701">
        <f t="shared" si="2"/>
        <v>0</v>
      </c>
      <c r="AH35" s="701">
        <f t="shared" si="3"/>
        <v>846700000</v>
      </c>
      <c r="AI35" s="15"/>
      <c r="AJ35" s="14"/>
      <c r="AK35" s="14"/>
      <c r="AL35" s="14"/>
      <c r="AM35" s="14"/>
    </row>
    <row r="36" spans="1:39" x14ac:dyDescent="0.25">
      <c r="A36" s="232">
        <v>27</v>
      </c>
      <c r="B36" s="233" t="s">
        <v>508</v>
      </c>
      <c r="C36" s="234" t="s">
        <v>711</v>
      </c>
      <c r="D36" s="704">
        <v>268</v>
      </c>
      <c r="E36" s="708" t="s">
        <v>1592</v>
      </c>
      <c r="F36" s="709"/>
      <c r="G36" s="703"/>
      <c r="H36" s="262" t="s">
        <v>712</v>
      </c>
      <c r="I36" s="264" t="s">
        <v>713</v>
      </c>
      <c r="J36" s="258" t="s">
        <v>706</v>
      </c>
      <c r="K36" s="238" t="s">
        <v>707</v>
      </c>
      <c r="L36" s="259" t="s">
        <v>714</v>
      </c>
      <c r="M36" s="260" t="s">
        <v>28</v>
      </c>
      <c r="N36" s="261" t="s">
        <v>715</v>
      </c>
      <c r="O36" s="262" t="s">
        <v>716</v>
      </c>
      <c r="P36" s="260" t="s">
        <v>29</v>
      </c>
      <c r="Q36" s="259" t="s">
        <v>717</v>
      </c>
      <c r="R36" s="259" t="s">
        <v>718</v>
      </c>
      <c r="S36" s="235" t="s">
        <v>30</v>
      </c>
      <c r="T36" s="601">
        <v>124744000</v>
      </c>
      <c r="U36" s="147">
        <f t="shared" si="0"/>
        <v>13721840</v>
      </c>
      <c r="V36" s="262"/>
      <c r="W36" s="263">
        <f>T36+U36+V36</f>
        <v>138465840</v>
      </c>
      <c r="X36" s="31"/>
      <c r="Y36" s="31"/>
      <c r="Z36" s="31"/>
      <c r="AA36" s="31"/>
      <c r="AB36" s="31"/>
      <c r="AC36" s="31"/>
      <c r="AD36" s="700">
        <v>0</v>
      </c>
      <c r="AE36" s="700">
        <v>0</v>
      </c>
      <c r="AF36" s="700">
        <v>0</v>
      </c>
      <c r="AG36" s="701">
        <f t="shared" si="2"/>
        <v>0</v>
      </c>
      <c r="AH36" s="701">
        <f t="shared" si="3"/>
        <v>0</v>
      </c>
      <c r="AI36" s="15"/>
      <c r="AJ36" s="14"/>
      <c r="AK36" s="14"/>
      <c r="AL36" s="14"/>
      <c r="AM36" s="14"/>
    </row>
    <row r="37" spans="1:39" ht="15.75" thickBot="1" x14ac:dyDescent="0.3">
      <c r="A37" s="724">
        <v>28</v>
      </c>
      <c r="B37" s="725" t="s">
        <v>508</v>
      </c>
      <c r="C37" s="726" t="s">
        <v>1597</v>
      </c>
      <c r="D37" s="730">
        <v>36</v>
      </c>
      <c r="E37" s="731" t="s">
        <v>1592</v>
      </c>
      <c r="F37" s="714"/>
      <c r="G37" s="98"/>
      <c r="H37" s="726" t="s">
        <v>1600</v>
      </c>
      <c r="I37" s="99"/>
      <c r="J37" s="100" t="s">
        <v>266</v>
      </c>
      <c r="K37" s="238" t="s">
        <v>1612</v>
      </c>
      <c r="L37" s="732" t="s">
        <v>1607</v>
      </c>
      <c r="M37" s="260" t="s">
        <v>28</v>
      </c>
      <c r="N37" s="726" t="s">
        <v>1598</v>
      </c>
      <c r="O37" s="726" t="s">
        <v>1599</v>
      </c>
      <c r="P37" s="727" t="s">
        <v>29</v>
      </c>
      <c r="Q37" s="259" t="s">
        <v>1608</v>
      </c>
      <c r="R37" s="259" t="s">
        <v>1609</v>
      </c>
      <c r="S37" s="727" t="s">
        <v>31</v>
      </c>
      <c r="T37" s="733">
        <v>2500000</v>
      </c>
      <c r="U37" s="733">
        <f t="shared" si="0"/>
        <v>275000</v>
      </c>
      <c r="V37" s="726"/>
      <c r="W37" s="733">
        <f>T37+U37+V37</f>
        <v>2775000</v>
      </c>
      <c r="X37" s="726"/>
      <c r="Y37" s="726"/>
      <c r="Z37" s="726"/>
      <c r="AA37" s="726"/>
      <c r="AB37" s="726"/>
      <c r="AC37" s="726"/>
      <c r="AD37" s="728">
        <v>2500000</v>
      </c>
      <c r="AE37" s="728">
        <v>0</v>
      </c>
      <c r="AF37" s="728">
        <v>0</v>
      </c>
      <c r="AG37" s="729">
        <f t="shared" si="2"/>
        <v>0</v>
      </c>
      <c r="AH37" s="729">
        <f t="shared" si="3"/>
        <v>2500000</v>
      </c>
      <c r="AI37" s="101"/>
    </row>
    <row r="38" spans="1:39" ht="15.75" thickBot="1" x14ac:dyDescent="0.3">
      <c r="A38" s="16"/>
      <c r="B38" s="17"/>
      <c r="C38" s="18"/>
      <c r="D38" s="721"/>
      <c r="E38" s="720"/>
      <c r="F38" s="721"/>
      <c r="G38" s="17"/>
      <c r="H38" s="18"/>
      <c r="I38" s="18"/>
      <c r="J38" s="18"/>
      <c r="K38" s="18"/>
      <c r="L38" s="18"/>
      <c r="M38" s="18"/>
      <c r="N38" s="18"/>
      <c r="O38" s="18"/>
      <c r="P38" s="19"/>
      <c r="Q38" s="18"/>
      <c r="R38" s="18"/>
      <c r="S38" s="18"/>
      <c r="T38" s="694">
        <f>SUM(T10:T37)</f>
        <v>1229757834</v>
      </c>
      <c r="U38" s="20">
        <f t="shared" ref="U38:AC38" si="5">SUM(U10:U37)</f>
        <v>135273361.74000001</v>
      </c>
      <c r="V38" s="20">
        <f t="shared" si="5"/>
        <v>0</v>
      </c>
      <c r="W38" s="20">
        <f t="shared" si="5"/>
        <v>1365031195.74</v>
      </c>
      <c r="X38" s="20">
        <f t="shared" si="5"/>
        <v>0</v>
      </c>
      <c r="Y38" s="20">
        <f t="shared" si="5"/>
        <v>0</v>
      </c>
      <c r="Z38" s="20">
        <f t="shared" si="5"/>
        <v>0</v>
      </c>
      <c r="AA38" s="20">
        <f t="shared" si="5"/>
        <v>0</v>
      </c>
      <c r="AB38" s="20">
        <f t="shared" si="5"/>
        <v>0</v>
      </c>
      <c r="AC38" s="20">
        <f t="shared" si="5"/>
        <v>0</v>
      </c>
      <c r="AD38" s="20">
        <f>SUM(AD10:AD37)</f>
        <v>874470000</v>
      </c>
      <c r="AE38" s="20">
        <f>SUM(AE10:AE37)</f>
        <v>0</v>
      </c>
      <c r="AF38" s="20">
        <f>SUM(AF10:AF37)</f>
        <v>0</v>
      </c>
      <c r="AG38" s="20">
        <f>SUM(AG10:AG37)</f>
        <v>0</v>
      </c>
      <c r="AH38" s="20">
        <f>SUM(AH10:AH37)</f>
        <v>874470000</v>
      </c>
      <c r="AI38" s="21"/>
    </row>
    <row r="39" spans="1:39" x14ac:dyDescent="0.25">
      <c r="A39" s="22"/>
      <c r="B39" s="22"/>
      <c r="C39" s="22"/>
      <c r="D39" s="22"/>
      <c r="E39" s="22"/>
      <c r="F39" s="22"/>
      <c r="G39" s="22"/>
      <c r="T39" s="24"/>
    </row>
    <row r="40" spans="1:39" x14ac:dyDescent="0.25">
      <c r="A40" s="23" t="s">
        <v>32</v>
      </c>
      <c r="B40" s="22"/>
      <c r="C40" s="290"/>
      <c r="D40" s="22"/>
      <c r="E40" s="22"/>
      <c r="F40" s="22"/>
      <c r="G40" s="22"/>
      <c r="V40" t="s">
        <v>1614</v>
      </c>
      <c r="W40" s="24"/>
      <c r="AB40" s="143" t="s">
        <v>291</v>
      </c>
      <c r="AH40" s="735">
        <f>AH38/T38*100</f>
        <v>71.109122123307415</v>
      </c>
    </row>
    <row r="41" spans="1:39" x14ac:dyDescent="0.25">
      <c r="A41" s="25" t="s">
        <v>33</v>
      </c>
      <c r="B41" s="22"/>
      <c r="C41" s="22" t="s">
        <v>1595</v>
      </c>
      <c r="D41" s="22"/>
      <c r="E41" s="22"/>
      <c r="F41" s="22"/>
      <c r="G41" s="22"/>
      <c r="T41" s="26"/>
      <c r="V41" t="s">
        <v>292</v>
      </c>
      <c r="Z41" s="24"/>
      <c r="AB41" s="143" t="s">
        <v>293</v>
      </c>
    </row>
    <row r="42" spans="1:39" x14ac:dyDescent="0.25">
      <c r="A42" s="25" t="s">
        <v>34</v>
      </c>
      <c r="B42" s="22"/>
      <c r="C42" s="22"/>
      <c r="D42" s="22"/>
      <c r="E42" s="22"/>
      <c r="F42" s="22"/>
      <c r="G42" s="22"/>
      <c r="T42" s="24"/>
      <c r="AB42" s="143"/>
    </row>
    <row r="43" spans="1:39" x14ac:dyDescent="0.25">
      <c r="A43" s="25" t="s">
        <v>35</v>
      </c>
      <c r="B43" s="22"/>
      <c r="C43" s="22"/>
      <c r="D43" s="22"/>
      <c r="E43" s="22"/>
      <c r="F43" s="22"/>
      <c r="G43" s="22"/>
      <c r="AB43" s="143"/>
    </row>
    <row r="44" spans="1:39" x14ac:dyDescent="0.25">
      <c r="A44" s="25" t="s">
        <v>36</v>
      </c>
      <c r="B44" s="22"/>
      <c r="C44" s="22"/>
      <c r="D44" s="22"/>
      <c r="E44" s="22"/>
      <c r="F44" s="22"/>
      <c r="G44" s="22"/>
      <c r="AB44" s="143"/>
    </row>
    <row r="45" spans="1:39" x14ac:dyDescent="0.25">
      <c r="A45" s="25" t="s">
        <v>37</v>
      </c>
      <c r="B45" s="22"/>
      <c r="C45" s="22"/>
      <c r="D45" s="22"/>
      <c r="E45" s="22"/>
      <c r="F45" s="22"/>
      <c r="G45" s="22"/>
      <c r="V45" s="734" t="s">
        <v>1594</v>
      </c>
      <c r="AB45" s="144" t="s">
        <v>295</v>
      </c>
    </row>
    <row r="46" spans="1:39" x14ac:dyDescent="0.25">
      <c r="A46" s="25" t="s">
        <v>38</v>
      </c>
      <c r="B46" s="22"/>
      <c r="C46" s="22"/>
      <c r="D46" s="22"/>
      <c r="E46" s="22"/>
      <c r="F46" s="22"/>
      <c r="G46" s="22"/>
      <c r="V46" t="s">
        <v>1596</v>
      </c>
    </row>
    <row r="47" spans="1:39" x14ac:dyDescent="0.25">
      <c r="A47" s="25" t="s">
        <v>39</v>
      </c>
      <c r="B47" s="22"/>
      <c r="C47" s="22"/>
      <c r="D47" s="22"/>
      <c r="E47" s="22"/>
      <c r="F47" s="22"/>
      <c r="G47" s="22"/>
    </row>
    <row r="48" spans="1:39" x14ac:dyDescent="0.25">
      <c r="A48" s="25" t="s">
        <v>40</v>
      </c>
      <c r="B48" s="22"/>
      <c r="C48" s="22"/>
      <c r="D48" s="22"/>
      <c r="E48" s="22"/>
      <c r="F48" s="22"/>
      <c r="G48" s="22"/>
    </row>
    <row r="49" spans="1:7" x14ac:dyDescent="0.25">
      <c r="A49" s="25" t="s">
        <v>41</v>
      </c>
      <c r="B49" s="22"/>
      <c r="C49" s="22"/>
      <c r="D49" s="22"/>
      <c r="E49" s="22"/>
      <c r="F49" s="22"/>
      <c r="G49" s="22"/>
    </row>
    <row r="50" spans="1:7" x14ac:dyDescent="0.25">
      <c r="A50" s="25" t="s">
        <v>42</v>
      </c>
      <c r="B50" s="22"/>
      <c r="C50" s="22"/>
      <c r="D50" s="22"/>
      <c r="E50" s="22"/>
      <c r="F50" s="22"/>
      <c r="G50" s="22"/>
    </row>
    <row r="51" spans="1:7" x14ac:dyDescent="0.25">
      <c r="A51" s="25" t="s">
        <v>43</v>
      </c>
      <c r="B51" s="22"/>
      <c r="C51" s="22"/>
      <c r="D51" s="22"/>
      <c r="E51" s="22"/>
      <c r="F51" s="22"/>
      <c r="G51" s="22"/>
    </row>
    <row r="52" spans="1:7" x14ac:dyDescent="0.25">
      <c r="A52" s="25" t="s">
        <v>44</v>
      </c>
      <c r="B52" s="22"/>
      <c r="C52" s="22"/>
      <c r="D52" s="22"/>
      <c r="E52" s="22"/>
      <c r="F52" s="22"/>
      <c r="G52" s="22"/>
    </row>
    <row r="53" spans="1:7" x14ac:dyDescent="0.25">
      <c r="A53" s="25" t="s">
        <v>45</v>
      </c>
      <c r="B53" s="22"/>
      <c r="C53" s="22"/>
      <c r="D53" s="22"/>
      <c r="E53" s="22"/>
      <c r="F53" s="22"/>
      <c r="G53" s="22"/>
    </row>
    <row r="54" spans="1:7" x14ac:dyDescent="0.25">
      <c r="A54" s="25" t="s">
        <v>46</v>
      </c>
      <c r="B54" s="22"/>
      <c r="C54" s="22"/>
      <c r="D54" s="22"/>
      <c r="E54" s="22"/>
      <c r="F54" s="22"/>
      <c r="G54" s="22"/>
    </row>
    <row r="55" spans="1:7" x14ac:dyDescent="0.25">
      <c r="A55" s="25" t="s">
        <v>47</v>
      </c>
      <c r="B55" s="22"/>
      <c r="C55" s="22"/>
      <c r="D55" s="22"/>
      <c r="E55" s="22"/>
      <c r="F55" s="22"/>
      <c r="G55" s="22"/>
    </row>
    <row r="56" spans="1:7" x14ac:dyDescent="0.25">
      <c r="A56" s="25" t="s">
        <v>48</v>
      </c>
      <c r="B56" s="22"/>
      <c r="C56" s="22"/>
      <c r="D56" s="22"/>
      <c r="E56" s="22"/>
      <c r="F56" s="22"/>
      <c r="G56" s="22"/>
    </row>
    <row r="57" spans="1:7" x14ac:dyDescent="0.25">
      <c r="A57" s="25" t="s">
        <v>49</v>
      </c>
      <c r="B57" s="22"/>
      <c r="C57" s="22"/>
      <c r="D57" s="22"/>
      <c r="E57" s="22"/>
      <c r="F57" s="22"/>
      <c r="G57" s="22"/>
    </row>
    <row r="58" spans="1:7" x14ac:dyDescent="0.25">
      <c r="A58" s="25" t="s">
        <v>50</v>
      </c>
      <c r="B58" s="22"/>
      <c r="C58" s="22"/>
      <c r="D58" s="22"/>
      <c r="E58" s="22"/>
      <c r="F58" s="22"/>
      <c r="G58" s="22"/>
    </row>
    <row r="59" spans="1:7" x14ac:dyDescent="0.25">
      <c r="A59" s="25" t="s">
        <v>51</v>
      </c>
      <c r="B59" s="22"/>
      <c r="C59" s="22"/>
      <c r="D59" s="22"/>
      <c r="E59" s="22"/>
      <c r="F59" s="22"/>
      <c r="G59" s="22"/>
    </row>
    <row r="60" spans="1:7" x14ac:dyDescent="0.25">
      <c r="A60" s="25" t="s">
        <v>52</v>
      </c>
      <c r="B60" s="22"/>
      <c r="C60" s="22"/>
      <c r="D60" s="22"/>
      <c r="E60" s="22"/>
      <c r="F60" s="22"/>
      <c r="G60" s="22"/>
    </row>
    <row r="61" spans="1:7" x14ac:dyDescent="0.25">
      <c r="A61" s="25" t="s">
        <v>53</v>
      </c>
      <c r="B61" s="22"/>
      <c r="C61" s="22"/>
      <c r="D61" s="22"/>
      <c r="E61" s="22"/>
      <c r="F61" s="22"/>
      <c r="G61" s="22"/>
    </row>
    <row r="62" spans="1:7" x14ac:dyDescent="0.25">
      <c r="A62" s="25" t="s">
        <v>54</v>
      </c>
      <c r="B62" s="22"/>
      <c r="C62" s="22"/>
      <c r="D62" s="22"/>
      <c r="E62" s="22"/>
      <c r="F62" s="22"/>
      <c r="G62" s="22"/>
    </row>
    <row r="63" spans="1:7" x14ac:dyDescent="0.25">
      <c r="A63" s="25" t="s">
        <v>55</v>
      </c>
      <c r="B63" s="22"/>
      <c r="C63" s="22"/>
      <c r="D63" s="22"/>
      <c r="E63" s="22"/>
      <c r="F63" s="22"/>
      <c r="G63" s="22"/>
    </row>
    <row r="64" spans="1:7" x14ac:dyDescent="0.25">
      <c r="A64" s="25" t="s">
        <v>56</v>
      </c>
      <c r="B64" s="22"/>
      <c r="C64" s="22"/>
      <c r="D64" s="22"/>
      <c r="E64" s="22"/>
      <c r="F64" s="22"/>
      <c r="G64" s="22"/>
    </row>
    <row r="65" spans="1:7" x14ac:dyDescent="0.25">
      <c r="A65" s="25" t="s">
        <v>57</v>
      </c>
      <c r="B65" s="22"/>
      <c r="C65" s="22"/>
      <c r="D65" s="22"/>
      <c r="E65" s="22"/>
      <c r="F65" s="22"/>
      <c r="G65" s="22"/>
    </row>
    <row r="66" spans="1:7" x14ac:dyDescent="0.25">
      <c r="A66" s="25" t="s">
        <v>58</v>
      </c>
      <c r="B66" s="22"/>
      <c r="C66" s="22"/>
      <c r="D66" s="22"/>
      <c r="E66" s="22"/>
      <c r="F66" s="22"/>
      <c r="G66" s="22"/>
    </row>
    <row r="67" spans="1:7" x14ac:dyDescent="0.25">
      <c r="A67" s="25" t="s">
        <v>59</v>
      </c>
      <c r="B67" s="22"/>
      <c r="C67" s="22"/>
      <c r="D67" s="22"/>
      <c r="E67" s="22"/>
      <c r="F67" s="22"/>
      <c r="G67" s="22"/>
    </row>
    <row r="68" spans="1:7" x14ac:dyDescent="0.25">
      <c r="A68" t="s">
        <v>60</v>
      </c>
    </row>
  </sheetData>
  <mergeCells count="14">
    <mergeCell ref="Q6:S6"/>
    <mergeCell ref="T6:W6"/>
    <mergeCell ref="X6:X7"/>
    <mergeCell ref="Y6:AC6"/>
    <mergeCell ref="AI6:AI7"/>
    <mergeCell ref="AD6:AH6"/>
    <mergeCell ref="K6:M6"/>
    <mergeCell ref="N6:P6"/>
    <mergeCell ref="A6:A7"/>
    <mergeCell ref="B6:B7"/>
    <mergeCell ref="C6:I6"/>
    <mergeCell ref="J6:J7"/>
    <mergeCell ref="D7:E7"/>
    <mergeCell ref="F7: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workbookViewId="0">
      <pane xSplit="3" ySplit="8" topLeftCell="R33" activePane="bottomRight" state="frozen"/>
      <selection pane="topRight" activeCell="D1" sqref="D1"/>
      <selection pane="bottomLeft" activeCell="A9" sqref="A9"/>
      <selection pane="bottomRight" activeCell="R41" sqref="R41"/>
    </sheetView>
  </sheetViews>
  <sheetFormatPr defaultRowHeight="15" x14ac:dyDescent="0.25"/>
  <cols>
    <col min="1" max="1" width="5" customWidth="1"/>
    <col min="2" max="2" width="12.28515625" bestFit="1" customWidth="1"/>
    <col min="3" max="3" width="54.140625" customWidth="1"/>
    <col min="4" max="4" width="7.85546875" customWidth="1"/>
    <col min="5" max="5" width="10.42578125" customWidth="1"/>
    <col min="6" max="6" width="50" bestFit="1" customWidth="1"/>
    <col min="7" max="7" width="40.42578125" customWidth="1"/>
    <col min="8" max="8" width="21.28515625" bestFit="1" customWidth="1"/>
    <col min="9" max="9" width="42.140625" customWidth="1"/>
    <col min="10" max="10" width="18.85546875" bestFit="1" customWidth="1"/>
    <col min="11" max="11" width="7.5703125" bestFit="1" customWidth="1"/>
    <col min="12" max="12" width="24.85546875" customWidth="1"/>
    <col min="13" max="13" width="65.5703125" customWidth="1"/>
    <col min="14" max="14" width="10.28515625" customWidth="1"/>
    <col min="15" max="16" width="15.28515625" bestFit="1" customWidth="1"/>
    <col min="17" max="17" width="17.5703125" customWidth="1"/>
    <col min="18" max="18" width="13.85546875" bestFit="1" customWidth="1"/>
    <col min="19" max="19" width="13" customWidth="1"/>
    <col min="20" max="20" width="8.28515625" customWidth="1"/>
    <col min="21" max="21" width="13.85546875" bestFit="1" customWidth="1"/>
    <col min="22" max="22" width="29.7109375" bestFit="1" customWidth="1"/>
    <col min="23" max="23" width="7.42578125" customWidth="1"/>
    <col min="25" max="25" width="21.140625" customWidth="1"/>
  </cols>
  <sheetData>
    <row r="1" spans="1:24" x14ac:dyDescent="0.25">
      <c r="A1" s="1" t="s">
        <v>0</v>
      </c>
    </row>
    <row r="2" spans="1:24" x14ac:dyDescent="0.25">
      <c r="A2" s="1" t="s">
        <v>75</v>
      </c>
    </row>
    <row r="3" spans="1:24" x14ac:dyDescent="0.25">
      <c r="A3" s="1" t="s">
        <v>76</v>
      </c>
    </row>
    <row r="4" spans="1:24" x14ac:dyDescent="0.25">
      <c r="A4" s="1"/>
    </row>
    <row r="5" spans="1:24" ht="15.75" thickBot="1" x14ac:dyDescent="0.3"/>
    <row r="6" spans="1:24" ht="23.1" customHeight="1" x14ac:dyDescent="0.25">
      <c r="A6" s="778" t="s">
        <v>2</v>
      </c>
      <c r="B6" s="780" t="s">
        <v>3</v>
      </c>
      <c r="C6" s="782" t="s">
        <v>4</v>
      </c>
      <c r="D6" s="783"/>
      <c r="E6" s="783"/>
      <c r="F6" s="783"/>
      <c r="G6" s="784"/>
      <c r="H6" s="773" t="s">
        <v>5</v>
      </c>
      <c r="I6" s="770" t="s">
        <v>6</v>
      </c>
      <c r="J6" s="771"/>
      <c r="K6" s="772"/>
      <c r="L6" s="782" t="s">
        <v>7</v>
      </c>
      <c r="M6" s="783"/>
      <c r="N6" s="784"/>
      <c r="O6" s="770" t="s">
        <v>8</v>
      </c>
      <c r="P6" s="771"/>
      <c r="Q6" s="772"/>
      <c r="R6" s="773" t="s">
        <v>9</v>
      </c>
      <c r="S6" s="773"/>
      <c r="T6" s="773"/>
      <c r="U6" s="773"/>
      <c r="V6" s="774" t="s">
        <v>10</v>
      </c>
    </row>
    <row r="7" spans="1:24" ht="33.75" x14ac:dyDescent="0.25">
      <c r="A7" s="779"/>
      <c r="B7" s="781"/>
      <c r="C7" s="36" t="s">
        <v>11</v>
      </c>
      <c r="D7" s="36" t="s">
        <v>12</v>
      </c>
      <c r="E7" s="37" t="s">
        <v>77</v>
      </c>
      <c r="F7" s="37" t="s">
        <v>14</v>
      </c>
      <c r="G7" s="37" t="s">
        <v>78</v>
      </c>
      <c r="H7" s="785"/>
      <c r="I7" s="38" t="s">
        <v>16</v>
      </c>
      <c r="J7" s="38" t="s">
        <v>17</v>
      </c>
      <c r="K7" s="39" t="s">
        <v>18</v>
      </c>
      <c r="L7" s="39" t="s">
        <v>19</v>
      </c>
      <c r="M7" s="39" t="s">
        <v>14</v>
      </c>
      <c r="N7" s="39" t="s">
        <v>20</v>
      </c>
      <c r="O7" s="38" t="s">
        <v>21</v>
      </c>
      <c r="P7" s="38" t="s">
        <v>22</v>
      </c>
      <c r="Q7" s="36" t="s">
        <v>23</v>
      </c>
      <c r="R7" s="36" t="s">
        <v>24</v>
      </c>
      <c r="S7" s="36" t="s">
        <v>25</v>
      </c>
      <c r="T7" s="36" t="s">
        <v>26</v>
      </c>
      <c r="U7" s="36" t="s">
        <v>27</v>
      </c>
      <c r="V7" s="775"/>
    </row>
    <row r="8" spans="1:24" x14ac:dyDescent="0.25">
      <c r="A8" s="8">
        <v>1</v>
      </c>
      <c r="B8" s="8">
        <v>2</v>
      </c>
      <c r="C8" s="8">
        <v>3</v>
      </c>
      <c r="D8" s="807">
        <v>4</v>
      </c>
      <c r="E8" s="808"/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27</v>
      </c>
    </row>
    <row r="9" spans="1:24" x14ac:dyDescent="0.25">
      <c r="A9" s="10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40"/>
    </row>
    <row r="10" spans="1:24" x14ac:dyDescent="0.25">
      <c r="A10" s="31">
        <v>1</v>
      </c>
      <c r="B10" s="31" t="s">
        <v>79</v>
      </c>
      <c r="C10" s="41" t="s">
        <v>80</v>
      </c>
      <c r="D10" s="42">
        <v>54</v>
      </c>
      <c r="E10" s="34">
        <v>45</v>
      </c>
      <c r="F10" s="31" t="s">
        <v>81</v>
      </c>
      <c r="G10" s="31" t="s">
        <v>82</v>
      </c>
      <c r="H10" s="34" t="s">
        <v>83</v>
      </c>
      <c r="I10" s="43" t="s">
        <v>84</v>
      </c>
      <c r="J10" s="44" t="s">
        <v>85</v>
      </c>
      <c r="K10" s="31" t="s">
        <v>71</v>
      </c>
      <c r="L10" s="45" t="s">
        <v>86</v>
      </c>
      <c r="M10" s="46" t="s">
        <v>87</v>
      </c>
      <c r="N10" s="31" t="s">
        <v>29</v>
      </c>
      <c r="O10" s="44" t="s">
        <v>85</v>
      </c>
      <c r="P10" s="47" t="s">
        <v>88</v>
      </c>
      <c r="Q10" s="31" t="s">
        <v>30</v>
      </c>
      <c r="R10" s="35">
        <v>68400000</v>
      </c>
      <c r="S10" s="34">
        <f>+R10*0.11</f>
        <v>7524000</v>
      </c>
      <c r="T10" s="48">
        <v>0</v>
      </c>
      <c r="U10" s="49">
        <f>T10+S10+R10</f>
        <v>75924000</v>
      </c>
      <c r="V10" s="50" t="s">
        <v>89</v>
      </c>
      <c r="W10" s="2"/>
      <c r="X10" s="2"/>
    </row>
    <row r="11" spans="1:24" x14ac:dyDescent="0.25">
      <c r="A11" s="31">
        <v>2</v>
      </c>
      <c r="B11" s="31" t="s">
        <v>79</v>
      </c>
      <c r="C11" s="41" t="s">
        <v>90</v>
      </c>
      <c r="D11" s="51">
        <v>18</v>
      </c>
      <c r="E11" s="34">
        <v>15</v>
      </c>
      <c r="F11" s="31" t="s">
        <v>81</v>
      </c>
      <c r="G11" s="31" t="s">
        <v>82</v>
      </c>
      <c r="H11" s="34" t="s">
        <v>83</v>
      </c>
      <c r="I11" s="43" t="s">
        <v>91</v>
      </c>
      <c r="J11" s="44" t="s">
        <v>85</v>
      </c>
      <c r="K11" s="31" t="s">
        <v>71</v>
      </c>
      <c r="L11" s="45" t="s">
        <v>92</v>
      </c>
      <c r="M11" s="52" t="s">
        <v>93</v>
      </c>
      <c r="N11" s="31" t="s">
        <v>29</v>
      </c>
      <c r="O11" s="44" t="s">
        <v>85</v>
      </c>
      <c r="P11" s="47" t="s">
        <v>88</v>
      </c>
      <c r="Q11" s="31" t="s">
        <v>30</v>
      </c>
      <c r="R11" s="35">
        <v>22800000</v>
      </c>
      <c r="S11" s="34">
        <f t="shared" ref="S11:S27" si="0">+R11*0.11</f>
        <v>2508000</v>
      </c>
      <c r="T11" s="48">
        <v>0</v>
      </c>
      <c r="U11" s="49">
        <f t="shared" ref="U11:U27" si="1">T11+S11+R11</f>
        <v>25308000</v>
      </c>
      <c r="V11" s="50" t="s">
        <v>89</v>
      </c>
      <c r="W11" s="53"/>
      <c r="X11" s="54"/>
    </row>
    <row r="12" spans="1:24" x14ac:dyDescent="0.25">
      <c r="A12" s="31">
        <v>3</v>
      </c>
      <c r="B12" s="31" t="s">
        <v>79</v>
      </c>
      <c r="C12" s="41" t="s">
        <v>94</v>
      </c>
      <c r="D12" s="51">
        <v>18</v>
      </c>
      <c r="E12" s="34">
        <v>15</v>
      </c>
      <c r="F12" s="31" t="s">
        <v>81</v>
      </c>
      <c r="G12" s="31" t="s">
        <v>82</v>
      </c>
      <c r="H12" s="34" t="s">
        <v>83</v>
      </c>
      <c r="I12" s="43" t="s">
        <v>95</v>
      </c>
      <c r="J12" s="44" t="s">
        <v>85</v>
      </c>
      <c r="K12" s="31" t="s">
        <v>71</v>
      </c>
      <c r="L12" s="45" t="s">
        <v>96</v>
      </c>
      <c r="M12" s="52" t="s">
        <v>97</v>
      </c>
      <c r="N12" s="31" t="s">
        <v>29</v>
      </c>
      <c r="O12" s="44" t="s">
        <v>85</v>
      </c>
      <c r="P12" s="47" t="s">
        <v>88</v>
      </c>
      <c r="Q12" s="31" t="s">
        <v>30</v>
      </c>
      <c r="R12" s="35">
        <v>22800000</v>
      </c>
      <c r="S12" s="34">
        <f t="shared" si="0"/>
        <v>2508000</v>
      </c>
      <c r="T12" s="48">
        <v>0</v>
      </c>
      <c r="U12" s="49">
        <f t="shared" si="1"/>
        <v>25308000</v>
      </c>
      <c r="V12" s="50" t="s">
        <v>89</v>
      </c>
      <c r="W12" s="53"/>
      <c r="X12" s="54"/>
    </row>
    <row r="13" spans="1:24" x14ac:dyDescent="0.25">
      <c r="A13" s="31">
        <v>4</v>
      </c>
      <c r="B13" s="31" t="s">
        <v>79</v>
      </c>
      <c r="C13" s="41" t="s">
        <v>98</v>
      </c>
      <c r="D13" s="51">
        <v>18</v>
      </c>
      <c r="E13" s="34">
        <v>15</v>
      </c>
      <c r="F13" s="31" t="s">
        <v>81</v>
      </c>
      <c r="G13" s="31" t="s">
        <v>82</v>
      </c>
      <c r="H13" s="34" t="s">
        <v>83</v>
      </c>
      <c r="I13" s="43" t="s">
        <v>99</v>
      </c>
      <c r="J13" s="44" t="s">
        <v>85</v>
      </c>
      <c r="K13" s="31" t="s">
        <v>71</v>
      </c>
      <c r="L13" s="45" t="s">
        <v>100</v>
      </c>
      <c r="M13" s="52" t="s">
        <v>101</v>
      </c>
      <c r="N13" s="31" t="s">
        <v>29</v>
      </c>
      <c r="O13" s="44" t="s">
        <v>85</v>
      </c>
      <c r="P13" s="47" t="s">
        <v>88</v>
      </c>
      <c r="Q13" s="31" t="s">
        <v>30</v>
      </c>
      <c r="R13" s="35">
        <v>22800000</v>
      </c>
      <c r="S13" s="34">
        <f t="shared" si="0"/>
        <v>2508000</v>
      </c>
      <c r="T13" s="48">
        <v>0</v>
      </c>
      <c r="U13" s="49">
        <f t="shared" si="1"/>
        <v>25308000</v>
      </c>
      <c r="V13" s="50" t="s">
        <v>89</v>
      </c>
      <c r="W13" s="53"/>
      <c r="X13" s="54"/>
    </row>
    <row r="14" spans="1:24" x14ac:dyDescent="0.25">
      <c r="A14" s="31">
        <v>5</v>
      </c>
      <c r="B14" s="31" t="s">
        <v>79</v>
      </c>
      <c r="C14" s="41" t="s">
        <v>102</v>
      </c>
      <c r="D14" s="51">
        <v>18</v>
      </c>
      <c r="E14" s="34">
        <v>15</v>
      </c>
      <c r="F14" s="31" t="s">
        <v>81</v>
      </c>
      <c r="G14" s="31" t="s">
        <v>82</v>
      </c>
      <c r="H14" s="34" t="s">
        <v>83</v>
      </c>
      <c r="I14" s="43" t="s">
        <v>103</v>
      </c>
      <c r="J14" s="44" t="s">
        <v>85</v>
      </c>
      <c r="K14" s="31" t="s">
        <v>71</v>
      </c>
      <c r="L14" s="45" t="s">
        <v>104</v>
      </c>
      <c r="M14" s="52" t="s">
        <v>105</v>
      </c>
      <c r="N14" s="31" t="s">
        <v>29</v>
      </c>
      <c r="O14" s="44" t="s">
        <v>85</v>
      </c>
      <c r="P14" s="47" t="s">
        <v>88</v>
      </c>
      <c r="Q14" s="31" t="s">
        <v>30</v>
      </c>
      <c r="R14" s="35">
        <v>22800000</v>
      </c>
      <c r="S14" s="34">
        <f t="shared" si="0"/>
        <v>2508000</v>
      </c>
      <c r="T14" s="48">
        <v>0</v>
      </c>
      <c r="U14" s="49">
        <f t="shared" si="1"/>
        <v>25308000</v>
      </c>
      <c r="V14" s="50" t="s">
        <v>89</v>
      </c>
      <c r="W14" s="2"/>
      <c r="X14" s="54"/>
    </row>
    <row r="15" spans="1:24" x14ac:dyDescent="0.25">
      <c r="A15" s="31">
        <v>6</v>
      </c>
      <c r="B15" s="31" t="s">
        <v>79</v>
      </c>
      <c r="C15" s="41" t="s">
        <v>106</v>
      </c>
      <c r="D15" s="51">
        <v>18</v>
      </c>
      <c r="E15" s="34">
        <v>15</v>
      </c>
      <c r="F15" s="31" t="s">
        <v>81</v>
      </c>
      <c r="G15" s="31" t="s">
        <v>82</v>
      </c>
      <c r="H15" s="34" t="s">
        <v>83</v>
      </c>
      <c r="I15" s="43" t="s">
        <v>107</v>
      </c>
      <c r="J15" s="44" t="s">
        <v>85</v>
      </c>
      <c r="K15" s="31" t="s">
        <v>71</v>
      </c>
      <c r="L15" s="45" t="s">
        <v>108</v>
      </c>
      <c r="M15" s="52" t="s">
        <v>109</v>
      </c>
      <c r="N15" s="31" t="s">
        <v>29</v>
      </c>
      <c r="O15" s="44" t="s">
        <v>85</v>
      </c>
      <c r="P15" s="47" t="s">
        <v>88</v>
      </c>
      <c r="Q15" s="31" t="s">
        <v>30</v>
      </c>
      <c r="R15" s="35">
        <v>22800000</v>
      </c>
      <c r="S15" s="34">
        <f t="shared" si="0"/>
        <v>2508000</v>
      </c>
      <c r="T15" s="48">
        <v>0</v>
      </c>
      <c r="U15" s="49">
        <f t="shared" si="1"/>
        <v>25308000</v>
      </c>
      <c r="V15" s="50" t="s">
        <v>89</v>
      </c>
      <c r="W15" s="2"/>
      <c r="X15" s="54"/>
    </row>
    <row r="16" spans="1:24" x14ac:dyDescent="0.25">
      <c r="A16" s="31">
        <v>7</v>
      </c>
      <c r="B16" s="31" t="s">
        <v>79</v>
      </c>
      <c r="C16" s="41" t="s">
        <v>110</v>
      </c>
      <c r="D16" s="51">
        <v>18</v>
      </c>
      <c r="E16" s="34">
        <v>15</v>
      </c>
      <c r="F16" s="31" t="s">
        <v>81</v>
      </c>
      <c r="G16" s="31" t="s">
        <v>82</v>
      </c>
      <c r="H16" s="34" t="s">
        <v>83</v>
      </c>
      <c r="I16" s="43" t="s">
        <v>111</v>
      </c>
      <c r="J16" s="44" t="s">
        <v>85</v>
      </c>
      <c r="K16" s="31" t="s">
        <v>71</v>
      </c>
      <c r="L16" s="45" t="s">
        <v>112</v>
      </c>
      <c r="M16" s="52" t="s">
        <v>113</v>
      </c>
      <c r="N16" s="31" t="s">
        <v>29</v>
      </c>
      <c r="O16" s="44" t="s">
        <v>85</v>
      </c>
      <c r="P16" s="47" t="s">
        <v>88</v>
      </c>
      <c r="Q16" s="31" t="s">
        <v>30</v>
      </c>
      <c r="R16" s="35">
        <v>22800000</v>
      </c>
      <c r="S16" s="34">
        <f t="shared" si="0"/>
        <v>2508000</v>
      </c>
      <c r="T16" s="48">
        <v>0</v>
      </c>
      <c r="U16" s="49">
        <f t="shared" si="1"/>
        <v>25308000</v>
      </c>
      <c r="V16" s="50" t="s">
        <v>89</v>
      </c>
      <c r="W16" s="2"/>
      <c r="X16" s="54"/>
    </row>
    <row r="17" spans="1:24" x14ac:dyDescent="0.25">
      <c r="A17" s="31">
        <v>8</v>
      </c>
      <c r="B17" s="31" t="s">
        <v>79</v>
      </c>
      <c r="C17" s="41" t="s">
        <v>114</v>
      </c>
      <c r="D17" s="51">
        <v>36</v>
      </c>
      <c r="E17" s="34">
        <v>30</v>
      </c>
      <c r="F17" s="31" t="s">
        <v>81</v>
      </c>
      <c r="G17" s="31" t="s">
        <v>82</v>
      </c>
      <c r="H17" s="34" t="s">
        <v>83</v>
      </c>
      <c r="I17" s="43" t="s">
        <v>115</v>
      </c>
      <c r="J17" s="44" t="s">
        <v>85</v>
      </c>
      <c r="K17" s="31" t="s">
        <v>71</v>
      </c>
      <c r="L17" s="45" t="s">
        <v>116</v>
      </c>
      <c r="M17" s="52" t="s">
        <v>117</v>
      </c>
      <c r="N17" s="31" t="s">
        <v>29</v>
      </c>
      <c r="O17" s="44" t="s">
        <v>85</v>
      </c>
      <c r="P17" s="47" t="s">
        <v>88</v>
      </c>
      <c r="Q17" s="31" t="s">
        <v>30</v>
      </c>
      <c r="R17" s="35">
        <v>45600000</v>
      </c>
      <c r="S17" s="34">
        <f t="shared" si="0"/>
        <v>5016000</v>
      </c>
      <c r="T17" s="48">
        <v>0</v>
      </c>
      <c r="U17" s="49">
        <f t="shared" si="1"/>
        <v>50616000</v>
      </c>
      <c r="V17" s="50" t="s">
        <v>89</v>
      </c>
      <c r="W17" s="2"/>
      <c r="X17" s="54"/>
    </row>
    <row r="18" spans="1:24" x14ac:dyDescent="0.25">
      <c r="A18" s="31">
        <v>9</v>
      </c>
      <c r="B18" s="31" t="s">
        <v>79</v>
      </c>
      <c r="C18" s="41" t="s">
        <v>118</v>
      </c>
      <c r="D18" s="51">
        <v>18</v>
      </c>
      <c r="E18" s="34">
        <v>15</v>
      </c>
      <c r="F18" s="31" t="s">
        <v>81</v>
      </c>
      <c r="G18" s="31" t="s">
        <v>82</v>
      </c>
      <c r="H18" s="34" t="s">
        <v>83</v>
      </c>
      <c r="I18" s="43" t="s">
        <v>119</v>
      </c>
      <c r="J18" s="44" t="s">
        <v>85</v>
      </c>
      <c r="K18" s="31" t="s">
        <v>71</v>
      </c>
      <c r="L18" s="45" t="s">
        <v>120</v>
      </c>
      <c r="M18" s="52" t="s">
        <v>121</v>
      </c>
      <c r="N18" s="31" t="s">
        <v>29</v>
      </c>
      <c r="O18" s="44" t="s">
        <v>85</v>
      </c>
      <c r="P18" s="47" t="s">
        <v>88</v>
      </c>
      <c r="Q18" s="31" t="s">
        <v>30</v>
      </c>
      <c r="R18" s="35">
        <v>22800000</v>
      </c>
      <c r="S18" s="34">
        <f t="shared" si="0"/>
        <v>2508000</v>
      </c>
      <c r="T18" s="48">
        <v>0</v>
      </c>
      <c r="U18" s="49">
        <f t="shared" si="1"/>
        <v>25308000</v>
      </c>
      <c r="V18" s="50" t="s">
        <v>89</v>
      </c>
      <c r="W18" s="2"/>
      <c r="X18" s="54"/>
    </row>
    <row r="19" spans="1:24" x14ac:dyDescent="0.25">
      <c r="A19" s="31">
        <v>10</v>
      </c>
      <c r="B19" s="31" t="s">
        <v>79</v>
      </c>
      <c r="C19" s="55" t="s">
        <v>122</v>
      </c>
      <c r="D19" s="51">
        <v>12</v>
      </c>
      <c r="E19" s="56">
        <v>36</v>
      </c>
      <c r="F19" s="57" t="s">
        <v>123</v>
      </c>
      <c r="G19" s="31" t="s">
        <v>124</v>
      </c>
      <c r="H19" s="34" t="s">
        <v>125</v>
      </c>
      <c r="I19" s="58" t="s">
        <v>126</v>
      </c>
      <c r="J19" s="44" t="s">
        <v>127</v>
      </c>
      <c r="K19" s="31" t="s">
        <v>71</v>
      </c>
      <c r="L19" s="34" t="s">
        <v>128</v>
      </c>
      <c r="M19" s="31" t="s">
        <v>129</v>
      </c>
      <c r="N19" s="31" t="s">
        <v>29</v>
      </c>
      <c r="O19" s="44" t="s">
        <v>127</v>
      </c>
      <c r="P19" s="44" t="s">
        <v>130</v>
      </c>
      <c r="Q19" s="31" t="s">
        <v>30</v>
      </c>
      <c r="R19" s="59">
        <v>1500000</v>
      </c>
      <c r="S19" s="34">
        <f t="shared" si="0"/>
        <v>165000</v>
      </c>
      <c r="T19" s="56">
        <v>0</v>
      </c>
      <c r="U19" s="49">
        <f t="shared" si="1"/>
        <v>1665000</v>
      </c>
      <c r="V19" s="50" t="s">
        <v>89</v>
      </c>
      <c r="W19" s="60"/>
      <c r="X19" s="54"/>
    </row>
    <row r="20" spans="1:24" x14ac:dyDescent="0.25">
      <c r="A20" s="31">
        <f>+A19+1</f>
        <v>11</v>
      </c>
      <c r="B20" s="31" t="s">
        <v>79</v>
      </c>
      <c r="C20" s="55" t="s">
        <v>131</v>
      </c>
      <c r="D20" s="51">
        <v>200</v>
      </c>
      <c r="E20" s="34">
        <v>12</v>
      </c>
      <c r="F20" s="57" t="s">
        <v>123</v>
      </c>
      <c r="G20" s="31" t="s">
        <v>124</v>
      </c>
      <c r="H20" s="34" t="s">
        <v>132</v>
      </c>
      <c r="I20" s="33" t="s">
        <v>133</v>
      </c>
      <c r="J20" s="44" t="s">
        <v>127</v>
      </c>
      <c r="K20" s="31" t="s">
        <v>71</v>
      </c>
      <c r="L20" s="34" t="s">
        <v>134</v>
      </c>
      <c r="M20" s="31" t="s">
        <v>135</v>
      </c>
      <c r="N20" s="31" t="s">
        <v>29</v>
      </c>
      <c r="O20" s="44" t="s">
        <v>127</v>
      </c>
      <c r="P20" s="44" t="s">
        <v>130</v>
      </c>
      <c r="Q20" s="31" t="s">
        <v>30</v>
      </c>
      <c r="R20" s="45">
        <v>11000000</v>
      </c>
      <c r="S20" s="34">
        <f t="shared" si="0"/>
        <v>1210000</v>
      </c>
      <c r="T20" s="48">
        <v>0</v>
      </c>
      <c r="U20" s="49">
        <f t="shared" si="1"/>
        <v>12210000</v>
      </c>
      <c r="V20" s="50" t="s">
        <v>89</v>
      </c>
      <c r="W20" s="2"/>
      <c r="X20" s="54"/>
    </row>
    <row r="21" spans="1:24" x14ac:dyDescent="0.25">
      <c r="A21" s="31">
        <f t="shared" ref="A21:A27" si="2">+A20+1</f>
        <v>12</v>
      </c>
      <c r="B21" s="31" t="s">
        <v>79</v>
      </c>
      <c r="C21" s="55" t="s">
        <v>136</v>
      </c>
      <c r="D21" s="61">
        <v>104</v>
      </c>
      <c r="E21" s="48">
        <v>0</v>
      </c>
      <c r="F21" s="57" t="s">
        <v>137</v>
      </c>
      <c r="G21" s="31" t="s">
        <v>138</v>
      </c>
      <c r="H21" s="34" t="s">
        <v>139</v>
      </c>
      <c r="I21" s="58" t="s">
        <v>140</v>
      </c>
      <c r="J21" s="44" t="s">
        <v>141</v>
      </c>
      <c r="K21" s="31" t="s">
        <v>71</v>
      </c>
      <c r="L21" s="34" t="s">
        <v>142</v>
      </c>
      <c r="M21" s="31" t="s">
        <v>143</v>
      </c>
      <c r="N21" s="31" t="s">
        <v>29</v>
      </c>
      <c r="O21" s="44" t="s">
        <v>141</v>
      </c>
      <c r="P21" s="44" t="s">
        <v>144</v>
      </c>
      <c r="Q21" s="31" t="s">
        <v>30</v>
      </c>
      <c r="R21" s="62">
        <v>3000000</v>
      </c>
      <c r="S21" s="34">
        <f t="shared" si="0"/>
        <v>330000</v>
      </c>
      <c r="T21" s="48">
        <v>0</v>
      </c>
      <c r="U21" s="49">
        <f t="shared" si="1"/>
        <v>3330000</v>
      </c>
      <c r="V21" s="50" t="s">
        <v>89</v>
      </c>
      <c r="W21" s="2"/>
      <c r="X21" s="54"/>
    </row>
    <row r="22" spans="1:24" x14ac:dyDescent="0.25">
      <c r="A22" s="31">
        <f t="shared" si="2"/>
        <v>13</v>
      </c>
      <c r="B22" s="31" t="s">
        <v>79</v>
      </c>
      <c r="C22" s="63" t="s">
        <v>145</v>
      </c>
      <c r="D22" s="51">
        <v>100</v>
      </c>
      <c r="E22" s="48">
        <v>0</v>
      </c>
      <c r="F22" s="47" t="s">
        <v>146</v>
      </c>
      <c r="G22" s="31" t="s">
        <v>147</v>
      </c>
      <c r="H22" s="34" t="s">
        <v>148</v>
      </c>
      <c r="I22" s="33" t="s">
        <v>149</v>
      </c>
      <c r="J22" s="44" t="s">
        <v>150</v>
      </c>
      <c r="K22" s="31" t="s">
        <v>71</v>
      </c>
      <c r="L22" s="34" t="s">
        <v>151</v>
      </c>
      <c r="M22" s="31" t="s">
        <v>152</v>
      </c>
      <c r="N22" s="31" t="s">
        <v>29</v>
      </c>
      <c r="O22" s="44" t="s">
        <v>150</v>
      </c>
      <c r="P22" s="44" t="s">
        <v>153</v>
      </c>
      <c r="Q22" s="31" t="s">
        <v>30</v>
      </c>
      <c r="R22" s="35">
        <v>4400000</v>
      </c>
      <c r="S22" s="34">
        <f t="shared" si="0"/>
        <v>484000</v>
      </c>
      <c r="T22" s="48">
        <v>0</v>
      </c>
      <c r="U22" s="49">
        <f t="shared" si="1"/>
        <v>4884000</v>
      </c>
      <c r="V22" s="64"/>
      <c r="W22" s="2"/>
      <c r="X22" s="54"/>
    </row>
    <row r="23" spans="1:24" x14ac:dyDescent="0.25">
      <c r="A23" s="31">
        <f t="shared" si="2"/>
        <v>14</v>
      </c>
      <c r="B23" s="31" t="s">
        <v>79</v>
      </c>
      <c r="C23" s="63" t="s">
        <v>154</v>
      </c>
      <c r="D23" s="51">
        <v>700</v>
      </c>
      <c r="E23" s="34">
        <v>255</v>
      </c>
      <c r="F23" s="65" t="s">
        <v>155</v>
      </c>
      <c r="G23" s="31" t="s">
        <v>156</v>
      </c>
      <c r="H23" s="34" t="s">
        <v>157</v>
      </c>
      <c r="I23" s="43" t="s">
        <v>158</v>
      </c>
      <c r="J23" s="44" t="s">
        <v>159</v>
      </c>
      <c r="K23" s="31" t="s">
        <v>71</v>
      </c>
      <c r="L23" s="34" t="s">
        <v>160</v>
      </c>
      <c r="M23" s="31" t="s">
        <v>161</v>
      </c>
      <c r="N23" s="31" t="s">
        <v>29</v>
      </c>
      <c r="O23" s="44" t="s">
        <v>162</v>
      </c>
      <c r="P23" s="44" t="s">
        <v>163</v>
      </c>
      <c r="Q23" s="31" t="s">
        <v>30</v>
      </c>
      <c r="R23" s="35">
        <v>24800000</v>
      </c>
      <c r="S23" s="34">
        <f t="shared" si="0"/>
        <v>2728000</v>
      </c>
      <c r="T23" s="48">
        <v>0</v>
      </c>
      <c r="U23" s="49">
        <f t="shared" si="1"/>
        <v>27528000</v>
      </c>
      <c r="V23" s="64"/>
      <c r="W23" s="2"/>
      <c r="X23" s="54"/>
    </row>
    <row r="24" spans="1:24" x14ac:dyDescent="0.25">
      <c r="A24" s="31">
        <f t="shared" si="2"/>
        <v>15</v>
      </c>
      <c r="B24" s="31" t="s">
        <v>79</v>
      </c>
      <c r="C24" s="63" t="s">
        <v>164</v>
      </c>
      <c r="D24" s="51">
        <v>590</v>
      </c>
      <c r="E24" s="66">
        <v>330</v>
      </c>
      <c r="F24" s="67" t="s">
        <v>165</v>
      </c>
      <c r="G24" s="13" t="s">
        <v>166</v>
      </c>
      <c r="H24" s="34" t="s">
        <v>167</v>
      </c>
      <c r="I24" s="58" t="s">
        <v>168</v>
      </c>
      <c r="J24" s="44" t="s">
        <v>169</v>
      </c>
      <c r="K24" s="31" t="s">
        <v>71</v>
      </c>
      <c r="L24" s="34" t="s">
        <v>170</v>
      </c>
      <c r="M24" s="31" t="s">
        <v>171</v>
      </c>
      <c r="N24" s="31" t="s">
        <v>29</v>
      </c>
      <c r="O24" s="44" t="s">
        <v>169</v>
      </c>
      <c r="P24" s="44" t="s">
        <v>172</v>
      </c>
      <c r="Q24" s="31" t="s">
        <v>30</v>
      </c>
      <c r="R24" s="35">
        <v>32000000</v>
      </c>
      <c r="S24" s="34">
        <f t="shared" si="0"/>
        <v>3520000</v>
      </c>
      <c r="T24" s="48">
        <v>0</v>
      </c>
      <c r="U24" s="49">
        <f t="shared" si="1"/>
        <v>35520000</v>
      </c>
      <c r="V24" s="64"/>
      <c r="W24" s="2"/>
      <c r="X24" s="54"/>
    </row>
    <row r="25" spans="1:24" x14ac:dyDescent="0.25">
      <c r="A25" s="31">
        <f t="shared" si="2"/>
        <v>16</v>
      </c>
      <c r="B25" s="31" t="s">
        <v>79</v>
      </c>
      <c r="C25" s="41" t="s">
        <v>173</v>
      </c>
      <c r="D25" s="51">
        <v>24</v>
      </c>
      <c r="E25" s="34">
        <v>18</v>
      </c>
      <c r="F25" s="31" t="s">
        <v>81</v>
      </c>
      <c r="G25" s="31" t="s">
        <v>82</v>
      </c>
      <c r="H25" s="34" t="s">
        <v>83</v>
      </c>
      <c r="I25" s="43" t="s">
        <v>111</v>
      </c>
      <c r="J25" s="44" t="s">
        <v>174</v>
      </c>
      <c r="K25" s="31" t="s">
        <v>71</v>
      </c>
      <c r="L25" s="45" t="s">
        <v>175</v>
      </c>
      <c r="M25" s="46" t="s">
        <v>176</v>
      </c>
      <c r="N25" s="31" t="s">
        <v>29</v>
      </c>
      <c r="O25" s="44" t="s">
        <v>174</v>
      </c>
      <c r="P25" s="44" t="s">
        <v>177</v>
      </c>
      <c r="Q25" s="31" t="s">
        <v>31</v>
      </c>
      <c r="R25" s="35">
        <f>2300000*12</f>
        <v>27600000</v>
      </c>
      <c r="S25" s="34">
        <f t="shared" si="0"/>
        <v>3036000</v>
      </c>
      <c r="T25" s="48">
        <v>0</v>
      </c>
      <c r="U25" s="49">
        <f t="shared" si="1"/>
        <v>30636000</v>
      </c>
      <c r="V25" s="30"/>
      <c r="W25" s="2"/>
      <c r="X25" s="54"/>
    </row>
    <row r="26" spans="1:24" x14ac:dyDescent="0.25">
      <c r="A26" s="31">
        <f t="shared" si="2"/>
        <v>17</v>
      </c>
      <c r="B26" s="31" t="s">
        <v>79</v>
      </c>
      <c r="C26" s="41" t="s">
        <v>178</v>
      </c>
      <c r="D26" s="34">
        <v>0</v>
      </c>
      <c r="E26" s="34">
        <v>255</v>
      </c>
      <c r="F26" s="47" t="s">
        <v>179</v>
      </c>
      <c r="G26" s="31" t="s">
        <v>180</v>
      </c>
      <c r="H26" s="34" t="s">
        <v>181</v>
      </c>
      <c r="I26" s="43" t="s">
        <v>182</v>
      </c>
      <c r="J26" s="44" t="s">
        <v>183</v>
      </c>
      <c r="K26" s="31" t="s">
        <v>71</v>
      </c>
      <c r="L26" s="34" t="s">
        <v>184</v>
      </c>
      <c r="M26" s="31" t="s">
        <v>161</v>
      </c>
      <c r="N26" s="31" t="s">
        <v>29</v>
      </c>
      <c r="O26" s="44" t="s">
        <v>183</v>
      </c>
      <c r="P26" s="44" t="s">
        <v>185</v>
      </c>
      <c r="Q26" s="31" t="s">
        <v>30</v>
      </c>
      <c r="R26" s="35">
        <v>11000000</v>
      </c>
      <c r="S26" s="34">
        <f t="shared" si="0"/>
        <v>1210000</v>
      </c>
      <c r="T26" s="48">
        <v>0</v>
      </c>
      <c r="U26" s="49">
        <f t="shared" si="1"/>
        <v>12210000</v>
      </c>
      <c r="V26" s="64"/>
      <c r="W26" s="2"/>
      <c r="X26" s="54"/>
    </row>
    <row r="27" spans="1:24" x14ac:dyDescent="0.25">
      <c r="A27" s="31">
        <f t="shared" si="2"/>
        <v>18</v>
      </c>
      <c r="B27" s="31" t="s">
        <v>79</v>
      </c>
      <c r="C27" s="63" t="s">
        <v>186</v>
      </c>
      <c r="D27" s="34">
        <v>75</v>
      </c>
      <c r="E27" s="34"/>
      <c r="F27" s="68" t="s">
        <v>187</v>
      </c>
      <c r="G27" s="31" t="s">
        <v>188</v>
      </c>
      <c r="H27" s="34" t="s">
        <v>189</v>
      </c>
      <c r="I27" s="34"/>
      <c r="J27" s="34"/>
      <c r="K27" s="31"/>
      <c r="L27" s="34" t="s">
        <v>190</v>
      </c>
      <c r="M27" s="31" t="s">
        <v>191</v>
      </c>
      <c r="N27" s="31" t="s">
        <v>29</v>
      </c>
      <c r="O27" s="31"/>
      <c r="P27" s="34"/>
      <c r="Q27" s="31" t="s">
        <v>192</v>
      </c>
      <c r="R27" s="35">
        <v>5000000</v>
      </c>
      <c r="S27" s="34">
        <f t="shared" si="0"/>
        <v>550000</v>
      </c>
      <c r="T27" s="48"/>
      <c r="U27" s="49">
        <f t="shared" si="1"/>
        <v>5550000</v>
      </c>
      <c r="V27" s="64" t="s">
        <v>193</v>
      </c>
      <c r="W27" s="2"/>
      <c r="X27" s="54"/>
    </row>
    <row r="28" spans="1:24" x14ac:dyDescent="0.25">
      <c r="A28" s="31"/>
      <c r="B28" s="31"/>
      <c r="C28" s="63"/>
      <c r="D28" s="34"/>
      <c r="E28" s="34"/>
      <c r="F28" s="68"/>
      <c r="G28" s="31"/>
      <c r="H28" s="34"/>
      <c r="I28" s="34"/>
      <c r="J28" s="34"/>
      <c r="K28" s="31"/>
      <c r="L28" s="34"/>
      <c r="M28" s="31"/>
      <c r="N28" s="31"/>
      <c r="O28" s="31"/>
      <c r="P28" s="34"/>
      <c r="Q28" s="31"/>
      <c r="R28" s="35"/>
      <c r="S28" s="34"/>
      <c r="T28" s="48"/>
      <c r="U28" s="49"/>
      <c r="V28" s="64"/>
      <c r="W28" s="2"/>
      <c r="X28" s="54"/>
    </row>
    <row r="29" spans="1:24" x14ac:dyDescent="0.25">
      <c r="A29" s="31"/>
      <c r="B29" s="31"/>
      <c r="C29" s="63"/>
      <c r="D29" s="51"/>
      <c r="E29" s="66"/>
      <c r="F29" s="67"/>
      <c r="G29" s="13"/>
      <c r="H29" s="34"/>
      <c r="I29" s="58"/>
      <c r="J29" s="69"/>
      <c r="K29" s="31"/>
      <c r="L29" s="34"/>
      <c r="M29" s="31"/>
      <c r="N29" s="31"/>
      <c r="O29" s="69"/>
      <c r="P29" s="69"/>
      <c r="Q29" s="31"/>
      <c r="R29" s="35"/>
      <c r="S29" s="34"/>
      <c r="T29" s="48"/>
      <c r="U29" s="49"/>
      <c r="V29" s="64"/>
      <c r="W29" s="2"/>
      <c r="X29" s="54"/>
    </row>
    <row r="30" spans="1:24" x14ac:dyDescent="0.25">
      <c r="A30" s="31"/>
      <c r="B30" s="31"/>
      <c r="C30" s="41"/>
      <c r="D30" s="51"/>
      <c r="E30" s="34"/>
      <c r="F30" s="31"/>
      <c r="G30" s="31"/>
      <c r="H30" s="34"/>
      <c r="I30" s="43"/>
      <c r="J30" s="44"/>
      <c r="K30" s="31"/>
      <c r="L30" s="45"/>
      <c r="M30" s="46"/>
      <c r="N30" s="31"/>
      <c r="O30" s="69"/>
      <c r="P30" s="69"/>
      <c r="Q30" s="31"/>
      <c r="R30" s="35"/>
      <c r="S30" s="34"/>
      <c r="T30" s="48"/>
      <c r="U30" s="49"/>
      <c r="V30" s="30"/>
      <c r="W30" s="2"/>
      <c r="X30" s="54"/>
    </row>
    <row r="31" spans="1:24" x14ac:dyDescent="0.25">
      <c r="A31" s="31"/>
      <c r="B31" s="31"/>
      <c r="C31" s="63"/>
      <c r="D31" s="70"/>
      <c r="E31" s="71"/>
      <c r="F31" s="65"/>
      <c r="G31" s="31"/>
      <c r="H31" s="34"/>
      <c r="I31" s="43"/>
      <c r="J31" s="44"/>
      <c r="K31" s="31"/>
      <c r="L31" s="34"/>
      <c r="M31" s="31"/>
      <c r="N31" s="31"/>
      <c r="O31" s="44"/>
      <c r="P31" s="65"/>
      <c r="Q31" s="31"/>
      <c r="R31" s="35"/>
      <c r="S31" s="34"/>
      <c r="T31" s="56"/>
      <c r="U31" s="49"/>
      <c r="V31" s="30"/>
      <c r="W31" s="2"/>
      <c r="X31" s="54"/>
    </row>
    <row r="32" spans="1:24" x14ac:dyDescent="0.25">
      <c r="A32" s="31"/>
      <c r="B32" s="31"/>
      <c r="C32" s="41"/>
      <c r="D32" s="34"/>
      <c r="E32" s="34"/>
      <c r="F32" s="47"/>
      <c r="G32" s="31"/>
      <c r="H32" s="34"/>
      <c r="I32" s="43"/>
      <c r="J32" s="69"/>
      <c r="K32" s="31"/>
      <c r="L32" s="34"/>
      <c r="M32" s="31"/>
      <c r="N32" s="31"/>
      <c r="O32" s="69"/>
      <c r="P32" s="69"/>
      <c r="Q32" s="31"/>
      <c r="R32" s="35"/>
      <c r="S32" s="34"/>
      <c r="T32" s="48"/>
      <c r="U32" s="49"/>
      <c r="V32" s="64"/>
      <c r="W32" s="2"/>
      <c r="X32" s="54"/>
    </row>
    <row r="33" spans="1:24" x14ac:dyDescent="0.25">
      <c r="A33" s="31"/>
      <c r="B33" s="31"/>
      <c r="C33" s="63"/>
      <c r="D33" s="34"/>
      <c r="E33" s="34"/>
      <c r="F33" s="68"/>
      <c r="G33" s="31"/>
      <c r="H33" s="34"/>
      <c r="I33" s="34"/>
      <c r="J33" s="34"/>
      <c r="K33" s="31"/>
      <c r="L33" s="34"/>
      <c r="M33" s="31"/>
      <c r="N33" s="31"/>
      <c r="O33" s="31"/>
      <c r="P33" s="34"/>
      <c r="Q33" s="31"/>
      <c r="R33" s="35"/>
      <c r="S33" s="34"/>
      <c r="T33" s="48"/>
      <c r="U33" s="49"/>
      <c r="V33" s="64"/>
      <c r="W33" s="2"/>
      <c r="X33" s="54"/>
    </row>
    <row r="34" spans="1:24" x14ac:dyDescent="0.25">
      <c r="A34" s="31"/>
      <c r="B34" s="31"/>
      <c r="C34" s="55"/>
      <c r="D34" s="34"/>
      <c r="E34" s="34"/>
      <c r="F34" s="57"/>
      <c r="G34" s="31"/>
      <c r="H34" s="34"/>
      <c r="I34" s="34"/>
      <c r="J34" s="34"/>
      <c r="K34" s="31"/>
      <c r="L34" s="34"/>
      <c r="M34" s="31"/>
      <c r="N34" s="31"/>
      <c r="O34" s="31"/>
      <c r="P34" s="34"/>
      <c r="Q34" s="31"/>
      <c r="R34" s="35"/>
      <c r="S34" s="34"/>
      <c r="T34" s="48"/>
      <c r="U34" s="49"/>
      <c r="V34" s="72"/>
      <c r="W34" s="2"/>
      <c r="X34" s="54"/>
    </row>
    <row r="35" spans="1:24" x14ac:dyDescent="0.25">
      <c r="A35" s="13"/>
      <c r="B35" s="31"/>
      <c r="C35" s="63"/>
      <c r="D35" s="66"/>
      <c r="E35" s="66"/>
      <c r="F35" s="67"/>
      <c r="G35" s="13"/>
      <c r="H35" s="66"/>
      <c r="I35" s="33"/>
      <c r="J35" s="73"/>
      <c r="K35" s="13"/>
      <c r="L35" s="66"/>
      <c r="M35" s="74"/>
      <c r="N35" s="31"/>
      <c r="O35" s="73"/>
      <c r="P35" s="73"/>
      <c r="Q35" s="13"/>
      <c r="R35" s="75"/>
      <c r="S35" s="66"/>
      <c r="T35" s="76"/>
      <c r="U35" s="49"/>
      <c r="V35" s="72"/>
      <c r="W35" s="2"/>
      <c r="X35" s="54"/>
    </row>
    <row r="36" spans="1:24" x14ac:dyDescent="0.25">
      <c r="A36" s="13"/>
      <c r="B36" s="31"/>
      <c r="C36" s="41"/>
      <c r="D36" s="34"/>
      <c r="E36" s="34"/>
      <c r="F36" s="31"/>
      <c r="G36" s="31"/>
      <c r="H36" s="34"/>
      <c r="I36" s="43"/>
      <c r="J36" s="44"/>
      <c r="K36" s="31"/>
      <c r="L36" s="45"/>
      <c r="M36" s="46"/>
      <c r="N36" s="31"/>
      <c r="O36" s="44"/>
      <c r="P36" s="44"/>
      <c r="Q36" s="13"/>
      <c r="R36" s="75"/>
      <c r="S36" s="66"/>
      <c r="T36" s="76"/>
      <c r="U36" s="49"/>
      <c r="V36" s="72"/>
      <c r="W36" s="2"/>
      <c r="X36" s="54"/>
    </row>
    <row r="37" spans="1:24" x14ac:dyDescent="0.25">
      <c r="A37" s="13"/>
      <c r="B37" s="13"/>
      <c r="C37" s="77"/>
      <c r="D37" s="66"/>
      <c r="E37" s="66"/>
      <c r="F37" s="67"/>
      <c r="G37" s="13"/>
      <c r="H37" s="66"/>
      <c r="I37" s="66"/>
      <c r="J37" s="66"/>
      <c r="K37" s="13"/>
      <c r="L37" s="66"/>
      <c r="M37" s="13"/>
      <c r="N37" s="13"/>
      <c r="O37" s="13"/>
      <c r="P37" s="66"/>
      <c r="Q37" s="13"/>
      <c r="R37" s="75"/>
      <c r="S37" s="66"/>
      <c r="T37" s="13"/>
      <c r="U37" s="78"/>
      <c r="V37" s="79"/>
      <c r="W37" s="2"/>
      <c r="X37" s="54"/>
    </row>
    <row r="38" spans="1:24" x14ac:dyDescent="0.25">
      <c r="A38" s="79"/>
      <c r="B38" s="79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>
        <f>SUM(R10:R29)</f>
        <v>393900000</v>
      </c>
      <c r="S38" s="81">
        <f t="shared" ref="S38:U38" si="3">SUM(S10:S29)</f>
        <v>43329000</v>
      </c>
      <c r="T38" s="81">
        <f t="shared" si="3"/>
        <v>0</v>
      </c>
      <c r="U38" s="81">
        <f t="shared" si="3"/>
        <v>437229000</v>
      </c>
      <c r="V38" s="82"/>
      <c r="X38" s="54"/>
    </row>
    <row r="39" spans="1:24" x14ac:dyDescent="0.25">
      <c r="A39" s="83" t="s">
        <v>32</v>
      </c>
      <c r="X39" s="54"/>
    </row>
    <row r="40" spans="1:24" x14ac:dyDescent="0.25">
      <c r="A40" s="84" t="s">
        <v>33</v>
      </c>
    </row>
    <row r="41" spans="1:24" x14ac:dyDescent="0.25">
      <c r="A41" s="84" t="s">
        <v>34</v>
      </c>
      <c r="E41" s="26"/>
    </row>
    <row r="42" spans="1:24" x14ac:dyDescent="0.25">
      <c r="A42" s="84" t="s">
        <v>35</v>
      </c>
    </row>
    <row r="43" spans="1:24" x14ac:dyDescent="0.25">
      <c r="A43" s="84" t="s">
        <v>36</v>
      </c>
    </row>
    <row r="44" spans="1:24" x14ac:dyDescent="0.25">
      <c r="A44" s="84" t="s">
        <v>37</v>
      </c>
    </row>
    <row r="45" spans="1:24" x14ac:dyDescent="0.25">
      <c r="A45" s="84" t="s">
        <v>38</v>
      </c>
    </row>
    <row r="46" spans="1:24" x14ac:dyDescent="0.25">
      <c r="A46" s="84" t="s">
        <v>39</v>
      </c>
    </row>
    <row r="47" spans="1:24" x14ac:dyDescent="0.25">
      <c r="A47" s="84" t="s">
        <v>40</v>
      </c>
    </row>
    <row r="48" spans="1:24" x14ac:dyDescent="0.25">
      <c r="A48" s="84" t="s">
        <v>41</v>
      </c>
    </row>
    <row r="49" spans="1:1" x14ac:dyDescent="0.25">
      <c r="A49" s="84" t="s">
        <v>42</v>
      </c>
    </row>
    <row r="50" spans="1:1" x14ac:dyDescent="0.25">
      <c r="A50" s="84" t="s">
        <v>43</v>
      </c>
    </row>
    <row r="51" spans="1:1" x14ac:dyDescent="0.25">
      <c r="A51" s="84" t="s">
        <v>44</v>
      </c>
    </row>
    <row r="52" spans="1:1" x14ac:dyDescent="0.25">
      <c r="A52" s="84" t="s">
        <v>45</v>
      </c>
    </row>
    <row r="53" spans="1:1" x14ac:dyDescent="0.25">
      <c r="A53" s="84" t="s">
        <v>46</v>
      </c>
    </row>
    <row r="54" spans="1:1" x14ac:dyDescent="0.25">
      <c r="A54" s="84" t="s">
        <v>47</v>
      </c>
    </row>
    <row r="55" spans="1:1" x14ac:dyDescent="0.25">
      <c r="A55" s="84" t="s">
        <v>48</v>
      </c>
    </row>
    <row r="56" spans="1:1" x14ac:dyDescent="0.25">
      <c r="A56" s="84" t="s">
        <v>49</v>
      </c>
    </row>
    <row r="57" spans="1:1" x14ac:dyDescent="0.25">
      <c r="A57" s="84" t="s">
        <v>50</v>
      </c>
    </row>
    <row r="58" spans="1:1" x14ac:dyDescent="0.25">
      <c r="A58" s="84" t="s">
        <v>51</v>
      </c>
    </row>
    <row r="59" spans="1:1" x14ac:dyDescent="0.25">
      <c r="A59" s="84" t="s">
        <v>52</v>
      </c>
    </row>
    <row r="60" spans="1:1" x14ac:dyDescent="0.25">
      <c r="A60" s="84" t="s">
        <v>53</v>
      </c>
    </row>
    <row r="61" spans="1:1" x14ac:dyDescent="0.25">
      <c r="A61" s="84" t="s">
        <v>54</v>
      </c>
    </row>
    <row r="62" spans="1:1" x14ac:dyDescent="0.25">
      <c r="A62" s="84" t="s">
        <v>55</v>
      </c>
    </row>
    <row r="63" spans="1:1" x14ac:dyDescent="0.25">
      <c r="A63" s="84" t="s">
        <v>56</v>
      </c>
    </row>
    <row r="64" spans="1:1" x14ac:dyDescent="0.25">
      <c r="A64" s="84" t="s">
        <v>57</v>
      </c>
    </row>
    <row r="65" spans="1:1" x14ac:dyDescent="0.25">
      <c r="A65" s="84" t="s">
        <v>58</v>
      </c>
    </row>
    <row r="66" spans="1:1" x14ac:dyDescent="0.25">
      <c r="A66" s="84" t="s">
        <v>59</v>
      </c>
    </row>
  </sheetData>
  <mergeCells count="10">
    <mergeCell ref="O6:Q6"/>
    <mergeCell ref="R6:U6"/>
    <mergeCell ref="V6:V7"/>
    <mergeCell ref="D8:E8"/>
    <mergeCell ref="A6:A7"/>
    <mergeCell ref="B6:B7"/>
    <mergeCell ref="C6:G6"/>
    <mergeCell ref="H6:H7"/>
    <mergeCell ref="I6:K6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"/>
  <sheetViews>
    <sheetView topLeftCell="N13" workbookViewId="0">
      <selection activeCell="AD38" sqref="AD38"/>
    </sheetView>
  </sheetViews>
  <sheetFormatPr defaultRowHeight="15" x14ac:dyDescent="0.25"/>
  <cols>
    <col min="1" max="1" width="5.7109375" customWidth="1"/>
    <col min="2" max="2" width="11.85546875" bestFit="1" customWidth="1"/>
    <col min="3" max="3" width="40.42578125" bestFit="1" customWidth="1"/>
    <col min="4" max="4" width="10.5703125" bestFit="1" customWidth="1"/>
    <col min="6" max="6" width="61.85546875" bestFit="1" customWidth="1"/>
    <col min="7" max="7" width="13.7109375" customWidth="1"/>
    <col min="8" max="8" width="24.28515625" bestFit="1" customWidth="1"/>
    <col min="11" max="11" width="13.85546875" customWidth="1"/>
    <col min="12" max="12" width="25.140625" customWidth="1"/>
    <col min="13" max="13" width="79.28515625" bestFit="1" customWidth="1"/>
    <col min="14" max="14" width="7.7109375" bestFit="1" customWidth="1"/>
    <col min="15" max="16" width="10.5703125" bestFit="1" customWidth="1"/>
    <col min="17" max="17" width="11.7109375" customWidth="1"/>
    <col min="18" max="18" width="15.28515625" bestFit="1" customWidth="1"/>
    <col min="19" max="19" width="11.28515625" customWidth="1"/>
    <col min="20" max="20" width="11.28515625" bestFit="1" customWidth="1"/>
    <col min="22" max="22" width="12" bestFit="1" customWidth="1"/>
    <col min="23" max="28" width="0" hidden="1" customWidth="1"/>
    <col min="29" max="29" width="12.28515625" bestFit="1" customWidth="1"/>
    <col min="30" max="30" width="30.5703125" customWidth="1"/>
  </cols>
  <sheetData>
    <row r="1" spans="1:33" x14ac:dyDescent="0.25">
      <c r="A1" s="1" t="s">
        <v>0</v>
      </c>
    </row>
    <row r="2" spans="1:33" x14ac:dyDescent="0.25">
      <c r="A2" s="1" t="s">
        <v>1</v>
      </c>
    </row>
    <row r="3" spans="1:33" x14ac:dyDescent="0.25">
      <c r="A3" s="1" t="s">
        <v>194</v>
      </c>
    </row>
    <row r="4" spans="1:33" ht="15.75" thickBot="1" x14ac:dyDescent="0.3">
      <c r="A4" s="1"/>
    </row>
    <row r="5" spans="1:33" s="1" customFormat="1" x14ac:dyDescent="0.25">
      <c r="A5" s="828" t="s">
        <v>2</v>
      </c>
      <c r="B5" s="830" t="s">
        <v>3</v>
      </c>
      <c r="C5" s="825" t="s">
        <v>4</v>
      </c>
      <c r="D5" s="826"/>
      <c r="E5" s="826"/>
      <c r="F5" s="826"/>
      <c r="G5" s="827"/>
      <c r="H5" s="817" t="s">
        <v>5</v>
      </c>
      <c r="I5" s="814" t="s">
        <v>6</v>
      </c>
      <c r="J5" s="815"/>
      <c r="K5" s="816"/>
      <c r="L5" s="825" t="s">
        <v>7</v>
      </c>
      <c r="M5" s="826"/>
      <c r="N5" s="827"/>
      <c r="O5" s="814" t="s">
        <v>8</v>
      </c>
      <c r="P5" s="815"/>
      <c r="Q5" s="816"/>
      <c r="R5" s="817" t="s">
        <v>9</v>
      </c>
      <c r="S5" s="817"/>
      <c r="T5" s="817"/>
      <c r="U5" s="817"/>
      <c r="V5" s="817"/>
      <c r="W5" s="818" t="s">
        <v>61</v>
      </c>
      <c r="X5" s="820" t="s">
        <v>62</v>
      </c>
      <c r="Y5" s="821"/>
      <c r="Z5" s="821"/>
      <c r="AA5" s="821"/>
      <c r="AB5" s="822"/>
      <c r="AC5" s="818" t="s">
        <v>195</v>
      </c>
      <c r="AD5" s="823" t="s">
        <v>10</v>
      </c>
      <c r="AE5" s="85"/>
      <c r="AF5" s="85"/>
      <c r="AG5" s="85"/>
    </row>
    <row r="6" spans="1:33" s="1" customFormat="1" ht="21.6" customHeight="1" x14ac:dyDescent="0.25">
      <c r="A6" s="829"/>
      <c r="B6" s="831"/>
      <c r="C6" s="86" t="s">
        <v>11</v>
      </c>
      <c r="D6" s="86" t="s">
        <v>12</v>
      </c>
      <c r="E6" s="87" t="s">
        <v>196</v>
      </c>
      <c r="F6" s="87" t="s">
        <v>14</v>
      </c>
      <c r="G6" s="87" t="s">
        <v>197</v>
      </c>
      <c r="H6" s="832"/>
      <c r="I6" s="88" t="s">
        <v>16</v>
      </c>
      <c r="J6" s="88" t="s">
        <v>17</v>
      </c>
      <c r="K6" s="89" t="s">
        <v>18</v>
      </c>
      <c r="L6" s="89" t="s">
        <v>19</v>
      </c>
      <c r="M6" s="89" t="s">
        <v>14</v>
      </c>
      <c r="N6" s="90" t="s">
        <v>20</v>
      </c>
      <c r="O6" s="88" t="s">
        <v>21</v>
      </c>
      <c r="P6" s="88" t="s">
        <v>22</v>
      </c>
      <c r="Q6" s="86" t="s">
        <v>23</v>
      </c>
      <c r="R6" s="86" t="s">
        <v>24</v>
      </c>
      <c r="S6" s="86" t="s">
        <v>198</v>
      </c>
      <c r="T6" s="86" t="s">
        <v>25</v>
      </c>
      <c r="U6" s="86" t="s">
        <v>26</v>
      </c>
      <c r="V6" s="86" t="s">
        <v>199</v>
      </c>
      <c r="W6" s="819"/>
      <c r="X6" s="91" t="s">
        <v>63</v>
      </c>
      <c r="Y6" s="91" t="s">
        <v>64</v>
      </c>
      <c r="Z6" s="91" t="s">
        <v>65</v>
      </c>
      <c r="AA6" s="91" t="s">
        <v>66</v>
      </c>
      <c r="AB6" s="91" t="s">
        <v>67</v>
      </c>
      <c r="AC6" s="819"/>
      <c r="AD6" s="824"/>
      <c r="AE6" s="85"/>
      <c r="AF6" s="85"/>
      <c r="AG6" s="85"/>
    </row>
    <row r="7" spans="1:33" x14ac:dyDescent="0.25">
      <c r="A7" s="9">
        <v>1</v>
      </c>
      <c r="B7" s="9">
        <v>2</v>
      </c>
      <c r="C7" s="9">
        <v>3</v>
      </c>
      <c r="D7" s="809">
        <v>4</v>
      </c>
      <c r="E7" s="810"/>
      <c r="F7" s="9">
        <v>5</v>
      </c>
      <c r="G7" s="9">
        <v>6</v>
      </c>
      <c r="H7" s="9">
        <v>7</v>
      </c>
      <c r="I7" s="9">
        <v>8</v>
      </c>
      <c r="J7" s="9">
        <v>9</v>
      </c>
      <c r="K7" s="9">
        <v>10</v>
      </c>
      <c r="L7" s="9">
        <v>11</v>
      </c>
      <c r="M7" s="9">
        <v>12</v>
      </c>
      <c r="N7" s="9">
        <v>13</v>
      </c>
      <c r="O7" s="9">
        <v>14</v>
      </c>
      <c r="P7" s="9">
        <v>15</v>
      </c>
      <c r="Q7" s="9">
        <v>16</v>
      </c>
      <c r="R7" s="9">
        <v>17</v>
      </c>
      <c r="S7" s="9">
        <v>18</v>
      </c>
      <c r="T7" s="9">
        <v>19</v>
      </c>
      <c r="U7" s="9">
        <v>20</v>
      </c>
      <c r="V7" s="9">
        <v>21</v>
      </c>
      <c r="W7" s="9">
        <v>22</v>
      </c>
      <c r="X7" s="9">
        <v>23</v>
      </c>
      <c r="Y7" s="9">
        <v>24</v>
      </c>
      <c r="Z7" s="9">
        <v>25</v>
      </c>
      <c r="AA7" s="9">
        <v>26</v>
      </c>
      <c r="AB7" s="9">
        <v>27</v>
      </c>
      <c r="AC7" s="9">
        <v>28</v>
      </c>
      <c r="AD7" s="9">
        <v>29</v>
      </c>
    </row>
    <row r="8" spans="1:33" x14ac:dyDescent="0.25">
      <c r="A8" s="92">
        <v>1</v>
      </c>
      <c r="B8" s="30" t="s">
        <v>194</v>
      </c>
      <c r="C8" s="48" t="s">
        <v>200</v>
      </c>
      <c r="D8" s="93">
        <v>570</v>
      </c>
      <c r="E8" s="93"/>
      <c r="F8" s="31" t="s">
        <v>201</v>
      </c>
      <c r="G8" s="31" t="s">
        <v>202</v>
      </c>
      <c r="H8" s="94" t="s">
        <v>203</v>
      </c>
      <c r="I8" s="31"/>
      <c r="J8" s="31"/>
      <c r="K8" s="31" t="s">
        <v>71</v>
      </c>
      <c r="L8" s="31" t="s">
        <v>204</v>
      </c>
      <c r="M8" s="31" t="s">
        <v>205</v>
      </c>
      <c r="N8" s="31" t="s">
        <v>29</v>
      </c>
      <c r="O8" s="95">
        <v>44684</v>
      </c>
      <c r="P8" s="95">
        <v>45414</v>
      </c>
      <c r="Q8" s="31" t="s">
        <v>30</v>
      </c>
      <c r="R8" s="48">
        <v>4050000</v>
      </c>
      <c r="S8" s="48">
        <f t="shared" ref="S8:S9" si="0">R8*10%</f>
        <v>405000</v>
      </c>
      <c r="T8" s="48">
        <f>R8*10%</f>
        <v>405000</v>
      </c>
      <c r="U8" s="31"/>
      <c r="V8" s="96">
        <f>R8+T8+U8</f>
        <v>4455000</v>
      </c>
      <c r="W8" s="31"/>
      <c r="X8" s="31"/>
      <c r="Y8" s="31"/>
      <c r="Z8" s="31"/>
      <c r="AA8" s="31"/>
      <c r="AB8" s="31"/>
      <c r="AC8" s="97">
        <f>R8-S8-T8</f>
        <v>3240000</v>
      </c>
      <c r="AD8" s="32"/>
    </row>
    <row r="9" spans="1:33" x14ac:dyDescent="0.25">
      <c r="A9" s="92">
        <v>2</v>
      </c>
      <c r="B9" s="30" t="s">
        <v>194</v>
      </c>
      <c r="C9" s="48" t="s">
        <v>206</v>
      </c>
      <c r="D9" s="93">
        <v>980</v>
      </c>
      <c r="E9" s="93">
        <v>45</v>
      </c>
      <c r="F9" s="31" t="s">
        <v>201</v>
      </c>
      <c r="G9" s="31" t="s">
        <v>202</v>
      </c>
      <c r="H9" s="94" t="s">
        <v>207</v>
      </c>
      <c r="I9" s="31"/>
      <c r="J9" s="31"/>
      <c r="K9" s="31" t="s">
        <v>71</v>
      </c>
      <c r="L9" s="31" t="s">
        <v>208</v>
      </c>
      <c r="M9" s="31" t="s">
        <v>205</v>
      </c>
      <c r="N9" s="31" t="s">
        <v>29</v>
      </c>
      <c r="O9" s="95">
        <v>44550</v>
      </c>
      <c r="P9" s="95">
        <v>44914</v>
      </c>
      <c r="Q9" s="31" t="s">
        <v>30</v>
      </c>
      <c r="R9" s="48">
        <v>20047500</v>
      </c>
      <c r="S9" s="48">
        <f t="shared" si="0"/>
        <v>2004750</v>
      </c>
      <c r="T9" s="48">
        <f t="shared" ref="T9:T23" si="1">R9*10%</f>
        <v>2004750</v>
      </c>
      <c r="U9" s="31"/>
      <c r="V9" s="96">
        <f>R9+T9+U9</f>
        <v>22052250</v>
      </c>
      <c r="W9" s="31"/>
      <c r="X9" s="31"/>
      <c r="Y9" s="31"/>
      <c r="Z9" s="31"/>
      <c r="AA9" s="31"/>
      <c r="AB9" s="31"/>
      <c r="AC9" s="97">
        <f t="shared" ref="AC9:AC25" si="2">R9-S9-T9</f>
        <v>16038000</v>
      </c>
      <c r="AD9" s="15"/>
      <c r="AE9" s="14"/>
      <c r="AF9" s="14"/>
      <c r="AG9" s="14"/>
    </row>
    <row r="10" spans="1:33" x14ac:dyDescent="0.25">
      <c r="A10" s="92">
        <v>3</v>
      </c>
      <c r="B10" s="30" t="s">
        <v>194</v>
      </c>
      <c r="C10" s="48" t="s">
        <v>209</v>
      </c>
      <c r="D10" s="93">
        <v>58.89</v>
      </c>
      <c r="E10" s="93">
        <v>47.636399999999995</v>
      </c>
      <c r="F10" s="31" t="s">
        <v>210</v>
      </c>
      <c r="G10" s="31" t="s">
        <v>202</v>
      </c>
      <c r="H10" s="94" t="s">
        <v>211</v>
      </c>
      <c r="I10" s="31"/>
      <c r="J10" s="31"/>
      <c r="K10" s="31" t="s">
        <v>71</v>
      </c>
      <c r="L10" s="31" t="s">
        <v>212</v>
      </c>
      <c r="M10" s="31" t="s">
        <v>213</v>
      </c>
      <c r="N10" s="31" t="s">
        <v>29</v>
      </c>
      <c r="O10" s="95">
        <v>44652</v>
      </c>
      <c r="P10" s="95">
        <v>45016</v>
      </c>
      <c r="Q10" s="31" t="s">
        <v>30</v>
      </c>
      <c r="R10" s="48">
        <v>22702704</v>
      </c>
      <c r="S10" s="48">
        <f>R10*10%</f>
        <v>2270270.4</v>
      </c>
      <c r="T10" s="48">
        <f>R10*11%</f>
        <v>2497297.44</v>
      </c>
      <c r="U10" s="31"/>
      <c r="V10" s="96">
        <f>R10+T10+U10+S10</f>
        <v>27470271.84</v>
      </c>
      <c r="W10" s="31"/>
      <c r="X10" s="31"/>
      <c r="Y10" s="31"/>
      <c r="Z10" s="31"/>
      <c r="AA10" s="31"/>
      <c r="AB10" s="31"/>
      <c r="AC10" s="97">
        <f t="shared" si="2"/>
        <v>17935136.16</v>
      </c>
      <c r="AD10" s="15"/>
      <c r="AE10" s="14"/>
      <c r="AF10" s="14"/>
      <c r="AG10" s="14"/>
    </row>
    <row r="11" spans="1:33" x14ac:dyDescent="0.25">
      <c r="A11" s="92">
        <v>4</v>
      </c>
      <c r="B11" s="30" t="s">
        <v>194</v>
      </c>
      <c r="C11" s="48" t="s">
        <v>214</v>
      </c>
      <c r="D11" s="93">
        <v>21</v>
      </c>
      <c r="E11" s="93">
        <v>0</v>
      </c>
      <c r="F11" s="31" t="s">
        <v>210</v>
      </c>
      <c r="G11" s="31" t="s">
        <v>202</v>
      </c>
      <c r="H11" s="94" t="s">
        <v>215</v>
      </c>
      <c r="I11" s="31"/>
      <c r="J11" s="31"/>
      <c r="K11" s="31" t="s">
        <v>71</v>
      </c>
      <c r="L11" s="31" t="s">
        <v>216</v>
      </c>
      <c r="M11" s="31" t="s">
        <v>217</v>
      </c>
      <c r="N11" s="31" t="s">
        <v>29</v>
      </c>
      <c r="O11" s="95">
        <v>44439</v>
      </c>
      <c r="P11" s="95">
        <v>44805</v>
      </c>
      <c r="Q11" s="31" t="s">
        <v>30</v>
      </c>
      <c r="R11" s="48">
        <v>4455000</v>
      </c>
      <c r="S11" s="48">
        <f t="shared" ref="S11:S25" si="3">R11*10%</f>
        <v>445500</v>
      </c>
      <c r="T11" s="48">
        <f t="shared" si="1"/>
        <v>445500</v>
      </c>
      <c r="U11" s="31"/>
      <c r="V11" s="96">
        <f t="shared" ref="V11:V25" si="4">R11+T11+U11</f>
        <v>4900500</v>
      </c>
      <c r="W11" s="31"/>
      <c r="X11" s="31"/>
      <c r="Y11" s="31"/>
      <c r="Z11" s="31"/>
      <c r="AA11" s="31"/>
      <c r="AB11" s="31"/>
      <c r="AC11" s="97">
        <f t="shared" si="2"/>
        <v>3564000</v>
      </c>
      <c r="AD11" s="15"/>
      <c r="AE11" s="14"/>
      <c r="AF11" s="14"/>
      <c r="AG11" s="14"/>
    </row>
    <row r="12" spans="1:33" x14ac:dyDescent="0.25">
      <c r="A12" s="92">
        <v>5</v>
      </c>
      <c r="B12" s="30" t="s">
        <v>194</v>
      </c>
      <c r="C12" s="48" t="s">
        <v>218</v>
      </c>
      <c r="D12" s="93">
        <v>43.4</v>
      </c>
      <c r="E12" s="93">
        <v>0</v>
      </c>
      <c r="F12" s="31" t="s">
        <v>210</v>
      </c>
      <c r="G12" s="31" t="s">
        <v>202</v>
      </c>
      <c r="H12" s="94" t="s">
        <v>219</v>
      </c>
      <c r="I12" s="31"/>
      <c r="J12" s="31"/>
      <c r="K12" s="31" t="s">
        <v>71</v>
      </c>
      <c r="L12" s="31" t="s">
        <v>220</v>
      </c>
      <c r="M12" s="31" t="s">
        <v>221</v>
      </c>
      <c r="N12" s="31" t="s">
        <v>29</v>
      </c>
      <c r="O12" s="95">
        <v>44726</v>
      </c>
      <c r="P12" s="95">
        <v>45090</v>
      </c>
      <c r="Q12" s="31" t="s">
        <v>30</v>
      </c>
      <c r="R12" s="48">
        <v>7702704</v>
      </c>
      <c r="S12" s="48">
        <f t="shared" si="3"/>
        <v>770270.4</v>
      </c>
      <c r="T12" s="48">
        <f>R12*11%-1</f>
        <v>847296.44000000006</v>
      </c>
      <c r="U12" s="31"/>
      <c r="V12" s="96">
        <f t="shared" si="4"/>
        <v>8550000.4399999995</v>
      </c>
      <c r="W12" s="31"/>
      <c r="X12" s="31"/>
      <c r="Y12" s="31"/>
      <c r="Z12" s="31"/>
      <c r="AA12" s="31"/>
      <c r="AB12" s="31"/>
      <c r="AC12" s="97">
        <f t="shared" si="2"/>
        <v>6085137.1599999992</v>
      </c>
      <c r="AD12" s="15"/>
      <c r="AE12" s="14"/>
      <c r="AF12" s="14"/>
      <c r="AG12" s="14"/>
    </row>
    <row r="13" spans="1:33" x14ac:dyDescent="0.25">
      <c r="A13" s="92">
        <v>6</v>
      </c>
      <c r="B13" s="30" t="s">
        <v>194</v>
      </c>
      <c r="C13" s="48" t="s">
        <v>222</v>
      </c>
      <c r="D13" s="93">
        <v>53.141999999999996</v>
      </c>
      <c r="E13" s="93">
        <v>47.639999999999993</v>
      </c>
      <c r="F13" s="31" t="s">
        <v>210</v>
      </c>
      <c r="G13" s="31" t="s">
        <v>202</v>
      </c>
      <c r="H13" s="94" t="s">
        <v>223</v>
      </c>
      <c r="I13" s="31"/>
      <c r="J13" s="31"/>
      <c r="K13" s="31" t="s">
        <v>71</v>
      </c>
      <c r="L13" s="31" t="s">
        <v>224</v>
      </c>
      <c r="M13" s="31" t="s">
        <v>225</v>
      </c>
      <c r="N13" s="31" t="s">
        <v>29</v>
      </c>
      <c r="O13" s="95">
        <v>44409</v>
      </c>
      <c r="P13" s="95">
        <v>45138</v>
      </c>
      <c r="Q13" s="31" t="s">
        <v>30</v>
      </c>
      <c r="R13" s="48">
        <v>24000000</v>
      </c>
      <c r="S13" s="48">
        <f t="shared" si="3"/>
        <v>2400000</v>
      </c>
      <c r="T13" s="48">
        <f t="shared" si="1"/>
        <v>2400000</v>
      </c>
      <c r="U13" s="31"/>
      <c r="V13" s="96">
        <f t="shared" si="4"/>
        <v>26400000</v>
      </c>
      <c r="W13" s="31"/>
      <c r="X13" s="31"/>
      <c r="Y13" s="31"/>
      <c r="Z13" s="31"/>
      <c r="AA13" s="31"/>
      <c r="AB13" s="31"/>
      <c r="AC13" s="97">
        <f t="shared" si="2"/>
        <v>19200000</v>
      </c>
      <c r="AD13" s="15"/>
      <c r="AE13" s="14"/>
      <c r="AF13" s="14"/>
      <c r="AG13" s="14"/>
    </row>
    <row r="14" spans="1:33" x14ac:dyDescent="0.25">
      <c r="A14" s="92">
        <v>7</v>
      </c>
      <c r="B14" s="30" t="s">
        <v>194</v>
      </c>
      <c r="C14" s="48" t="s">
        <v>226</v>
      </c>
      <c r="D14" s="93">
        <v>46.83</v>
      </c>
      <c r="E14" s="93">
        <v>32.421999999999997</v>
      </c>
      <c r="F14" s="31" t="s">
        <v>210</v>
      </c>
      <c r="G14" s="31" t="s">
        <v>202</v>
      </c>
      <c r="H14" s="94" t="s">
        <v>148</v>
      </c>
      <c r="I14" s="31"/>
      <c r="J14" s="31"/>
      <c r="K14" s="31" t="s">
        <v>71</v>
      </c>
      <c r="L14" s="31" t="s">
        <v>227</v>
      </c>
      <c r="M14" s="31" t="s">
        <v>228</v>
      </c>
      <c r="N14" s="31" t="s">
        <v>29</v>
      </c>
      <c r="O14" s="95">
        <v>44447</v>
      </c>
      <c r="P14" s="95">
        <v>44811</v>
      </c>
      <c r="Q14" s="31" t="s">
        <v>30</v>
      </c>
      <c r="R14" s="48">
        <v>22275000</v>
      </c>
      <c r="S14" s="48">
        <f t="shared" si="3"/>
        <v>2227500</v>
      </c>
      <c r="T14" s="48">
        <f t="shared" si="1"/>
        <v>2227500</v>
      </c>
      <c r="U14" s="31"/>
      <c r="V14" s="96">
        <f t="shared" si="4"/>
        <v>24502500</v>
      </c>
      <c r="W14" s="31"/>
      <c r="X14" s="31"/>
      <c r="Y14" s="31"/>
      <c r="Z14" s="31"/>
      <c r="AA14" s="31"/>
      <c r="AB14" s="31"/>
      <c r="AC14" s="97">
        <f t="shared" si="2"/>
        <v>17820000</v>
      </c>
      <c r="AD14" s="15"/>
      <c r="AE14" s="14"/>
      <c r="AF14" s="14"/>
      <c r="AG14" s="14"/>
    </row>
    <row r="15" spans="1:33" x14ac:dyDescent="0.25">
      <c r="A15" s="92">
        <v>8</v>
      </c>
      <c r="B15" s="30" t="s">
        <v>194</v>
      </c>
      <c r="C15" s="48" t="s">
        <v>229</v>
      </c>
      <c r="D15" s="93">
        <v>10</v>
      </c>
      <c r="E15" s="93">
        <v>0</v>
      </c>
      <c r="F15" s="31" t="s">
        <v>210</v>
      </c>
      <c r="G15" s="31" t="s">
        <v>202</v>
      </c>
      <c r="H15" s="94" t="s">
        <v>230</v>
      </c>
      <c r="I15" s="31"/>
      <c r="J15" s="31"/>
      <c r="K15" s="31" t="s">
        <v>71</v>
      </c>
      <c r="L15" s="31" t="s">
        <v>231</v>
      </c>
      <c r="M15" s="31" t="s">
        <v>232</v>
      </c>
      <c r="N15" s="31" t="s">
        <v>29</v>
      </c>
      <c r="O15" s="95">
        <v>44480</v>
      </c>
      <c r="P15" s="95">
        <v>44844</v>
      </c>
      <c r="Q15" s="31" t="s">
        <v>30</v>
      </c>
      <c r="R15" s="48">
        <v>1960200</v>
      </c>
      <c r="S15" s="48">
        <f t="shared" si="3"/>
        <v>196020</v>
      </c>
      <c r="T15" s="48">
        <f t="shared" si="1"/>
        <v>196020</v>
      </c>
      <c r="U15" s="31"/>
      <c r="V15" s="96">
        <f t="shared" si="4"/>
        <v>2156220</v>
      </c>
      <c r="W15" s="31"/>
      <c r="X15" s="31"/>
      <c r="Y15" s="31"/>
      <c r="Z15" s="31"/>
      <c r="AA15" s="31"/>
      <c r="AB15" s="31"/>
      <c r="AC15" s="97">
        <f t="shared" si="2"/>
        <v>1568160</v>
      </c>
      <c r="AD15" s="15"/>
      <c r="AE15" s="14"/>
      <c r="AF15" s="14"/>
      <c r="AG15" s="14"/>
    </row>
    <row r="16" spans="1:33" x14ac:dyDescent="0.25">
      <c r="A16" s="92">
        <v>9</v>
      </c>
      <c r="B16" s="30" t="s">
        <v>194</v>
      </c>
      <c r="C16" s="48" t="s">
        <v>233</v>
      </c>
      <c r="D16" s="93">
        <v>16</v>
      </c>
      <c r="E16" s="93">
        <v>0</v>
      </c>
      <c r="F16" s="31" t="s">
        <v>210</v>
      </c>
      <c r="G16" s="31" t="s">
        <v>202</v>
      </c>
      <c r="H16" s="94" t="s">
        <v>234</v>
      </c>
      <c r="I16" s="31"/>
      <c r="J16" s="31"/>
      <c r="K16" s="31" t="s">
        <v>71</v>
      </c>
      <c r="L16" s="31" t="s">
        <v>235</v>
      </c>
      <c r="M16" s="31" t="s">
        <v>236</v>
      </c>
      <c r="N16" s="31" t="s">
        <v>29</v>
      </c>
      <c r="O16" s="95">
        <v>44439</v>
      </c>
      <c r="P16" s="95">
        <v>44803</v>
      </c>
      <c r="Q16" s="31" t="s">
        <v>30</v>
      </c>
      <c r="R16" s="48">
        <v>2940300</v>
      </c>
      <c r="S16" s="48">
        <f t="shared" si="3"/>
        <v>294030</v>
      </c>
      <c r="T16" s="48">
        <f t="shared" si="1"/>
        <v>294030</v>
      </c>
      <c r="U16" s="31"/>
      <c r="V16" s="96">
        <f t="shared" si="4"/>
        <v>3234330</v>
      </c>
      <c r="W16" s="31"/>
      <c r="X16" s="31"/>
      <c r="Y16" s="31"/>
      <c r="Z16" s="31"/>
      <c r="AA16" s="31"/>
      <c r="AB16" s="31"/>
      <c r="AC16" s="97">
        <f t="shared" si="2"/>
        <v>2352240</v>
      </c>
      <c r="AD16" s="15"/>
      <c r="AE16" s="14"/>
      <c r="AF16" s="14"/>
      <c r="AG16" s="14"/>
    </row>
    <row r="17" spans="1:33" x14ac:dyDescent="0.25">
      <c r="A17" s="92">
        <v>10</v>
      </c>
      <c r="B17" s="30" t="s">
        <v>194</v>
      </c>
      <c r="C17" s="48" t="s">
        <v>237</v>
      </c>
      <c r="D17" s="93">
        <v>33.5</v>
      </c>
      <c r="E17" s="93">
        <v>0</v>
      </c>
      <c r="F17" s="31" t="s">
        <v>238</v>
      </c>
      <c r="G17" s="31" t="s">
        <v>202</v>
      </c>
      <c r="H17" s="94" t="s">
        <v>239</v>
      </c>
      <c r="I17" s="31"/>
      <c r="J17" s="31"/>
      <c r="K17" s="31" t="s">
        <v>71</v>
      </c>
      <c r="L17" s="31" t="s">
        <v>240</v>
      </c>
      <c r="M17" s="31" t="s">
        <v>241</v>
      </c>
      <c r="N17" s="31" t="s">
        <v>29</v>
      </c>
      <c r="O17" s="95">
        <v>44487</v>
      </c>
      <c r="P17" s="95">
        <v>44851</v>
      </c>
      <c r="Q17" s="31" t="s">
        <v>30</v>
      </c>
      <c r="R17" s="48">
        <v>5880600</v>
      </c>
      <c r="S17" s="48">
        <f t="shared" si="3"/>
        <v>588060</v>
      </c>
      <c r="T17" s="48">
        <f t="shared" si="1"/>
        <v>588060</v>
      </c>
      <c r="U17" s="31"/>
      <c r="V17" s="96">
        <f t="shared" si="4"/>
        <v>6468660</v>
      </c>
      <c r="W17" s="31"/>
      <c r="X17" s="31"/>
      <c r="Y17" s="31"/>
      <c r="Z17" s="31"/>
      <c r="AA17" s="31"/>
      <c r="AB17" s="31"/>
      <c r="AC17" s="97">
        <f t="shared" si="2"/>
        <v>4704480</v>
      </c>
      <c r="AD17" s="15"/>
      <c r="AE17" s="14"/>
      <c r="AF17" s="14"/>
      <c r="AG17" s="14"/>
    </row>
    <row r="18" spans="1:33" x14ac:dyDescent="0.25">
      <c r="A18" s="92">
        <v>11</v>
      </c>
      <c r="B18" s="30" t="s">
        <v>194</v>
      </c>
      <c r="C18" s="48" t="s">
        <v>242</v>
      </c>
      <c r="D18" s="93">
        <v>65.142857142857139</v>
      </c>
      <c r="E18" s="93">
        <v>56</v>
      </c>
      <c r="F18" s="31" t="s">
        <v>243</v>
      </c>
      <c r="G18" s="31" t="s">
        <v>202</v>
      </c>
      <c r="H18" s="94" t="s">
        <v>72</v>
      </c>
      <c r="I18" s="31"/>
      <c r="J18" s="31"/>
      <c r="K18" s="31" t="s">
        <v>71</v>
      </c>
      <c r="L18" s="31" t="s">
        <v>244</v>
      </c>
      <c r="M18" s="31" t="s">
        <v>245</v>
      </c>
      <c r="N18" s="31" t="s">
        <v>29</v>
      </c>
      <c r="O18" s="95">
        <v>44507</v>
      </c>
      <c r="P18" s="95">
        <v>44871</v>
      </c>
      <c r="Q18" s="31" t="s">
        <v>30</v>
      </c>
      <c r="R18" s="48">
        <v>5880600</v>
      </c>
      <c r="S18" s="48">
        <f t="shared" si="3"/>
        <v>588060</v>
      </c>
      <c r="T18" s="48">
        <f t="shared" si="1"/>
        <v>588060</v>
      </c>
      <c r="U18" s="31"/>
      <c r="V18" s="96">
        <f t="shared" si="4"/>
        <v>6468660</v>
      </c>
      <c r="W18" s="31"/>
      <c r="X18" s="31"/>
      <c r="Y18" s="31"/>
      <c r="Z18" s="31"/>
      <c r="AA18" s="31"/>
      <c r="AB18" s="31"/>
      <c r="AC18" s="97">
        <f t="shared" si="2"/>
        <v>4704480</v>
      </c>
      <c r="AD18" s="15"/>
      <c r="AE18" s="14"/>
      <c r="AF18" s="14"/>
      <c r="AG18" s="14"/>
    </row>
    <row r="19" spans="1:33" x14ac:dyDescent="0.25">
      <c r="A19" s="92">
        <v>12</v>
      </c>
      <c r="B19" s="30" t="s">
        <v>194</v>
      </c>
      <c r="C19" s="48" t="s">
        <v>246</v>
      </c>
      <c r="D19" s="93">
        <v>50.666666666666664</v>
      </c>
      <c r="E19" s="93">
        <v>45</v>
      </c>
      <c r="F19" s="31" t="s">
        <v>243</v>
      </c>
      <c r="G19" s="31" t="s">
        <v>202</v>
      </c>
      <c r="H19" s="94" t="s">
        <v>72</v>
      </c>
      <c r="I19" s="31"/>
      <c r="J19" s="31"/>
      <c r="K19" s="31" t="s">
        <v>71</v>
      </c>
      <c r="L19" s="31" t="s">
        <v>247</v>
      </c>
      <c r="M19" s="31" t="s">
        <v>248</v>
      </c>
      <c r="N19" s="31" t="s">
        <v>29</v>
      </c>
      <c r="O19" s="95">
        <v>44150</v>
      </c>
      <c r="P19" s="95">
        <v>44879</v>
      </c>
      <c r="Q19" s="31" t="s">
        <v>30</v>
      </c>
      <c r="R19" s="48">
        <v>2450250</v>
      </c>
      <c r="S19" s="48">
        <f t="shared" si="3"/>
        <v>245025</v>
      </c>
      <c r="T19" s="48">
        <f t="shared" si="1"/>
        <v>245025</v>
      </c>
      <c r="U19" s="31"/>
      <c r="V19" s="96">
        <f t="shared" si="4"/>
        <v>2695275</v>
      </c>
      <c r="W19" s="31"/>
      <c r="X19" s="31"/>
      <c r="Y19" s="31"/>
      <c r="Z19" s="31"/>
      <c r="AA19" s="31"/>
      <c r="AB19" s="31"/>
      <c r="AC19" s="97">
        <f t="shared" si="2"/>
        <v>1960200</v>
      </c>
      <c r="AD19" s="15"/>
      <c r="AE19" s="14"/>
      <c r="AF19" s="14"/>
      <c r="AG19" s="14"/>
    </row>
    <row r="20" spans="1:33" x14ac:dyDescent="0.25">
      <c r="A20" s="92">
        <v>13</v>
      </c>
      <c r="B20" s="30" t="s">
        <v>194</v>
      </c>
      <c r="C20" s="48" t="s">
        <v>249</v>
      </c>
      <c r="D20" s="93">
        <v>315</v>
      </c>
      <c r="E20" s="93">
        <v>306</v>
      </c>
      <c r="F20" s="31" t="s">
        <v>238</v>
      </c>
      <c r="G20" s="31" t="s">
        <v>202</v>
      </c>
      <c r="H20" s="94" t="s">
        <v>250</v>
      </c>
      <c r="I20" s="31"/>
      <c r="J20" s="31"/>
      <c r="K20" s="31" t="s">
        <v>71</v>
      </c>
      <c r="L20" s="31" t="s">
        <v>251</v>
      </c>
      <c r="M20" s="31" t="s">
        <v>252</v>
      </c>
      <c r="N20" s="31" t="s">
        <v>29</v>
      </c>
      <c r="O20" s="95">
        <v>44502</v>
      </c>
      <c r="P20" s="95">
        <v>44866</v>
      </c>
      <c r="Q20" s="31" t="s">
        <v>30</v>
      </c>
      <c r="R20" s="48">
        <v>89100000</v>
      </c>
      <c r="S20" s="48">
        <f t="shared" si="3"/>
        <v>8910000</v>
      </c>
      <c r="T20" s="48">
        <f t="shared" si="1"/>
        <v>8910000</v>
      </c>
      <c r="U20" s="31"/>
      <c r="V20" s="96">
        <f t="shared" si="4"/>
        <v>98010000</v>
      </c>
      <c r="W20" s="31"/>
      <c r="X20" s="31"/>
      <c r="Y20" s="31"/>
      <c r="Z20" s="31"/>
      <c r="AA20" s="31"/>
      <c r="AB20" s="31"/>
      <c r="AC20" s="97">
        <f t="shared" si="2"/>
        <v>71280000</v>
      </c>
      <c r="AD20" s="15"/>
      <c r="AE20" s="14"/>
      <c r="AF20" s="14"/>
      <c r="AG20" s="14"/>
    </row>
    <row r="21" spans="1:33" x14ac:dyDescent="0.25">
      <c r="A21" s="92">
        <v>14</v>
      </c>
      <c r="B21" s="30" t="s">
        <v>194</v>
      </c>
      <c r="C21" s="48" t="s">
        <v>253</v>
      </c>
      <c r="D21" s="93">
        <v>33.5</v>
      </c>
      <c r="E21" s="93">
        <v>0</v>
      </c>
      <c r="F21" s="31" t="s">
        <v>254</v>
      </c>
      <c r="G21" s="31" t="s">
        <v>202</v>
      </c>
      <c r="H21" s="94" t="s">
        <v>255</v>
      </c>
      <c r="I21" s="31"/>
      <c r="J21" s="31"/>
      <c r="K21" s="31" t="s">
        <v>71</v>
      </c>
      <c r="L21" s="31" t="s">
        <v>256</v>
      </c>
      <c r="M21" s="31" t="s">
        <v>257</v>
      </c>
      <c r="N21" s="31" t="s">
        <v>29</v>
      </c>
      <c r="O21" s="95">
        <v>44743</v>
      </c>
      <c r="P21" s="31" t="s">
        <v>258</v>
      </c>
      <c r="Q21" s="31" t="s">
        <v>30</v>
      </c>
      <c r="R21" s="48">
        <v>2045454.5454545456</v>
      </c>
      <c r="S21" s="48">
        <f t="shared" si="3"/>
        <v>204545.45454545459</v>
      </c>
      <c r="T21" s="48">
        <f t="shared" si="1"/>
        <v>204545.45454545459</v>
      </c>
      <c r="U21" s="31"/>
      <c r="V21" s="96">
        <f t="shared" si="4"/>
        <v>2250000</v>
      </c>
      <c r="W21" s="31"/>
      <c r="X21" s="31"/>
      <c r="Y21" s="31"/>
      <c r="Z21" s="31"/>
      <c r="AA21" s="31"/>
      <c r="AB21" s="31"/>
      <c r="AC21" s="97">
        <f t="shared" si="2"/>
        <v>1636363.6363636365</v>
      </c>
      <c r="AD21" s="15"/>
      <c r="AE21" s="14"/>
      <c r="AF21" s="14"/>
      <c r="AG21" s="14"/>
    </row>
    <row r="22" spans="1:33" x14ac:dyDescent="0.25">
      <c r="A22" s="92">
        <v>15</v>
      </c>
      <c r="B22" s="30" t="s">
        <v>194</v>
      </c>
      <c r="C22" s="48" t="s">
        <v>253</v>
      </c>
      <c r="D22" s="93">
        <v>20</v>
      </c>
      <c r="E22" s="93">
        <v>0</v>
      </c>
      <c r="F22" s="31" t="s">
        <v>254</v>
      </c>
      <c r="G22" s="31" t="s">
        <v>202</v>
      </c>
      <c r="H22" s="94" t="s">
        <v>255</v>
      </c>
      <c r="I22" s="31"/>
      <c r="J22" s="31"/>
      <c r="K22" s="31" t="s">
        <v>71</v>
      </c>
      <c r="L22" s="31" t="s">
        <v>259</v>
      </c>
      <c r="M22" s="31" t="s">
        <v>257</v>
      </c>
      <c r="N22" s="31" t="s">
        <v>29</v>
      </c>
      <c r="O22" s="95">
        <v>44478</v>
      </c>
      <c r="P22" s="95">
        <v>44842</v>
      </c>
      <c r="Q22" s="31" t="s">
        <v>30</v>
      </c>
      <c r="R22" s="48">
        <v>2371622</v>
      </c>
      <c r="S22" s="48">
        <f t="shared" si="3"/>
        <v>237162.2</v>
      </c>
      <c r="T22" s="48">
        <f>R22*11%</f>
        <v>260878.42</v>
      </c>
      <c r="U22" s="31"/>
      <c r="V22" s="96">
        <f t="shared" si="4"/>
        <v>2632500.42</v>
      </c>
      <c r="W22" s="31"/>
      <c r="X22" s="31"/>
      <c r="Y22" s="31"/>
      <c r="Z22" s="31"/>
      <c r="AA22" s="31"/>
      <c r="AB22" s="31"/>
      <c r="AC22" s="97">
        <f t="shared" si="2"/>
        <v>1873581.38</v>
      </c>
      <c r="AD22" s="15"/>
      <c r="AE22" s="14"/>
      <c r="AF22" s="14"/>
      <c r="AG22" s="14"/>
    </row>
    <row r="23" spans="1:33" x14ac:dyDescent="0.25">
      <c r="A23" s="92">
        <v>16</v>
      </c>
      <c r="B23" s="30" t="s">
        <v>194</v>
      </c>
      <c r="C23" s="48" t="s">
        <v>260</v>
      </c>
      <c r="D23" s="93">
        <v>120.54</v>
      </c>
      <c r="E23" s="93">
        <v>0</v>
      </c>
      <c r="F23" s="31" t="s">
        <v>210</v>
      </c>
      <c r="G23" s="31" t="s">
        <v>202</v>
      </c>
      <c r="H23" s="94" t="s">
        <v>261</v>
      </c>
      <c r="I23" s="31"/>
      <c r="J23" s="31"/>
      <c r="K23" s="31" t="s">
        <v>71</v>
      </c>
      <c r="L23" s="31" t="s">
        <v>262</v>
      </c>
      <c r="M23" s="31" t="s">
        <v>263</v>
      </c>
      <c r="N23" s="31" t="s">
        <v>29</v>
      </c>
      <c r="O23" s="95">
        <v>44485</v>
      </c>
      <c r="P23" s="95">
        <v>45214</v>
      </c>
      <c r="Q23" s="31" t="s">
        <v>30</v>
      </c>
      <c r="R23" s="48">
        <v>50000000</v>
      </c>
      <c r="S23" s="48">
        <f t="shared" si="3"/>
        <v>5000000</v>
      </c>
      <c r="T23" s="48">
        <f t="shared" si="1"/>
        <v>5000000</v>
      </c>
      <c r="U23" s="31"/>
      <c r="V23" s="96">
        <f t="shared" si="4"/>
        <v>55000000</v>
      </c>
      <c r="W23" s="31"/>
      <c r="X23" s="31"/>
      <c r="Y23" s="31"/>
      <c r="Z23" s="31"/>
      <c r="AA23" s="31"/>
      <c r="AB23" s="31"/>
      <c r="AC23" s="97">
        <f t="shared" si="2"/>
        <v>40000000</v>
      </c>
      <c r="AD23" s="15"/>
      <c r="AE23" s="14"/>
      <c r="AF23" s="14"/>
      <c r="AG23" s="14"/>
    </row>
    <row r="24" spans="1:33" x14ac:dyDescent="0.25">
      <c r="A24" s="92">
        <v>17</v>
      </c>
      <c r="B24" s="30" t="s">
        <v>194</v>
      </c>
      <c r="C24" s="48" t="s">
        <v>264</v>
      </c>
      <c r="D24" s="93">
        <v>30</v>
      </c>
      <c r="E24" s="93">
        <v>7.5</v>
      </c>
      <c r="F24" s="31" t="s">
        <v>265</v>
      </c>
      <c r="G24" s="31" t="s">
        <v>202</v>
      </c>
      <c r="H24" s="94" t="s">
        <v>266</v>
      </c>
      <c r="I24" s="31"/>
      <c r="J24" s="31"/>
      <c r="K24" s="31" t="s">
        <v>71</v>
      </c>
      <c r="L24" s="31" t="s">
        <v>267</v>
      </c>
      <c r="M24" s="31" t="s">
        <v>268</v>
      </c>
      <c r="N24" s="31" t="s">
        <v>29</v>
      </c>
      <c r="O24" s="95">
        <v>44709</v>
      </c>
      <c r="P24" s="95">
        <v>45073</v>
      </c>
      <c r="Q24" s="31" t="s">
        <v>30</v>
      </c>
      <c r="R24" s="48">
        <v>5290541</v>
      </c>
      <c r="S24" s="48">
        <f t="shared" si="3"/>
        <v>529054.1</v>
      </c>
      <c r="T24" s="48">
        <f>R24*11%-1</f>
        <v>581958.51</v>
      </c>
      <c r="U24" s="31"/>
      <c r="V24" s="96">
        <f t="shared" si="4"/>
        <v>5872499.5099999998</v>
      </c>
      <c r="W24" s="31"/>
      <c r="X24" s="31"/>
      <c r="Y24" s="31"/>
      <c r="Z24" s="31"/>
      <c r="AA24" s="31"/>
      <c r="AB24" s="31"/>
      <c r="AC24" s="97">
        <f t="shared" si="2"/>
        <v>4179528.3900000006</v>
      </c>
      <c r="AD24" s="15"/>
      <c r="AE24" s="14"/>
      <c r="AF24" s="14"/>
      <c r="AG24" s="14"/>
    </row>
    <row r="25" spans="1:33" x14ac:dyDescent="0.25">
      <c r="A25" s="92">
        <v>18</v>
      </c>
      <c r="B25" s="30" t="s">
        <v>194</v>
      </c>
      <c r="C25" s="48" t="s">
        <v>269</v>
      </c>
      <c r="D25" s="93">
        <v>30</v>
      </c>
      <c r="E25" s="93">
        <v>0</v>
      </c>
      <c r="F25" s="31" t="s">
        <v>265</v>
      </c>
      <c r="G25" s="31" t="s">
        <v>202</v>
      </c>
      <c r="H25" s="94" t="s">
        <v>270</v>
      </c>
      <c r="I25" s="31"/>
      <c r="J25" s="31"/>
      <c r="K25" s="31" t="s">
        <v>71</v>
      </c>
      <c r="L25" s="31" t="s">
        <v>267</v>
      </c>
      <c r="M25" s="31" t="s">
        <v>268</v>
      </c>
      <c r="N25" s="31" t="s">
        <v>29</v>
      </c>
      <c r="O25" s="95">
        <v>44627</v>
      </c>
      <c r="P25" s="95">
        <v>44991</v>
      </c>
      <c r="Q25" s="31" t="s">
        <v>30</v>
      </c>
      <c r="R25" s="48">
        <v>3436363.63636364</v>
      </c>
      <c r="S25" s="48">
        <f t="shared" si="3"/>
        <v>343636.363636364</v>
      </c>
      <c r="T25" s="48">
        <f>R25*11%</f>
        <v>378000.00000000041</v>
      </c>
      <c r="U25" s="31"/>
      <c r="V25" s="96">
        <f t="shared" si="4"/>
        <v>3814363.6363636404</v>
      </c>
      <c r="W25" s="31"/>
      <c r="X25" s="31"/>
      <c r="Y25" s="31"/>
      <c r="Z25" s="31"/>
      <c r="AA25" s="31"/>
      <c r="AB25" s="31"/>
      <c r="AC25" s="97">
        <f t="shared" si="2"/>
        <v>2714727.2727272757</v>
      </c>
      <c r="AD25" s="15"/>
      <c r="AE25" s="14"/>
      <c r="AF25" s="14"/>
      <c r="AG25" s="14"/>
    </row>
    <row r="26" spans="1:33" ht="15.75" thickBot="1" x14ac:dyDescent="0.3">
      <c r="A26" s="92">
        <v>18</v>
      </c>
      <c r="B26" s="30" t="s">
        <v>194</v>
      </c>
      <c r="C26" s="99" t="s">
        <v>1554</v>
      </c>
      <c r="D26" s="651">
        <v>15170</v>
      </c>
      <c r="E26" s="99"/>
      <c r="F26" s="99" t="s">
        <v>1555</v>
      </c>
      <c r="G26" s="99" t="s">
        <v>192</v>
      </c>
      <c r="H26" s="100"/>
      <c r="I26" s="99"/>
      <c r="J26" s="99"/>
      <c r="K26" s="31" t="s">
        <v>71</v>
      </c>
      <c r="L26" s="99"/>
      <c r="M26" s="99"/>
      <c r="N26" s="99"/>
      <c r="O26" s="99"/>
      <c r="P26" s="99"/>
      <c r="Q26" s="99"/>
      <c r="R26" s="48">
        <v>50000000</v>
      </c>
      <c r="S26" s="48">
        <f t="shared" ref="S26" si="5">R26*10%</f>
        <v>5000000</v>
      </c>
      <c r="T26" s="48">
        <f>R26*11%</f>
        <v>5500000</v>
      </c>
      <c r="U26" s="31"/>
      <c r="V26" s="96">
        <f t="shared" ref="V26" si="6">R26+T26+U26</f>
        <v>55500000</v>
      </c>
      <c r="W26" s="31"/>
      <c r="X26" s="31"/>
      <c r="Y26" s="31"/>
      <c r="Z26" s="31"/>
      <c r="AA26" s="31"/>
      <c r="AB26" s="31"/>
      <c r="AC26" s="97">
        <f t="shared" ref="AC26" si="7">R26-S26-T26</f>
        <v>39500000</v>
      </c>
      <c r="AD26" s="101"/>
    </row>
    <row r="27" spans="1:33" ht="15.75" thickBot="1" x14ac:dyDescent="0.3">
      <c r="A27" s="16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/>
      <c r="O27" s="18"/>
      <c r="P27" s="18"/>
      <c r="Q27" s="18"/>
      <c r="R27" s="20">
        <f t="shared" ref="R27:AC27" si="8">SUM(R8:R26)</f>
        <v>326588839.18181813</v>
      </c>
      <c r="S27" s="20">
        <f t="shared" si="8"/>
        <v>32658883.918181818</v>
      </c>
      <c r="T27" s="20">
        <f t="shared" si="8"/>
        <v>33573921.264545456</v>
      </c>
      <c r="U27" s="20">
        <f t="shared" si="8"/>
        <v>0</v>
      </c>
      <c r="V27" s="20">
        <f t="shared" si="8"/>
        <v>362433030.8463636</v>
      </c>
      <c r="W27" s="20">
        <f t="shared" si="8"/>
        <v>0</v>
      </c>
      <c r="X27" s="20">
        <f t="shared" si="8"/>
        <v>0</v>
      </c>
      <c r="Y27" s="20">
        <f t="shared" si="8"/>
        <v>0</v>
      </c>
      <c r="Z27" s="20">
        <f t="shared" si="8"/>
        <v>0</v>
      </c>
      <c r="AA27" s="20">
        <f t="shared" si="8"/>
        <v>0</v>
      </c>
      <c r="AB27" s="20">
        <f t="shared" si="8"/>
        <v>0</v>
      </c>
      <c r="AC27" s="20">
        <f t="shared" si="8"/>
        <v>260356033.99909088</v>
      </c>
      <c r="AD27" s="21"/>
    </row>
    <row r="28" spans="1:33" hidden="1" x14ac:dyDescent="0.25">
      <c r="B28" t="s">
        <v>271</v>
      </c>
      <c r="N28" s="102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</row>
    <row r="29" spans="1:33" hidden="1" x14ac:dyDescent="0.25">
      <c r="A29" s="104">
        <v>19</v>
      </c>
      <c r="B29" s="105" t="s">
        <v>272</v>
      </c>
      <c r="C29" s="106" t="s">
        <v>273</v>
      </c>
      <c r="D29" s="105">
        <v>570</v>
      </c>
      <c r="E29" s="107"/>
      <c r="F29" s="108" t="s">
        <v>274</v>
      </c>
      <c r="G29" s="109" t="s">
        <v>275</v>
      </c>
      <c r="H29" s="110" t="s">
        <v>276</v>
      </c>
      <c r="I29" s="111"/>
      <c r="J29" s="112"/>
      <c r="K29" s="33" t="s">
        <v>277</v>
      </c>
      <c r="L29" s="113" t="s">
        <v>278</v>
      </c>
      <c r="M29" s="114"/>
      <c r="N29" s="96" t="s">
        <v>279</v>
      </c>
      <c r="O29" s="115">
        <v>44440</v>
      </c>
      <c r="P29" s="116">
        <v>44804</v>
      </c>
      <c r="Q29" s="117" t="s">
        <v>30</v>
      </c>
      <c r="R29" s="48">
        <v>55555555</v>
      </c>
      <c r="S29" s="48">
        <f t="shared" ref="S29:S31" si="9">R29*10%</f>
        <v>5555555.5</v>
      </c>
      <c r="T29" s="48">
        <f>R29*10%</f>
        <v>5555555.5</v>
      </c>
      <c r="U29" s="31"/>
      <c r="V29" s="96">
        <f t="shared" ref="V29:V31" si="10">R29+T29+U29</f>
        <v>61111110.5</v>
      </c>
      <c r="W29" s="118"/>
      <c r="X29" s="119"/>
      <c r="Y29" s="106">
        <v>49499999.505000003</v>
      </c>
      <c r="Z29" s="106"/>
      <c r="AA29" s="106"/>
      <c r="AB29" s="106"/>
      <c r="AC29" s="97">
        <f t="shared" ref="AC29:AC31" si="11">R29-S29-T29</f>
        <v>44444444</v>
      </c>
      <c r="AD29" s="811" t="s">
        <v>280</v>
      </c>
    </row>
    <row r="30" spans="1:33" hidden="1" x14ac:dyDescent="0.25">
      <c r="A30" s="104">
        <v>20</v>
      </c>
      <c r="B30" s="105" t="s">
        <v>272</v>
      </c>
      <c r="C30" s="106" t="s">
        <v>281</v>
      </c>
      <c r="D30" s="105">
        <v>1140</v>
      </c>
      <c r="E30" s="107"/>
      <c r="F30" s="108" t="s">
        <v>282</v>
      </c>
      <c r="G30" s="109" t="s">
        <v>275</v>
      </c>
      <c r="H30" s="110" t="s">
        <v>283</v>
      </c>
      <c r="I30" s="111"/>
      <c r="J30" s="112"/>
      <c r="K30" s="33" t="s">
        <v>277</v>
      </c>
      <c r="L30" s="113" t="s">
        <v>284</v>
      </c>
      <c r="M30" s="120" t="s">
        <v>285</v>
      </c>
      <c r="N30" s="96" t="s">
        <v>279</v>
      </c>
      <c r="O30" s="115">
        <v>44465</v>
      </c>
      <c r="P30" s="116">
        <v>44829</v>
      </c>
      <c r="Q30" s="117" t="s">
        <v>30</v>
      </c>
      <c r="R30" s="48">
        <v>100000000</v>
      </c>
      <c r="S30" s="48">
        <f t="shared" si="9"/>
        <v>10000000</v>
      </c>
      <c r="T30" s="48">
        <f>R30*10%</f>
        <v>10000000</v>
      </c>
      <c r="U30" s="31"/>
      <c r="V30" s="96">
        <f t="shared" si="10"/>
        <v>110000000</v>
      </c>
      <c r="W30" s="118"/>
      <c r="X30" s="119"/>
      <c r="Y30" s="106"/>
      <c r="Z30" s="106">
        <v>89100000</v>
      </c>
      <c r="AA30" s="106"/>
      <c r="AB30" s="106"/>
      <c r="AC30" s="97">
        <f t="shared" si="11"/>
        <v>80000000</v>
      </c>
      <c r="AD30" s="812"/>
    </row>
    <row r="31" spans="1:33" hidden="1" x14ac:dyDescent="0.25">
      <c r="A31" s="121">
        <v>21</v>
      </c>
      <c r="B31" s="122" t="s">
        <v>272</v>
      </c>
      <c r="C31" s="123" t="s">
        <v>286</v>
      </c>
      <c r="D31" s="122">
        <v>570</v>
      </c>
      <c r="E31" s="124"/>
      <c r="F31" s="125" t="s">
        <v>287</v>
      </c>
      <c r="G31" s="126" t="s">
        <v>275</v>
      </c>
      <c r="H31" s="127" t="s">
        <v>283</v>
      </c>
      <c r="I31" s="128"/>
      <c r="J31" s="129"/>
      <c r="K31" s="130" t="s">
        <v>277</v>
      </c>
      <c r="L31" s="131" t="s">
        <v>288</v>
      </c>
      <c r="M31" s="132" t="s">
        <v>289</v>
      </c>
      <c r="N31" s="133" t="s">
        <v>279</v>
      </c>
      <c r="O31" s="134">
        <v>43657</v>
      </c>
      <c r="P31" s="135">
        <v>44390</v>
      </c>
      <c r="Q31" s="136" t="s">
        <v>30</v>
      </c>
      <c r="R31" s="76">
        <v>56000000</v>
      </c>
      <c r="S31" s="76">
        <f t="shared" si="9"/>
        <v>5600000</v>
      </c>
      <c r="T31" s="76">
        <f>R31*10%</f>
        <v>5600000</v>
      </c>
      <c r="U31" s="13"/>
      <c r="V31" s="133">
        <f t="shared" si="10"/>
        <v>61600000</v>
      </c>
      <c r="W31" s="137">
        <v>44620071.533999994</v>
      </c>
      <c r="X31" s="138"/>
      <c r="Y31" s="123"/>
      <c r="Z31" s="123"/>
      <c r="AA31" s="123"/>
      <c r="AB31" s="123"/>
      <c r="AC31" s="97">
        <f t="shared" si="11"/>
        <v>44800000</v>
      </c>
      <c r="AD31" s="813"/>
    </row>
    <row r="32" spans="1:33" hidden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39"/>
      <c r="O32" s="80"/>
      <c r="P32" s="80"/>
      <c r="Q32" s="80"/>
      <c r="R32" s="140">
        <f t="shared" ref="R32:U32" si="12">SUM(R29:R31)</f>
        <v>211555555</v>
      </c>
      <c r="S32" s="140">
        <f t="shared" si="12"/>
        <v>21155555.5</v>
      </c>
      <c r="T32" s="140">
        <f t="shared" si="12"/>
        <v>21155555.5</v>
      </c>
      <c r="U32" s="140">
        <f t="shared" si="12"/>
        <v>0</v>
      </c>
      <c r="V32" s="140">
        <f>SUM(V29:V31)</f>
        <v>232711110.5</v>
      </c>
      <c r="W32" s="140">
        <f t="shared" ref="W32:AC32" si="13">SUM(W29:W31)</f>
        <v>44620071.533999994</v>
      </c>
      <c r="X32" s="140">
        <f t="shared" si="13"/>
        <v>0</v>
      </c>
      <c r="Y32" s="140">
        <f t="shared" si="13"/>
        <v>49499999.505000003</v>
      </c>
      <c r="Z32" s="140">
        <f t="shared" si="13"/>
        <v>89100000</v>
      </c>
      <c r="AA32" s="140">
        <f t="shared" si="13"/>
        <v>0</v>
      </c>
      <c r="AB32" s="140">
        <f t="shared" si="13"/>
        <v>0</v>
      </c>
      <c r="AC32" s="140">
        <f t="shared" si="13"/>
        <v>169244444</v>
      </c>
      <c r="AD32" s="80"/>
    </row>
    <row r="33" spans="1:30" hidden="1" x14ac:dyDescent="0.25">
      <c r="A33" s="141"/>
      <c r="B33" s="141"/>
      <c r="C33" s="141"/>
      <c r="D33" s="141"/>
      <c r="E33" s="141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142">
        <f t="shared" ref="R33:AB33" si="14">R27+R32</f>
        <v>538144394.18181813</v>
      </c>
      <c r="S33" s="142">
        <f t="shared" si="14"/>
        <v>53814439.418181822</v>
      </c>
      <c r="T33" s="142">
        <f t="shared" si="14"/>
        <v>54729476.764545456</v>
      </c>
      <c r="U33" s="142">
        <f t="shared" si="14"/>
        <v>0</v>
      </c>
      <c r="V33" s="142">
        <f t="shared" si="14"/>
        <v>595144141.34636354</v>
      </c>
      <c r="W33" s="142">
        <f t="shared" si="14"/>
        <v>44620071.533999994</v>
      </c>
      <c r="X33" s="142">
        <f t="shared" si="14"/>
        <v>0</v>
      </c>
      <c r="Y33" s="142">
        <f t="shared" si="14"/>
        <v>49499999.505000003</v>
      </c>
      <c r="Z33" s="142">
        <f t="shared" si="14"/>
        <v>89100000</v>
      </c>
      <c r="AA33" s="142">
        <f t="shared" si="14"/>
        <v>0</v>
      </c>
      <c r="AB33" s="142">
        <f t="shared" si="14"/>
        <v>0</v>
      </c>
      <c r="AC33" s="142">
        <f>AC27+AC32</f>
        <v>429600477.99909091</v>
      </c>
      <c r="AD33" s="80"/>
    </row>
    <row r="34" spans="1:30" x14ac:dyDescent="0.25">
      <c r="A34" s="22"/>
      <c r="B34" s="22"/>
      <c r="C34" s="22"/>
      <c r="D34" s="22"/>
      <c r="E34" s="22"/>
    </row>
    <row r="35" spans="1:30" x14ac:dyDescent="0.25">
      <c r="A35" s="23" t="s">
        <v>32</v>
      </c>
      <c r="B35" s="22"/>
      <c r="C35" s="22"/>
      <c r="D35" s="22"/>
      <c r="E35" s="22"/>
      <c r="R35" s="652"/>
      <c r="U35" t="s">
        <v>290</v>
      </c>
      <c r="V35" s="24"/>
      <c r="AA35" s="143" t="s">
        <v>291</v>
      </c>
      <c r="AC35" s="24"/>
    </row>
    <row r="36" spans="1:30" x14ac:dyDescent="0.25">
      <c r="A36" s="25" t="s">
        <v>33</v>
      </c>
      <c r="B36" s="22"/>
      <c r="C36" s="22"/>
      <c r="D36" s="22"/>
      <c r="E36" s="22"/>
      <c r="R36" s="26"/>
      <c r="S36" s="26"/>
      <c r="U36" t="s">
        <v>292</v>
      </c>
      <c r="Y36" s="24"/>
      <c r="AA36" s="143" t="s">
        <v>293</v>
      </c>
    </row>
    <row r="37" spans="1:30" x14ac:dyDescent="0.25">
      <c r="A37" s="25" t="s">
        <v>34</v>
      </c>
      <c r="B37" s="22"/>
      <c r="C37" s="22"/>
      <c r="D37" s="22"/>
      <c r="E37" s="22"/>
      <c r="R37" s="24"/>
      <c r="S37" s="24"/>
      <c r="AA37" s="143"/>
    </row>
    <row r="38" spans="1:30" x14ac:dyDescent="0.25">
      <c r="A38" s="25" t="s">
        <v>35</v>
      </c>
      <c r="B38" s="22"/>
      <c r="C38" s="22"/>
      <c r="D38" s="22"/>
      <c r="E38" s="22"/>
      <c r="AA38" s="143"/>
    </row>
    <row r="39" spans="1:30" x14ac:dyDescent="0.25">
      <c r="A39" s="25" t="s">
        <v>36</v>
      </c>
      <c r="B39" s="22"/>
      <c r="C39" s="22"/>
      <c r="D39" s="22"/>
      <c r="E39" s="22"/>
      <c r="AA39" s="143"/>
    </row>
    <row r="40" spans="1:30" x14ac:dyDescent="0.25">
      <c r="A40" s="25" t="s">
        <v>37</v>
      </c>
      <c r="B40" s="22"/>
      <c r="C40" s="22"/>
      <c r="D40" s="22"/>
      <c r="E40" s="22"/>
      <c r="U40" s="1" t="s">
        <v>294</v>
      </c>
      <c r="AA40" s="144" t="s">
        <v>295</v>
      </c>
    </row>
    <row r="41" spans="1:30" x14ac:dyDescent="0.25">
      <c r="A41" s="25" t="s">
        <v>38</v>
      </c>
      <c r="B41" s="22"/>
      <c r="C41" s="22"/>
      <c r="D41" s="22"/>
      <c r="E41" s="22"/>
    </row>
    <row r="42" spans="1:30" x14ac:dyDescent="0.25">
      <c r="A42" s="25" t="s">
        <v>39</v>
      </c>
      <c r="B42" s="22"/>
      <c r="C42" s="22"/>
      <c r="D42" s="22"/>
      <c r="E42" s="22"/>
    </row>
    <row r="43" spans="1:30" x14ac:dyDescent="0.25">
      <c r="A43" s="25" t="s">
        <v>40</v>
      </c>
      <c r="B43" s="22"/>
      <c r="C43" s="22"/>
      <c r="D43" s="22"/>
      <c r="E43" s="22"/>
    </row>
    <row r="44" spans="1:30" x14ac:dyDescent="0.25">
      <c r="A44" s="25" t="s">
        <v>41</v>
      </c>
      <c r="B44" s="22"/>
      <c r="C44" s="22"/>
      <c r="D44" s="22"/>
      <c r="E44" s="22"/>
    </row>
    <row r="45" spans="1:30" x14ac:dyDescent="0.25">
      <c r="A45" s="25" t="s">
        <v>42</v>
      </c>
      <c r="B45" s="22"/>
      <c r="C45" s="22"/>
      <c r="D45" s="22"/>
      <c r="E45" s="22"/>
    </row>
    <row r="46" spans="1:30" x14ac:dyDescent="0.25">
      <c r="A46" s="25" t="s">
        <v>43</v>
      </c>
      <c r="B46" s="22"/>
      <c r="C46" s="22"/>
      <c r="D46" s="22"/>
      <c r="E46" s="22"/>
    </row>
    <row r="47" spans="1:30" x14ac:dyDescent="0.25">
      <c r="A47" s="25" t="s">
        <v>44</v>
      </c>
      <c r="B47" s="22"/>
      <c r="C47" s="22"/>
      <c r="D47" s="22"/>
      <c r="E47" s="22"/>
    </row>
    <row r="48" spans="1:30" x14ac:dyDescent="0.25">
      <c r="A48" s="25" t="s">
        <v>45</v>
      </c>
      <c r="B48" s="22"/>
      <c r="C48" s="22"/>
      <c r="D48" s="22"/>
      <c r="E48" s="22"/>
    </row>
    <row r="49" spans="1:5" x14ac:dyDescent="0.25">
      <c r="A49" s="25" t="s">
        <v>46</v>
      </c>
      <c r="B49" s="22"/>
      <c r="C49" s="22"/>
      <c r="D49" s="22"/>
      <c r="E49" s="22"/>
    </row>
    <row r="50" spans="1:5" x14ac:dyDescent="0.25">
      <c r="A50" s="25" t="s">
        <v>47</v>
      </c>
      <c r="B50" s="22"/>
      <c r="C50" s="22"/>
      <c r="D50" s="22"/>
      <c r="E50" s="22"/>
    </row>
    <row r="51" spans="1:5" x14ac:dyDescent="0.25">
      <c r="A51" s="25" t="s">
        <v>48</v>
      </c>
      <c r="B51" s="22"/>
      <c r="C51" s="22"/>
      <c r="D51" s="22"/>
      <c r="E51" s="22"/>
    </row>
    <row r="52" spans="1:5" x14ac:dyDescent="0.25">
      <c r="A52" s="25" t="s">
        <v>49</v>
      </c>
      <c r="B52" s="22"/>
      <c r="C52" s="22"/>
      <c r="D52" s="22"/>
      <c r="E52" s="22"/>
    </row>
    <row r="53" spans="1:5" x14ac:dyDescent="0.25">
      <c r="A53" s="25" t="s">
        <v>50</v>
      </c>
      <c r="B53" s="22"/>
      <c r="C53" s="22"/>
      <c r="D53" s="22"/>
      <c r="E53" s="22"/>
    </row>
    <row r="54" spans="1:5" x14ac:dyDescent="0.25">
      <c r="A54" s="25" t="s">
        <v>51</v>
      </c>
      <c r="B54" s="22"/>
      <c r="C54" s="22"/>
      <c r="D54" s="22"/>
      <c r="E54" s="22"/>
    </row>
    <row r="55" spans="1:5" x14ac:dyDescent="0.25">
      <c r="A55" s="25" t="s">
        <v>52</v>
      </c>
      <c r="B55" s="22"/>
      <c r="C55" s="22"/>
      <c r="D55" s="22"/>
      <c r="E55" s="22"/>
    </row>
    <row r="56" spans="1:5" x14ac:dyDescent="0.25">
      <c r="A56" s="25" t="s">
        <v>53</v>
      </c>
      <c r="B56" s="22"/>
      <c r="C56" s="22"/>
      <c r="D56" s="22"/>
      <c r="E56" s="22"/>
    </row>
    <row r="57" spans="1:5" x14ac:dyDescent="0.25">
      <c r="A57" s="25" t="s">
        <v>54</v>
      </c>
      <c r="B57" s="22"/>
      <c r="C57" s="22"/>
      <c r="D57" s="22"/>
      <c r="E57" s="22"/>
    </row>
    <row r="58" spans="1:5" x14ac:dyDescent="0.25">
      <c r="A58" s="25" t="s">
        <v>55</v>
      </c>
      <c r="B58" s="22"/>
      <c r="C58" s="22"/>
      <c r="D58" s="22"/>
      <c r="E58" s="22"/>
    </row>
    <row r="59" spans="1:5" x14ac:dyDescent="0.25">
      <c r="A59" s="25" t="s">
        <v>56</v>
      </c>
      <c r="B59" s="22"/>
      <c r="C59" s="22"/>
      <c r="D59" s="22"/>
      <c r="E59" s="22"/>
    </row>
    <row r="60" spans="1:5" x14ac:dyDescent="0.25">
      <c r="A60" s="25" t="s">
        <v>57</v>
      </c>
      <c r="B60" s="22"/>
      <c r="C60" s="22"/>
      <c r="D60" s="22"/>
      <c r="E60" s="22"/>
    </row>
    <row r="61" spans="1:5" x14ac:dyDescent="0.25">
      <c r="A61" s="25" t="s">
        <v>58</v>
      </c>
      <c r="B61" s="22"/>
      <c r="C61" s="22"/>
      <c r="D61" s="22"/>
      <c r="E61" s="22"/>
    </row>
    <row r="62" spans="1:5" x14ac:dyDescent="0.25">
      <c r="A62" s="25" t="s">
        <v>59</v>
      </c>
      <c r="B62" s="22"/>
      <c r="C62" s="22"/>
      <c r="D62" s="22"/>
      <c r="E62" s="22"/>
    </row>
    <row r="63" spans="1:5" x14ac:dyDescent="0.25">
      <c r="A63" t="s">
        <v>60</v>
      </c>
    </row>
  </sheetData>
  <mergeCells count="14">
    <mergeCell ref="A5:A6"/>
    <mergeCell ref="B5:B6"/>
    <mergeCell ref="C5:G5"/>
    <mergeCell ref="H5:H6"/>
    <mergeCell ref="I5:K5"/>
    <mergeCell ref="D7:E7"/>
    <mergeCell ref="AD29:AD31"/>
    <mergeCell ref="O5:Q5"/>
    <mergeCell ref="R5:V5"/>
    <mergeCell ref="W5:W6"/>
    <mergeCell ref="X5:AB5"/>
    <mergeCell ref="AC5:AC6"/>
    <mergeCell ref="AD5:AD6"/>
    <mergeCell ref="L5:N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6"/>
  <sheetViews>
    <sheetView topLeftCell="P19" workbookViewId="0">
      <selection activeCell="X38" sqref="X38"/>
    </sheetView>
  </sheetViews>
  <sheetFormatPr defaultRowHeight="12.75" x14ac:dyDescent="0.25"/>
  <cols>
    <col min="1" max="1" width="5" style="152" customWidth="1"/>
    <col min="2" max="2" width="21.85546875" style="152" customWidth="1"/>
    <col min="3" max="3" width="17.5703125" style="152" customWidth="1"/>
    <col min="4" max="4" width="6.7109375" style="152" customWidth="1"/>
    <col min="5" max="5" width="8.5703125" style="152" customWidth="1"/>
    <col min="6" max="6" width="18.7109375" style="152" customWidth="1"/>
    <col min="7" max="7" width="6.140625" style="152" customWidth="1"/>
    <col min="8" max="8" width="27.42578125" style="152" customWidth="1"/>
    <col min="9" max="9" width="22.28515625" style="152" customWidth="1"/>
    <col min="10" max="10" width="9.140625" style="152"/>
    <col min="11" max="11" width="13" style="152" customWidth="1"/>
    <col min="12" max="12" width="24.85546875" style="152" customWidth="1"/>
    <col min="13" max="13" width="65.28515625" style="152" customWidth="1"/>
    <col min="14" max="14" width="31" style="154" customWidth="1"/>
    <col min="15" max="15" width="15.85546875" style="152" customWidth="1"/>
    <col min="16" max="16" width="16.140625" style="152" customWidth="1"/>
    <col min="17" max="17" width="12.85546875" style="152" customWidth="1"/>
    <col min="18" max="18" width="9.42578125" style="152" customWidth="1"/>
    <col min="19" max="19" width="9.85546875" style="152" customWidth="1"/>
    <col min="20" max="20" width="8.85546875" style="152" customWidth="1"/>
    <col min="21" max="21" width="12" style="152" customWidth="1"/>
    <col min="22" max="22" width="13.28515625" style="152" customWidth="1"/>
    <col min="23" max="23" width="10.7109375" style="152" customWidth="1"/>
    <col min="24" max="24" width="10" style="152" customWidth="1"/>
    <col min="25" max="25" width="9.140625" style="152"/>
    <col min="26" max="26" width="11" style="152" customWidth="1"/>
    <col min="27" max="27" width="12.42578125" style="152" customWidth="1"/>
    <col min="28" max="28" width="39.28515625" style="152" customWidth="1"/>
    <col min="29" max="35" width="0" style="152" hidden="1" customWidth="1"/>
    <col min="36" max="16384" width="9.140625" style="152"/>
  </cols>
  <sheetData>
    <row r="1" spans="1:33" ht="15" x14ac:dyDescent="0.25">
      <c r="A1" s="150" t="s">
        <v>305</v>
      </c>
      <c r="B1" s="151"/>
      <c r="C1" s="151"/>
      <c r="D1" s="151"/>
      <c r="E1" s="151"/>
      <c r="I1" s="153"/>
      <c r="J1" s="153"/>
    </row>
    <row r="2" spans="1:33" ht="15" x14ac:dyDescent="0.25">
      <c r="A2" s="150" t="s">
        <v>306</v>
      </c>
      <c r="B2" s="151"/>
      <c r="C2" s="151"/>
      <c r="D2" s="151"/>
      <c r="E2" s="151"/>
      <c r="I2" s="155"/>
      <c r="J2" s="155"/>
      <c r="M2" s="153"/>
      <c r="N2" s="153"/>
    </row>
    <row r="3" spans="1:33" ht="15" x14ac:dyDescent="0.25">
      <c r="A3" s="150" t="s">
        <v>307</v>
      </c>
      <c r="B3" s="156"/>
      <c r="C3" s="151"/>
      <c r="D3" s="151"/>
      <c r="E3" s="151"/>
      <c r="I3" s="155"/>
      <c r="J3" s="155"/>
      <c r="L3" s="157"/>
    </row>
    <row r="4" spans="1:33" x14ac:dyDescent="0.25">
      <c r="A4" s="150" t="s">
        <v>308</v>
      </c>
      <c r="B4" s="151"/>
      <c r="C4" s="151"/>
      <c r="D4" s="151"/>
      <c r="E4" s="151"/>
    </row>
    <row r="6" spans="1:33" ht="23.1" customHeight="1" x14ac:dyDescent="0.25">
      <c r="A6" s="837" t="s">
        <v>2</v>
      </c>
      <c r="B6" s="838" t="s">
        <v>3</v>
      </c>
      <c r="C6" s="840" t="s">
        <v>4</v>
      </c>
      <c r="D6" s="841"/>
      <c r="E6" s="841"/>
      <c r="F6" s="841"/>
      <c r="G6" s="842"/>
      <c r="H6" s="837" t="s">
        <v>5</v>
      </c>
      <c r="I6" s="843" t="s">
        <v>6</v>
      </c>
      <c r="J6" s="844"/>
      <c r="K6" s="845"/>
      <c r="L6" s="840" t="s">
        <v>7</v>
      </c>
      <c r="M6" s="841"/>
      <c r="N6" s="842"/>
      <c r="O6" s="843" t="s">
        <v>8</v>
      </c>
      <c r="P6" s="844"/>
      <c r="Q6" s="845"/>
      <c r="R6" s="837" t="s">
        <v>9</v>
      </c>
      <c r="S6" s="837"/>
      <c r="T6" s="837"/>
      <c r="U6" s="837"/>
      <c r="V6" s="838" t="s">
        <v>61</v>
      </c>
      <c r="W6" s="840" t="s">
        <v>62</v>
      </c>
      <c r="X6" s="841"/>
      <c r="Y6" s="841"/>
      <c r="Z6" s="841"/>
      <c r="AA6" s="842"/>
      <c r="AB6" s="833" t="s">
        <v>10</v>
      </c>
    </row>
    <row r="7" spans="1:33" ht="51" x14ac:dyDescent="0.25">
      <c r="A7" s="838"/>
      <c r="B7" s="839"/>
      <c r="C7" s="158" t="s">
        <v>11</v>
      </c>
      <c r="D7" s="158" t="s">
        <v>309</v>
      </c>
      <c r="E7" s="159" t="s">
        <v>310</v>
      </c>
      <c r="F7" s="159" t="s">
        <v>14</v>
      </c>
      <c r="G7" s="159" t="s">
        <v>78</v>
      </c>
      <c r="H7" s="838"/>
      <c r="I7" s="160" t="s">
        <v>16</v>
      </c>
      <c r="J7" s="160" t="s">
        <v>17</v>
      </c>
      <c r="K7" s="161" t="s">
        <v>18</v>
      </c>
      <c r="L7" s="161" t="s">
        <v>19</v>
      </c>
      <c r="M7" s="161" t="s">
        <v>14</v>
      </c>
      <c r="N7" s="161" t="s">
        <v>20</v>
      </c>
      <c r="O7" s="160" t="s">
        <v>21</v>
      </c>
      <c r="P7" s="160" t="s">
        <v>22</v>
      </c>
      <c r="Q7" s="158" t="s">
        <v>23</v>
      </c>
      <c r="R7" s="158" t="s">
        <v>24</v>
      </c>
      <c r="S7" s="158" t="s">
        <v>25</v>
      </c>
      <c r="T7" s="158" t="s">
        <v>26</v>
      </c>
      <c r="U7" s="158" t="s">
        <v>27</v>
      </c>
      <c r="V7" s="839"/>
      <c r="W7" s="158" t="s">
        <v>63</v>
      </c>
      <c r="X7" s="158" t="s">
        <v>64</v>
      </c>
      <c r="Y7" s="158" t="s">
        <v>65</v>
      </c>
      <c r="Z7" s="158" t="s">
        <v>66</v>
      </c>
      <c r="AA7" s="158" t="s">
        <v>67</v>
      </c>
      <c r="AB7" s="834"/>
    </row>
    <row r="8" spans="1:33" x14ac:dyDescent="0.25">
      <c r="A8" s="160">
        <v>1</v>
      </c>
      <c r="B8" s="160">
        <v>2</v>
      </c>
      <c r="C8" s="160">
        <v>3</v>
      </c>
      <c r="D8" s="835">
        <v>4</v>
      </c>
      <c r="E8" s="836"/>
      <c r="F8" s="160">
        <v>5</v>
      </c>
      <c r="G8" s="160">
        <v>6</v>
      </c>
      <c r="H8" s="160">
        <v>7</v>
      </c>
      <c r="I8" s="160">
        <v>8</v>
      </c>
      <c r="J8" s="160">
        <v>9</v>
      </c>
      <c r="K8" s="160">
        <v>10</v>
      </c>
      <c r="L8" s="160">
        <v>11</v>
      </c>
      <c r="M8" s="160">
        <v>12</v>
      </c>
      <c r="N8" s="160">
        <v>13</v>
      </c>
      <c r="O8" s="160">
        <v>14</v>
      </c>
      <c r="P8" s="160">
        <v>15</v>
      </c>
      <c r="Q8" s="160">
        <v>16</v>
      </c>
      <c r="R8" s="160">
        <v>17</v>
      </c>
      <c r="S8" s="160">
        <v>18</v>
      </c>
      <c r="T8" s="160">
        <v>19</v>
      </c>
      <c r="U8" s="160">
        <v>20</v>
      </c>
      <c r="V8" s="160">
        <v>21</v>
      </c>
      <c r="W8" s="162">
        <v>22</v>
      </c>
      <c r="X8" s="162">
        <v>23</v>
      </c>
      <c r="Y8" s="162">
        <v>24</v>
      </c>
      <c r="Z8" s="162" t="s">
        <v>68</v>
      </c>
      <c r="AA8" s="162" t="s">
        <v>69</v>
      </c>
      <c r="AB8" s="160">
        <v>27</v>
      </c>
    </row>
    <row r="9" spans="1:33" x14ac:dyDescent="0.25">
      <c r="A9" s="163"/>
      <c r="B9" s="164" t="s">
        <v>311</v>
      </c>
      <c r="C9" s="163"/>
      <c r="D9" s="163"/>
      <c r="E9" s="163"/>
      <c r="F9" s="163"/>
      <c r="G9" s="163"/>
      <c r="H9" s="165"/>
      <c r="I9" s="163"/>
      <c r="J9" s="163"/>
      <c r="K9" s="163"/>
      <c r="L9" s="163"/>
      <c r="M9" s="163"/>
      <c r="N9" s="166"/>
      <c r="O9" s="163"/>
      <c r="P9" s="163"/>
      <c r="Q9" s="167"/>
      <c r="R9" s="163"/>
      <c r="S9" s="163"/>
      <c r="T9" s="163"/>
      <c r="U9" s="163"/>
      <c r="V9" s="163"/>
      <c r="W9" s="168"/>
      <c r="X9" s="168"/>
      <c r="Y9" s="168"/>
      <c r="Z9" s="163"/>
      <c r="AA9" s="163"/>
      <c r="AB9" s="163"/>
    </row>
    <row r="10" spans="1:33" x14ac:dyDescent="0.25">
      <c r="A10" s="169">
        <v>1</v>
      </c>
      <c r="B10" s="170" t="s">
        <v>312</v>
      </c>
      <c r="C10" s="171" t="s">
        <v>313</v>
      </c>
      <c r="D10" s="172">
        <v>719</v>
      </c>
      <c r="E10" s="173">
        <v>0</v>
      </c>
      <c r="F10" s="174" t="s">
        <v>314</v>
      </c>
      <c r="G10" s="175" t="s">
        <v>298</v>
      </c>
      <c r="H10" s="176" t="s">
        <v>315</v>
      </c>
      <c r="I10" s="177" t="s">
        <v>316</v>
      </c>
      <c r="J10" s="178" t="s">
        <v>317</v>
      </c>
      <c r="K10" s="169" t="s">
        <v>28</v>
      </c>
      <c r="L10" s="172" t="s">
        <v>318</v>
      </c>
      <c r="M10" s="174" t="s">
        <v>319</v>
      </c>
      <c r="N10" s="179" t="s">
        <v>320</v>
      </c>
      <c r="O10" s="180">
        <v>44562</v>
      </c>
      <c r="P10" s="180">
        <v>44926</v>
      </c>
      <c r="Q10" s="172" t="s">
        <v>30</v>
      </c>
      <c r="R10" s="172">
        <v>9692550</v>
      </c>
      <c r="S10" s="181">
        <v>969255</v>
      </c>
      <c r="T10" s="174">
        <v>0</v>
      </c>
      <c r="U10" s="182">
        <f>R10+S10</f>
        <v>10661805</v>
      </c>
      <c r="V10" s="181">
        <f>R10</f>
        <v>9692550</v>
      </c>
      <c r="W10" s="183">
        <v>0</v>
      </c>
      <c r="X10" s="183">
        <v>0</v>
      </c>
      <c r="Y10" s="184">
        <v>0</v>
      </c>
      <c r="Z10" s="185">
        <f>X10+Y10</f>
        <v>0</v>
      </c>
      <c r="AA10" s="172">
        <f>Z10+W10</f>
        <v>0</v>
      </c>
      <c r="AB10" s="174"/>
      <c r="AD10" s="152" t="s">
        <v>31</v>
      </c>
      <c r="AE10" s="186">
        <v>7000000</v>
      </c>
    </row>
    <row r="11" spans="1:33" x14ac:dyDescent="0.25">
      <c r="A11" s="169">
        <f>A10+1</f>
        <v>2</v>
      </c>
      <c r="B11" s="170" t="s">
        <v>312</v>
      </c>
      <c r="C11" s="171" t="s">
        <v>313</v>
      </c>
      <c r="D11" s="172">
        <v>163</v>
      </c>
      <c r="E11" s="173">
        <v>0</v>
      </c>
      <c r="F11" s="174" t="s">
        <v>314</v>
      </c>
      <c r="G11" s="175" t="s">
        <v>298</v>
      </c>
      <c r="H11" s="176" t="s">
        <v>315</v>
      </c>
      <c r="I11" s="187" t="s">
        <v>321</v>
      </c>
      <c r="J11" s="178" t="s">
        <v>322</v>
      </c>
      <c r="K11" s="169" t="s">
        <v>28</v>
      </c>
      <c r="L11" s="172" t="s">
        <v>323</v>
      </c>
      <c r="M11" s="174" t="s">
        <v>314</v>
      </c>
      <c r="N11" s="188" t="s">
        <v>29</v>
      </c>
      <c r="O11" s="178" t="s">
        <v>322</v>
      </c>
      <c r="P11" s="180">
        <v>43830</v>
      </c>
      <c r="Q11" s="172" t="s">
        <v>30</v>
      </c>
      <c r="R11" s="172">
        <v>6187500</v>
      </c>
      <c r="S11" s="181">
        <f t="shared" ref="S11:S49" si="0">R11*10%</f>
        <v>618750</v>
      </c>
      <c r="T11" s="174">
        <v>0</v>
      </c>
      <c r="U11" s="182">
        <f t="shared" ref="U11:U48" si="1">R11-S11</f>
        <v>5568750</v>
      </c>
      <c r="V11" s="181">
        <v>6187500</v>
      </c>
      <c r="W11" s="183">
        <v>0</v>
      </c>
      <c r="X11" s="183">
        <v>0</v>
      </c>
      <c r="Y11" s="184">
        <v>0</v>
      </c>
      <c r="Z11" s="185">
        <f t="shared" ref="Z11:Z49" si="2">X11+Y11</f>
        <v>0</v>
      </c>
      <c r="AA11" s="172">
        <f t="shared" ref="AA11:AA49" si="3">Z11+W11</f>
        <v>0</v>
      </c>
      <c r="AB11" s="174" t="s">
        <v>60</v>
      </c>
    </row>
    <row r="12" spans="1:33" x14ac:dyDescent="0.25">
      <c r="A12" s="169">
        <f t="shared" ref="A12:A49" si="4">A11+1</f>
        <v>3</v>
      </c>
      <c r="B12" s="170" t="s">
        <v>312</v>
      </c>
      <c r="C12" s="171" t="s">
        <v>313</v>
      </c>
      <c r="D12" s="172">
        <v>77</v>
      </c>
      <c r="E12" s="173">
        <v>0</v>
      </c>
      <c r="F12" s="174" t="s">
        <v>314</v>
      </c>
      <c r="G12" s="175" t="s">
        <v>298</v>
      </c>
      <c r="H12" s="176" t="s">
        <v>315</v>
      </c>
      <c r="I12" s="189" t="s">
        <v>324</v>
      </c>
      <c r="J12" s="178" t="s">
        <v>325</v>
      </c>
      <c r="K12" s="169" t="s">
        <v>28</v>
      </c>
      <c r="L12" s="172" t="s">
        <v>326</v>
      </c>
      <c r="M12" s="174" t="s">
        <v>327</v>
      </c>
      <c r="N12" s="188" t="s">
        <v>328</v>
      </c>
      <c r="O12" s="178" t="s">
        <v>325</v>
      </c>
      <c r="P12" s="180">
        <v>44546</v>
      </c>
      <c r="Q12" s="172" t="s">
        <v>30</v>
      </c>
      <c r="R12" s="172">
        <v>10283760</v>
      </c>
      <c r="S12" s="181">
        <f t="shared" si="0"/>
        <v>1028376</v>
      </c>
      <c r="T12" s="174">
        <v>0</v>
      </c>
      <c r="U12" s="182">
        <f t="shared" si="1"/>
        <v>9255384</v>
      </c>
      <c r="V12" s="181">
        <v>10283760</v>
      </c>
      <c r="W12" s="183">
        <v>0</v>
      </c>
      <c r="X12" s="183">
        <v>0</v>
      </c>
      <c r="Y12" s="184">
        <v>0</v>
      </c>
      <c r="Z12" s="185">
        <f t="shared" si="2"/>
        <v>0</v>
      </c>
      <c r="AA12" s="172">
        <f t="shared" si="3"/>
        <v>0</v>
      </c>
      <c r="AB12" s="174"/>
    </row>
    <row r="13" spans="1:33" x14ac:dyDescent="0.25">
      <c r="A13" s="169">
        <f t="shared" si="4"/>
        <v>4</v>
      </c>
      <c r="B13" s="170" t="s">
        <v>312</v>
      </c>
      <c r="C13" s="171" t="s">
        <v>313</v>
      </c>
      <c r="D13" s="172">
        <v>80</v>
      </c>
      <c r="E13" s="173">
        <v>0</v>
      </c>
      <c r="F13" s="174" t="s">
        <v>314</v>
      </c>
      <c r="G13" s="175" t="s">
        <v>298</v>
      </c>
      <c r="H13" s="176" t="s">
        <v>315</v>
      </c>
      <c r="I13" s="178" t="s">
        <v>329</v>
      </c>
      <c r="J13" s="178" t="s">
        <v>330</v>
      </c>
      <c r="K13" s="169" t="s">
        <v>28</v>
      </c>
      <c r="L13" s="172" t="s">
        <v>331</v>
      </c>
      <c r="M13" s="174" t="s">
        <v>332</v>
      </c>
      <c r="N13" s="188" t="s">
        <v>29</v>
      </c>
      <c r="O13" s="178" t="s">
        <v>330</v>
      </c>
      <c r="P13" s="180">
        <v>44905</v>
      </c>
      <c r="Q13" s="172" t="s">
        <v>30</v>
      </c>
      <c r="R13" s="172">
        <v>90186019</v>
      </c>
      <c r="S13" s="181">
        <f>10%*81987290</f>
        <v>8198729</v>
      </c>
      <c r="T13" s="174">
        <v>0</v>
      </c>
      <c r="U13" s="182">
        <f t="shared" si="1"/>
        <v>81987290</v>
      </c>
      <c r="V13" s="181">
        <f>R13</f>
        <v>90186019</v>
      </c>
      <c r="W13" s="183">
        <v>0</v>
      </c>
      <c r="X13" s="183">
        <v>0</v>
      </c>
      <c r="Y13" s="184">
        <v>0</v>
      </c>
      <c r="Z13" s="185">
        <f t="shared" si="2"/>
        <v>0</v>
      </c>
      <c r="AA13" s="172">
        <f t="shared" si="3"/>
        <v>0</v>
      </c>
      <c r="AB13" s="174"/>
      <c r="AC13" s="186">
        <v>73788561</v>
      </c>
      <c r="AD13" s="186">
        <v>78083133</v>
      </c>
      <c r="AE13" s="186">
        <v>3904157</v>
      </c>
      <c r="AF13" s="186">
        <f>AD13+AE13</f>
        <v>81987290</v>
      </c>
      <c r="AG13" s="190">
        <f>AF13*10%</f>
        <v>8198729</v>
      </c>
    </row>
    <row r="14" spans="1:33" x14ac:dyDescent="0.25">
      <c r="A14" s="169">
        <f t="shared" si="4"/>
        <v>5</v>
      </c>
      <c r="B14" s="170" t="s">
        <v>333</v>
      </c>
      <c r="C14" s="171" t="s">
        <v>334</v>
      </c>
      <c r="D14" s="172">
        <v>45</v>
      </c>
      <c r="E14" s="173">
        <v>0</v>
      </c>
      <c r="F14" s="174" t="s">
        <v>335</v>
      </c>
      <c r="G14" s="175" t="s">
        <v>298</v>
      </c>
      <c r="H14" s="176" t="s">
        <v>336</v>
      </c>
      <c r="I14" s="178" t="s">
        <v>337</v>
      </c>
      <c r="J14" s="178" t="s">
        <v>338</v>
      </c>
      <c r="K14" s="169" t="s">
        <v>28</v>
      </c>
      <c r="L14" s="172" t="s">
        <v>339</v>
      </c>
      <c r="M14" s="174" t="s">
        <v>340</v>
      </c>
      <c r="N14" s="188" t="s">
        <v>29</v>
      </c>
      <c r="O14" s="180" t="s">
        <v>338</v>
      </c>
      <c r="P14" s="180" t="s">
        <v>341</v>
      </c>
      <c r="Q14" s="172" t="s">
        <v>30</v>
      </c>
      <c r="R14" s="172">
        <v>1100000</v>
      </c>
      <c r="S14" s="181">
        <f t="shared" si="0"/>
        <v>110000</v>
      </c>
      <c r="T14" s="174">
        <v>0</v>
      </c>
      <c r="U14" s="182">
        <f t="shared" si="1"/>
        <v>990000</v>
      </c>
      <c r="V14" s="181">
        <v>1100000</v>
      </c>
      <c r="W14" s="183">
        <v>0</v>
      </c>
      <c r="X14" s="183">
        <v>0</v>
      </c>
      <c r="Y14" s="184">
        <v>0</v>
      </c>
      <c r="Z14" s="185">
        <f t="shared" si="2"/>
        <v>0</v>
      </c>
      <c r="AA14" s="172">
        <f t="shared" si="3"/>
        <v>0</v>
      </c>
      <c r="AB14" s="174"/>
    </row>
    <row r="15" spans="1:33" x14ac:dyDescent="0.25">
      <c r="A15" s="169">
        <f t="shared" si="4"/>
        <v>6</v>
      </c>
      <c r="B15" s="170" t="s">
        <v>312</v>
      </c>
      <c r="C15" s="171" t="s">
        <v>313</v>
      </c>
      <c r="D15" s="172">
        <v>108</v>
      </c>
      <c r="E15" s="173">
        <v>0</v>
      </c>
      <c r="F15" s="174" t="s">
        <v>314</v>
      </c>
      <c r="G15" s="175" t="s">
        <v>298</v>
      </c>
      <c r="H15" s="176" t="s">
        <v>315</v>
      </c>
      <c r="I15" s="191" t="s">
        <v>342</v>
      </c>
      <c r="J15" s="178" t="s">
        <v>343</v>
      </c>
      <c r="K15" s="169" t="s">
        <v>28</v>
      </c>
      <c r="L15" s="172" t="s">
        <v>344</v>
      </c>
      <c r="M15" s="174" t="s">
        <v>345</v>
      </c>
      <c r="N15" s="179" t="s">
        <v>346</v>
      </c>
      <c r="O15" s="180">
        <v>43532</v>
      </c>
      <c r="P15" s="180">
        <v>44410</v>
      </c>
      <c r="Q15" s="172" t="s">
        <v>30</v>
      </c>
      <c r="R15" s="172">
        <v>3500000</v>
      </c>
      <c r="S15" s="181">
        <f t="shared" si="0"/>
        <v>350000</v>
      </c>
      <c r="T15" s="174">
        <v>0</v>
      </c>
      <c r="U15" s="182">
        <f t="shared" si="1"/>
        <v>3150000</v>
      </c>
      <c r="V15" s="181">
        <v>3500000</v>
      </c>
      <c r="W15" s="183">
        <v>0</v>
      </c>
      <c r="X15" s="183">
        <v>0</v>
      </c>
      <c r="Y15" s="184">
        <v>0</v>
      </c>
      <c r="Z15" s="185">
        <f t="shared" si="2"/>
        <v>0</v>
      </c>
      <c r="AA15" s="172">
        <f t="shared" si="3"/>
        <v>0</v>
      </c>
      <c r="AB15" s="174"/>
    </row>
    <row r="16" spans="1:33" x14ac:dyDescent="0.25">
      <c r="A16" s="169">
        <f t="shared" si="4"/>
        <v>7</v>
      </c>
      <c r="B16" s="170" t="s">
        <v>312</v>
      </c>
      <c r="C16" s="171" t="s">
        <v>313</v>
      </c>
      <c r="D16" s="172">
        <v>575</v>
      </c>
      <c r="E16" s="173">
        <v>0</v>
      </c>
      <c r="F16" s="174" t="s">
        <v>314</v>
      </c>
      <c r="G16" s="175" t="s">
        <v>298</v>
      </c>
      <c r="H16" s="176" t="s">
        <v>315</v>
      </c>
      <c r="I16" s="191" t="s">
        <v>347</v>
      </c>
      <c r="J16" s="178" t="s">
        <v>348</v>
      </c>
      <c r="K16" s="169" t="s">
        <v>28</v>
      </c>
      <c r="L16" s="172" t="s">
        <v>349</v>
      </c>
      <c r="M16" s="174" t="s">
        <v>350</v>
      </c>
      <c r="N16" s="188" t="s">
        <v>351</v>
      </c>
      <c r="O16" s="180" t="s">
        <v>348</v>
      </c>
      <c r="P16" s="180">
        <v>44707</v>
      </c>
      <c r="Q16" s="172" t="s">
        <v>30</v>
      </c>
      <c r="R16" s="172">
        <v>17040375</v>
      </c>
      <c r="S16" s="181">
        <f t="shared" si="0"/>
        <v>1704037.5</v>
      </c>
      <c r="T16" s="174">
        <v>0</v>
      </c>
      <c r="U16" s="182">
        <f t="shared" si="1"/>
        <v>15336337.5</v>
      </c>
      <c r="V16" s="181">
        <v>17040375</v>
      </c>
      <c r="W16" s="183">
        <v>0</v>
      </c>
      <c r="X16" s="183">
        <v>0</v>
      </c>
      <c r="Y16" s="184">
        <v>0</v>
      </c>
      <c r="Z16" s="185">
        <f t="shared" si="2"/>
        <v>0</v>
      </c>
      <c r="AA16" s="172">
        <f t="shared" si="3"/>
        <v>0</v>
      </c>
      <c r="AB16" s="192"/>
    </row>
    <row r="17" spans="1:28" x14ac:dyDescent="0.25">
      <c r="A17" s="169">
        <f t="shared" si="4"/>
        <v>8</v>
      </c>
      <c r="B17" s="170" t="s">
        <v>312</v>
      </c>
      <c r="C17" s="171" t="s">
        <v>313</v>
      </c>
      <c r="D17" s="172">
        <v>120</v>
      </c>
      <c r="E17" s="173">
        <v>0</v>
      </c>
      <c r="F17" s="174" t="s">
        <v>314</v>
      </c>
      <c r="G17" s="175" t="s">
        <v>298</v>
      </c>
      <c r="H17" s="176" t="s">
        <v>315</v>
      </c>
      <c r="I17" s="191" t="s">
        <v>352</v>
      </c>
      <c r="J17" s="178" t="s">
        <v>353</v>
      </c>
      <c r="K17" s="169" t="s">
        <v>28</v>
      </c>
      <c r="L17" s="172" t="s">
        <v>354</v>
      </c>
      <c r="M17" s="174" t="s">
        <v>355</v>
      </c>
      <c r="N17" s="179" t="s">
        <v>356</v>
      </c>
      <c r="O17" s="178" t="s">
        <v>353</v>
      </c>
      <c r="P17" s="178" t="s">
        <v>357</v>
      </c>
      <c r="Q17" s="172" t="s">
        <v>30</v>
      </c>
      <c r="R17" s="172">
        <v>1469160</v>
      </c>
      <c r="S17" s="181">
        <f t="shared" si="0"/>
        <v>146916</v>
      </c>
      <c r="T17" s="174">
        <v>0</v>
      </c>
      <c r="U17" s="182">
        <f t="shared" si="1"/>
        <v>1322244</v>
      </c>
      <c r="V17" s="181">
        <v>1469160</v>
      </c>
      <c r="W17" s="183">
        <v>0</v>
      </c>
      <c r="X17" s="183">
        <v>0</v>
      </c>
      <c r="Y17" s="184">
        <v>0</v>
      </c>
      <c r="Z17" s="185">
        <f t="shared" si="2"/>
        <v>0</v>
      </c>
      <c r="AA17" s="172">
        <f t="shared" si="3"/>
        <v>0</v>
      </c>
      <c r="AB17" s="174"/>
    </row>
    <row r="18" spans="1:28" x14ac:dyDescent="0.25">
      <c r="A18" s="169">
        <f t="shared" si="4"/>
        <v>9</v>
      </c>
      <c r="B18" s="170" t="s">
        <v>312</v>
      </c>
      <c r="C18" s="171" t="s">
        <v>313</v>
      </c>
      <c r="D18" s="172">
        <v>45</v>
      </c>
      <c r="E18" s="173">
        <v>0</v>
      </c>
      <c r="F18" s="174" t="s">
        <v>314</v>
      </c>
      <c r="G18" s="175" t="s">
        <v>298</v>
      </c>
      <c r="H18" s="176" t="s">
        <v>315</v>
      </c>
      <c r="I18" s="191" t="s">
        <v>358</v>
      </c>
      <c r="J18" s="178" t="s">
        <v>359</v>
      </c>
      <c r="K18" s="169" t="s">
        <v>28</v>
      </c>
      <c r="L18" s="172" t="s">
        <v>360</v>
      </c>
      <c r="M18" s="174" t="s">
        <v>361</v>
      </c>
      <c r="N18" s="179" t="s">
        <v>362</v>
      </c>
      <c r="O18" s="180">
        <v>43863</v>
      </c>
      <c r="P18" s="180">
        <v>44595</v>
      </c>
      <c r="Q18" s="172" t="s">
        <v>30</v>
      </c>
      <c r="R18" s="172">
        <v>1000000</v>
      </c>
      <c r="S18" s="181">
        <f t="shared" si="0"/>
        <v>100000</v>
      </c>
      <c r="T18" s="174">
        <v>0</v>
      </c>
      <c r="U18" s="182">
        <f t="shared" si="1"/>
        <v>900000</v>
      </c>
      <c r="V18" s="181">
        <v>1000000</v>
      </c>
      <c r="W18" s="183">
        <v>0</v>
      </c>
      <c r="X18" s="183">
        <v>0</v>
      </c>
      <c r="Y18" s="184">
        <v>0</v>
      </c>
      <c r="Z18" s="185">
        <f t="shared" si="2"/>
        <v>0</v>
      </c>
      <c r="AA18" s="172">
        <f t="shared" si="3"/>
        <v>0</v>
      </c>
      <c r="AB18" s="174"/>
    </row>
    <row r="19" spans="1:28" x14ac:dyDescent="0.25">
      <c r="A19" s="169">
        <f t="shared" si="4"/>
        <v>10</v>
      </c>
      <c r="B19" s="170" t="s">
        <v>312</v>
      </c>
      <c r="C19" s="171" t="s">
        <v>313</v>
      </c>
      <c r="D19" s="172">
        <v>30</v>
      </c>
      <c r="E19" s="173">
        <v>0</v>
      </c>
      <c r="F19" s="174" t="s">
        <v>314</v>
      </c>
      <c r="G19" s="175" t="s">
        <v>298</v>
      </c>
      <c r="H19" s="176" t="s">
        <v>315</v>
      </c>
      <c r="I19" s="191" t="s">
        <v>363</v>
      </c>
      <c r="J19" s="178" t="s">
        <v>364</v>
      </c>
      <c r="K19" s="169" t="s">
        <v>28</v>
      </c>
      <c r="L19" s="172" t="s">
        <v>365</v>
      </c>
      <c r="M19" s="174" t="s">
        <v>366</v>
      </c>
      <c r="N19" s="179" t="s">
        <v>367</v>
      </c>
      <c r="O19" s="180" t="s">
        <v>368</v>
      </c>
      <c r="P19" s="178" t="s">
        <v>369</v>
      </c>
      <c r="Q19" s="172" t="s">
        <v>30</v>
      </c>
      <c r="R19" s="172">
        <v>1360333</v>
      </c>
      <c r="S19" s="181">
        <f t="shared" si="0"/>
        <v>136033.30000000002</v>
      </c>
      <c r="T19" s="174">
        <v>0</v>
      </c>
      <c r="U19" s="182">
        <f t="shared" si="1"/>
        <v>1224299.7</v>
      </c>
      <c r="V19" s="181">
        <v>1360333</v>
      </c>
      <c r="W19" s="183">
        <v>0</v>
      </c>
      <c r="X19" s="183">
        <v>0</v>
      </c>
      <c r="Y19" s="184">
        <v>0</v>
      </c>
      <c r="Z19" s="185">
        <f t="shared" si="2"/>
        <v>0</v>
      </c>
      <c r="AA19" s="172">
        <f t="shared" si="3"/>
        <v>0</v>
      </c>
      <c r="AB19" s="174"/>
    </row>
    <row r="20" spans="1:28" x14ac:dyDescent="0.25">
      <c r="A20" s="169">
        <f t="shared" si="4"/>
        <v>11</v>
      </c>
      <c r="B20" s="170" t="s">
        <v>370</v>
      </c>
      <c r="C20" s="171" t="s">
        <v>371</v>
      </c>
      <c r="D20" s="172">
        <v>12</v>
      </c>
      <c r="E20" s="173">
        <v>0</v>
      </c>
      <c r="F20" s="174" t="s">
        <v>314</v>
      </c>
      <c r="G20" s="175" t="s">
        <v>298</v>
      </c>
      <c r="H20" s="176" t="s">
        <v>315</v>
      </c>
      <c r="I20" s="191" t="s">
        <v>372</v>
      </c>
      <c r="J20" s="178" t="s">
        <v>373</v>
      </c>
      <c r="K20" s="169" t="s">
        <v>28</v>
      </c>
      <c r="L20" s="172" t="s">
        <v>374</v>
      </c>
      <c r="M20" s="174" t="s">
        <v>375</v>
      </c>
      <c r="N20" s="179" t="s">
        <v>376</v>
      </c>
      <c r="O20" s="180">
        <v>44175</v>
      </c>
      <c r="P20" s="180">
        <v>44845</v>
      </c>
      <c r="Q20" s="172" t="s">
        <v>31</v>
      </c>
      <c r="R20" s="172">
        <v>1200000</v>
      </c>
      <c r="S20" s="181">
        <f t="shared" si="0"/>
        <v>120000</v>
      </c>
      <c r="T20" s="174">
        <v>0</v>
      </c>
      <c r="U20" s="182">
        <f t="shared" si="1"/>
        <v>1080000</v>
      </c>
      <c r="V20" s="181">
        <v>1200000</v>
      </c>
      <c r="W20" s="183">
        <v>0</v>
      </c>
      <c r="X20" s="183">
        <v>0</v>
      </c>
      <c r="Y20" s="184">
        <v>0</v>
      </c>
      <c r="Z20" s="185">
        <f t="shared" si="2"/>
        <v>0</v>
      </c>
      <c r="AA20" s="172">
        <f t="shared" si="3"/>
        <v>0</v>
      </c>
      <c r="AB20" s="193"/>
    </row>
    <row r="21" spans="1:28" x14ac:dyDescent="0.25">
      <c r="A21" s="169">
        <f t="shared" si="4"/>
        <v>12</v>
      </c>
      <c r="B21" s="170" t="s">
        <v>312</v>
      </c>
      <c r="C21" s="171" t="s">
        <v>313</v>
      </c>
      <c r="D21" s="172">
        <f>2*6</f>
        <v>12</v>
      </c>
      <c r="E21" s="173">
        <v>0</v>
      </c>
      <c r="F21" s="174" t="s">
        <v>314</v>
      </c>
      <c r="G21" s="175" t="s">
        <v>298</v>
      </c>
      <c r="H21" s="176" t="s">
        <v>315</v>
      </c>
      <c r="I21" s="194" t="s">
        <v>377</v>
      </c>
      <c r="J21" s="178" t="s">
        <v>378</v>
      </c>
      <c r="K21" s="169" t="s">
        <v>28</v>
      </c>
      <c r="L21" s="172" t="s">
        <v>379</v>
      </c>
      <c r="M21" s="174" t="s">
        <v>380</v>
      </c>
      <c r="N21" s="188" t="s">
        <v>381</v>
      </c>
      <c r="O21" s="180" t="str">
        <f>J21</f>
        <v>03/02/2020</v>
      </c>
      <c r="P21" s="194" t="s">
        <v>382</v>
      </c>
      <c r="Q21" s="172" t="s">
        <v>31</v>
      </c>
      <c r="R21" s="172">
        <v>800000</v>
      </c>
      <c r="S21" s="181">
        <f t="shared" si="0"/>
        <v>80000</v>
      </c>
      <c r="T21" s="174"/>
      <c r="U21" s="182">
        <f t="shared" si="1"/>
        <v>720000</v>
      </c>
      <c r="V21" s="181">
        <v>800000</v>
      </c>
      <c r="W21" s="183">
        <v>0</v>
      </c>
      <c r="X21" s="183">
        <v>0</v>
      </c>
      <c r="Y21" s="184">
        <v>0</v>
      </c>
      <c r="Z21" s="185">
        <f t="shared" si="2"/>
        <v>0</v>
      </c>
      <c r="AA21" s="172">
        <f t="shared" si="3"/>
        <v>0</v>
      </c>
      <c r="AB21" s="195"/>
    </row>
    <row r="22" spans="1:28" x14ac:dyDescent="0.25">
      <c r="A22" s="169">
        <f t="shared" si="4"/>
        <v>13</v>
      </c>
      <c r="B22" s="170" t="s">
        <v>333</v>
      </c>
      <c r="C22" s="196" t="s">
        <v>383</v>
      </c>
      <c r="D22" s="172">
        <v>2408</v>
      </c>
      <c r="E22" s="173">
        <v>0</v>
      </c>
      <c r="F22" s="174" t="s">
        <v>384</v>
      </c>
      <c r="G22" s="175" t="s">
        <v>298</v>
      </c>
      <c r="H22" s="176" t="s">
        <v>385</v>
      </c>
      <c r="I22" s="191" t="s">
        <v>386</v>
      </c>
      <c r="J22" s="178" t="s">
        <v>387</v>
      </c>
      <c r="K22" s="169" t="s">
        <v>28</v>
      </c>
      <c r="L22" s="172" t="s">
        <v>388</v>
      </c>
      <c r="M22" s="174" t="s">
        <v>389</v>
      </c>
      <c r="N22" s="188" t="s">
        <v>390</v>
      </c>
      <c r="O22" s="180" t="s">
        <v>387</v>
      </c>
      <c r="P22" s="180">
        <v>44818</v>
      </c>
      <c r="Q22" s="172" t="s">
        <v>31</v>
      </c>
      <c r="R22" s="172">
        <v>6283714</v>
      </c>
      <c r="S22" s="181">
        <f t="shared" si="0"/>
        <v>628371.4</v>
      </c>
      <c r="T22" s="174">
        <v>0</v>
      </c>
      <c r="U22" s="182">
        <f t="shared" si="1"/>
        <v>5655342.5999999996</v>
      </c>
      <c r="V22" s="181">
        <v>6283714</v>
      </c>
      <c r="W22" s="183">
        <v>0</v>
      </c>
      <c r="X22" s="183">
        <v>0</v>
      </c>
      <c r="Y22" s="184">
        <v>0</v>
      </c>
      <c r="Z22" s="185">
        <f t="shared" si="2"/>
        <v>0</v>
      </c>
      <c r="AA22" s="172">
        <f t="shared" si="3"/>
        <v>0</v>
      </c>
      <c r="AB22" s="192"/>
    </row>
    <row r="23" spans="1:28" x14ac:dyDescent="0.25">
      <c r="A23" s="169">
        <f t="shared" si="4"/>
        <v>14</v>
      </c>
      <c r="B23" s="170" t="s">
        <v>370</v>
      </c>
      <c r="C23" s="196" t="s">
        <v>391</v>
      </c>
      <c r="D23" s="172">
        <v>200</v>
      </c>
      <c r="E23" s="173">
        <v>0</v>
      </c>
      <c r="F23" s="174" t="s">
        <v>391</v>
      </c>
      <c r="G23" s="175" t="s">
        <v>298</v>
      </c>
      <c r="H23" s="196" t="s">
        <v>392</v>
      </c>
      <c r="I23" s="191" t="s">
        <v>393</v>
      </c>
      <c r="J23" s="178" t="s">
        <v>394</v>
      </c>
      <c r="K23" s="169" t="s">
        <v>28</v>
      </c>
      <c r="L23" s="172" t="s">
        <v>395</v>
      </c>
      <c r="M23" s="174" t="s">
        <v>396</v>
      </c>
      <c r="N23" s="179" t="s">
        <v>397</v>
      </c>
      <c r="O23" s="180">
        <v>44111</v>
      </c>
      <c r="P23" s="180">
        <v>44386</v>
      </c>
      <c r="Q23" s="172" t="s">
        <v>30</v>
      </c>
      <c r="R23" s="172">
        <v>40010667</v>
      </c>
      <c r="S23" s="181">
        <f t="shared" si="0"/>
        <v>4001066.7</v>
      </c>
      <c r="T23" s="174">
        <v>0</v>
      </c>
      <c r="U23" s="182">
        <v>37810080</v>
      </c>
      <c r="V23" s="181">
        <v>40010667</v>
      </c>
      <c r="W23" s="183">
        <v>0</v>
      </c>
      <c r="X23" s="183">
        <v>0</v>
      </c>
      <c r="Y23" s="184">
        <v>0</v>
      </c>
      <c r="Z23" s="185">
        <f t="shared" si="2"/>
        <v>0</v>
      </c>
      <c r="AA23" s="172">
        <f t="shared" si="3"/>
        <v>0</v>
      </c>
      <c r="AB23" s="192"/>
    </row>
    <row r="24" spans="1:28" x14ac:dyDescent="0.25">
      <c r="A24" s="169">
        <f t="shared" si="4"/>
        <v>15</v>
      </c>
      <c r="B24" s="170" t="s">
        <v>312</v>
      </c>
      <c r="C24" s="171" t="s">
        <v>313</v>
      </c>
      <c r="D24" s="172">
        <f>25*9</f>
        <v>225</v>
      </c>
      <c r="E24" s="173">
        <v>0</v>
      </c>
      <c r="F24" s="174" t="s">
        <v>314</v>
      </c>
      <c r="G24" s="175" t="s">
        <v>298</v>
      </c>
      <c r="H24" s="176" t="s">
        <v>398</v>
      </c>
      <c r="I24" s="191" t="s">
        <v>399</v>
      </c>
      <c r="J24" s="178" t="s">
        <v>400</v>
      </c>
      <c r="K24" s="169" t="s">
        <v>28</v>
      </c>
      <c r="L24" s="172" t="s">
        <v>401</v>
      </c>
      <c r="M24" s="174" t="s">
        <v>402</v>
      </c>
      <c r="N24" s="179" t="s">
        <v>403</v>
      </c>
      <c r="O24" s="180" t="s">
        <v>400</v>
      </c>
      <c r="P24" s="180" t="s">
        <v>404</v>
      </c>
      <c r="Q24" s="172" t="s">
        <v>31</v>
      </c>
      <c r="R24" s="172">
        <v>787500</v>
      </c>
      <c r="S24" s="181">
        <f t="shared" si="0"/>
        <v>78750</v>
      </c>
      <c r="T24" s="174">
        <v>0</v>
      </c>
      <c r="U24" s="182">
        <f t="shared" si="1"/>
        <v>708750</v>
      </c>
      <c r="V24" s="181">
        <v>787500</v>
      </c>
      <c r="W24" s="183">
        <v>0</v>
      </c>
      <c r="X24" s="183">
        <v>0</v>
      </c>
      <c r="Y24" s="184">
        <v>0</v>
      </c>
      <c r="Z24" s="185">
        <f t="shared" si="2"/>
        <v>0</v>
      </c>
      <c r="AA24" s="172">
        <f t="shared" si="3"/>
        <v>0</v>
      </c>
      <c r="AB24" s="192"/>
    </row>
    <row r="25" spans="1:28" x14ac:dyDescent="0.25">
      <c r="A25" s="169">
        <f t="shared" si="4"/>
        <v>16</v>
      </c>
      <c r="B25" s="170" t="s">
        <v>312</v>
      </c>
      <c r="C25" s="171" t="s">
        <v>313</v>
      </c>
      <c r="D25" s="172">
        <f>20*8</f>
        <v>160</v>
      </c>
      <c r="E25" s="173">
        <v>0</v>
      </c>
      <c r="F25" s="174" t="s">
        <v>314</v>
      </c>
      <c r="G25" s="175" t="s">
        <v>298</v>
      </c>
      <c r="H25" s="176" t="s">
        <v>398</v>
      </c>
      <c r="I25" s="191" t="s">
        <v>405</v>
      </c>
      <c r="J25" s="178" t="s">
        <v>400</v>
      </c>
      <c r="K25" s="169" t="s">
        <v>28</v>
      </c>
      <c r="L25" s="172" t="s">
        <v>406</v>
      </c>
      <c r="M25" s="174" t="s">
        <v>402</v>
      </c>
      <c r="N25" s="179" t="s">
        <v>407</v>
      </c>
      <c r="O25" s="180" t="s">
        <v>400</v>
      </c>
      <c r="P25" s="180" t="s">
        <v>404</v>
      </c>
      <c r="Q25" s="172" t="s">
        <v>31</v>
      </c>
      <c r="R25" s="172">
        <v>560000</v>
      </c>
      <c r="S25" s="181">
        <f t="shared" si="0"/>
        <v>56000</v>
      </c>
      <c r="T25" s="174">
        <v>0</v>
      </c>
      <c r="U25" s="182">
        <f t="shared" si="1"/>
        <v>504000</v>
      </c>
      <c r="V25" s="181">
        <v>560000</v>
      </c>
      <c r="W25" s="183">
        <v>0</v>
      </c>
      <c r="X25" s="183">
        <v>0</v>
      </c>
      <c r="Y25" s="184">
        <v>0</v>
      </c>
      <c r="Z25" s="185">
        <f t="shared" si="2"/>
        <v>0</v>
      </c>
      <c r="AA25" s="172">
        <f t="shared" si="3"/>
        <v>0</v>
      </c>
      <c r="AB25" s="192"/>
    </row>
    <row r="26" spans="1:28" x14ac:dyDescent="0.25">
      <c r="A26" s="169">
        <f t="shared" si="4"/>
        <v>17</v>
      </c>
      <c r="B26" s="170" t="s">
        <v>312</v>
      </c>
      <c r="C26" s="171" t="s">
        <v>313</v>
      </c>
      <c r="D26" s="172">
        <f>8*9</f>
        <v>72</v>
      </c>
      <c r="E26" s="173">
        <v>0</v>
      </c>
      <c r="F26" s="174" t="s">
        <v>314</v>
      </c>
      <c r="G26" s="175" t="s">
        <v>298</v>
      </c>
      <c r="H26" s="176" t="s">
        <v>398</v>
      </c>
      <c r="I26" s="191" t="s">
        <v>408</v>
      </c>
      <c r="J26" s="178" t="s">
        <v>400</v>
      </c>
      <c r="K26" s="169" t="s">
        <v>28</v>
      </c>
      <c r="L26" s="172" t="s">
        <v>409</v>
      </c>
      <c r="M26" s="174" t="s">
        <v>402</v>
      </c>
      <c r="N26" s="179" t="s">
        <v>410</v>
      </c>
      <c r="O26" s="180" t="s">
        <v>400</v>
      </c>
      <c r="P26" s="180" t="s">
        <v>404</v>
      </c>
      <c r="Q26" s="172" t="s">
        <v>31</v>
      </c>
      <c r="R26" s="172">
        <v>252000</v>
      </c>
      <c r="S26" s="181">
        <f t="shared" si="0"/>
        <v>25200</v>
      </c>
      <c r="T26" s="174">
        <v>0</v>
      </c>
      <c r="U26" s="182">
        <f t="shared" si="1"/>
        <v>226800</v>
      </c>
      <c r="V26" s="181">
        <v>252000</v>
      </c>
      <c r="W26" s="183">
        <v>0</v>
      </c>
      <c r="X26" s="183">
        <v>0</v>
      </c>
      <c r="Y26" s="184">
        <v>0</v>
      </c>
      <c r="Z26" s="185">
        <f t="shared" si="2"/>
        <v>0</v>
      </c>
      <c r="AA26" s="172">
        <f t="shared" si="3"/>
        <v>0</v>
      </c>
      <c r="AB26" s="192"/>
    </row>
    <row r="27" spans="1:28" x14ac:dyDescent="0.25">
      <c r="A27" s="169">
        <f t="shared" si="4"/>
        <v>18</v>
      </c>
      <c r="B27" s="170" t="s">
        <v>312</v>
      </c>
      <c r="C27" s="171" t="s">
        <v>313</v>
      </c>
      <c r="D27" s="172">
        <f>20*6</f>
        <v>120</v>
      </c>
      <c r="E27" s="173">
        <v>0</v>
      </c>
      <c r="F27" s="174" t="s">
        <v>314</v>
      </c>
      <c r="G27" s="175" t="s">
        <v>298</v>
      </c>
      <c r="H27" s="176" t="s">
        <v>398</v>
      </c>
      <c r="I27" s="191" t="s">
        <v>411</v>
      </c>
      <c r="J27" s="178" t="s">
        <v>400</v>
      </c>
      <c r="K27" s="169" t="s">
        <v>28</v>
      </c>
      <c r="L27" s="172" t="s">
        <v>412</v>
      </c>
      <c r="M27" s="174" t="s">
        <v>413</v>
      </c>
      <c r="N27" s="179" t="s">
        <v>414</v>
      </c>
      <c r="O27" s="180" t="s">
        <v>400</v>
      </c>
      <c r="P27" s="180" t="s">
        <v>404</v>
      </c>
      <c r="Q27" s="172" t="s">
        <v>31</v>
      </c>
      <c r="R27" s="172">
        <v>420000</v>
      </c>
      <c r="S27" s="181">
        <f t="shared" si="0"/>
        <v>42000</v>
      </c>
      <c r="T27" s="174">
        <v>0</v>
      </c>
      <c r="U27" s="182">
        <f t="shared" si="1"/>
        <v>378000</v>
      </c>
      <c r="V27" s="181">
        <v>420000</v>
      </c>
      <c r="W27" s="183">
        <v>0</v>
      </c>
      <c r="X27" s="183">
        <v>0</v>
      </c>
      <c r="Y27" s="184">
        <v>0</v>
      </c>
      <c r="Z27" s="185">
        <f t="shared" si="2"/>
        <v>0</v>
      </c>
      <c r="AA27" s="172">
        <f t="shared" si="3"/>
        <v>0</v>
      </c>
      <c r="AB27" s="174"/>
    </row>
    <row r="28" spans="1:28" x14ac:dyDescent="0.25">
      <c r="A28" s="169">
        <f t="shared" si="4"/>
        <v>19</v>
      </c>
      <c r="B28" s="170" t="s">
        <v>312</v>
      </c>
      <c r="C28" s="171" t="s">
        <v>313</v>
      </c>
      <c r="D28" s="172">
        <f>9*10</f>
        <v>90</v>
      </c>
      <c r="E28" s="173">
        <v>0</v>
      </c>
      <c r="F28" s="174" t="s">
        <v>314</v>
      </c>
      <c r="G28" s="175" t="s">
        <v>298</v>
      </c>
      <c r="H28" s="176" t="s">
        <v>398</v>
      </c>
      <c r="I28" s="191" t="s">
        <v>415</v>
      </c>
      <c r="J28" s="178" t="s">
        <v>400</v>
      </c>
      <c r="K28" s="169" t="s">
        <v>28</v>
      </c>
      <c r="L28" s="172" t="s">
        <v>416</v>
      </c>
      <c r="M28" s="174" t="s">
        <v>417</v>
      </c>
      <c r="N28" s="179" t="s">
        <v>418</v>
      </c>
      <c r="O28" s="180" t="s">
        <v>400</v>
      </c>
      <c r="P28" s="180" t="s">
        <v>404</v>
      </c>
      <c r="Q28" s="172" t="s">
        <v>31</v>
      </c>
      <c r="R28" s="172">
        <v>315000</v>
      </c>
      <c r="S28" s="181">
        <f t="shared" si="0"/>
        <v>31500</v>
      </c>
      <c r="T28" s="174">
        <v>0</v>
      </c>
      <c r="U28" s="182">
        <f t="shared" si="1"/>
        <v>283500</v>
      </c>
      <c r="V28" s="181">
        <v>315000</v>
      </c>
      <c r="W28" s="183">
        <v>0</v>
      </c>
      <c r="X28" s="183">
        <v>0</v>
      </c>
      <c r="Y28" s="184">
        <v>0</v>
      </c>
      <c r="Z28" s="185">
        <f t="shared" si="2"/>
        <v>0</v>
      </c>
      <c r="AA28" s="172">
        <f t="shared" si="3"/>
        <v>0</v>
      </c>
      <c r="AB28" s="192"/>
    </row>
    <row r="29" spans="1:28" x14ac:dyDescent="0.25">
      <c r="A29" s="169">
        <f t="shared" si="4"/>
        <v>20</v>
      </c>
      <c r="B29" s="170" t="s">
        <v>312</v>
      </c>
      <c r="C29" s="171" t="s">
        <v>313</v>
      </c>
      <c r="D29" s="172">
        <f>6*8</f>
        <v>48</v>
      </c>
      <c r="E29" s="173">
        <v>0</v>
      </c>
      <c r="F29" s="174" t="s">
        <v>314</v>
      </c>
      <c r="G29" s="175" t="s">
        <v>298</v>
      </c>
      <c r="H29" s="176" t="s">
        <v>398</v>
      </c>
      <c r="I29" s="191" t="s">
        <v>419</v>
      </c>
      <c r="J29" s="178" t="s">
        <v>400</v>
      </c>
      <c r="K29" s="169" t="s">
        <v>28</v>
      </c>
      <c r="L29" s="172" t="s">
        <v>420</v>
      </c>
      <c r="M29" s="174" t="s">
        <v>421</v>
      </c>
      <c r="N29" s="179" t="s">
        <v>422</v>
      </c>
      <c r="O29" s="180" t="s">
        <v>400</v>
      </c>
      <c r="P29" s="180" t="s">
        <v>404</v>
      </c>
      <c r="Q29" s="172" t="s">
        <v>31</v>
      </c>
      <c r="R29" s="172">
        <v>168000</v>
      </c>
      <c r="S29" s="181">
        <f t="shared" si="0"/>
        <v>16800</v>
      </c>
      <c r="T29" s="174">
        <v>0</v>
      </c>
      <c r="U29" s="182">
        <f t="shared" si="1"/>
        <v>151200</v>
      </c>
      <c r="V29" s="181">
        <v>168000</v>
      </c>
      <c r="W29" s="183">
        <v>0</v>
      </c>
      <c r="X29" s="183">
        <v>0</v>
      </c>
      <c r="Y29" s="184">
        <v>0</v>
      </c>
      <c r="Z29" s="185">
        <f t="shared" si="2"/>
        <v>0</v>
      </c>
      <c r="AA29" s="172">
        <f t="shared" si="3"/>
        <v>0</v>
      </c>
      <c r="AB29" s="192"/>
    </row>
    <row r="30" spans="1:28" x14ac:dyDescent="0.25">
      <c r="A30" s="169">
        <f t="shared" si="4"/>
        <v>21</v>
      </c>
      <c r="B30" s="170" t="s">
        <v>312</v>
      </c>
      <c r="C30" s="171" t="s">
        <v>313</v>
      </c>
      <c r="D30" s="172">
        <f>10*20</f>
        <v>200</v>
      </c>
      <c r="E30" s="173">
        <v>0</v>
      </c>
      <c r="F30" s="174" t="s">
        <v>314</v>
      </c>
      <c r="G30" s="175" t="s">
        <v>298</v>
      </c>
      <c r="H30" s="176" t="s">
        <v>398</v>
      </c>
      <c r="I30" s="191" t="s">
        <v>423</v>
      </c>
      <c r="J30" s="178" t="s">
        <v>400</v>
      </c>
      <c r="K30" s="169" t="s">
        <v>28</v>
      </c>
      <c r="L30" s="172" t="s">
        <v>424</v>
      </c>
      <c r="M30" s="174" t="s">
        <v>425</v>
      </c>
      <c r="N30" s="179" t="s">
        <v>426</v>
      </c>
      <c r="O30" s="180" t="s">
        <v>400</v>
      </c>
      <c r="P30" s="180" t="s">
        <v>404</v>
      </c>
      <c r="Q30" s="172" t="s">
        <v>31</v>
      </c>
      <c r="R30" s="172">
        <v>700000</v>
      </c>
      <c r="S30" s="181">
        <f t="shared" si="0"/>
        <v>70000</v>
      </c>
      <c r="T30" s="174">
        <v>0</v>
      </c>
      <c r="U30" s="182">
        <f t="shared" si="1"/>
        <v>630000</v>
      </c>
      <c r="V30" s="181">
        <v>700000</v>
      </c>
      <c r="W30" s="183">
        <v>0</v>
      </c>
      <c r="X30" s="183">
        <v>0</v>
      </c>
      <c r="Y30" s="184">
        <v>0</v>
      </c>
      <c r="Z30" s="185">
        <f t="shared" si="2"/>
        <v>0</v>
      </c>
      <c r="AA30" s="172">
        <f t="shared" si="3"/>
        <v>0</v>
      </c>
      <c r="AB30" s="192"/>
    </row>
    <row r="31" spans="1:28" x14ac:dyDescent="0.25">
      <c r="A31" s="169">
        <f t="shared" si="4"/>
        <v>22</v>
      </c>
      <c r="B31" s="170" t="s">
        <v>312</v>
      </c>
      <c r="C31" s="171" t="s">
        <v>313</v>
      </c>
      <c r="D31" s="172">
        <f>6*7</f>
        <v>42</v>
      </c>
      <c r="E31" s="173">
        <v>0</v>
      </c>
      <c r="F31" s="174" t="s">
        <v>314</v>
      </c>
      <c r="G31" s="175" t="s">
        <v>298</v>
      </c>
      <c r="H31" s="176" t="s">
        <v>398</v>
      </c>
      <c r="I31" s="191" t="s">
        <v>427</v>
      </c>
      <c r="J31" s="178" t="s">
        <v>428</v>
      </c>
      <c r="K31" s="169" t="s">
        <v>28</v>
      </c>
      <c r="L31" s="172" t="s">
        <v>429</v>
      </c>
      <c r="M31" s="197" t="s">
        <v>430</v>
      </c>
      <c r="N31" s="179" t="s">
        <v>431</v>
      </c>
      <c r="O31" s="180" t="s">
        <v>400</v>
      </c>
      <c r="P31" s="180" t="s">
        <v>432</v>
      </c>
      <c r="Q31" s="172" t="s">
        <v>31</v>
      </c>
      <c r="R31" s="172">
        <v>1000000</v>
      </c>
      <c r="S31" s="181">
        <f t="shared" si="0"/>
        <v>100000</v>
      </c>
      <c r="T31" s="174">
        <v>0</v>
      </c>
      <c r="U31" s="182">
        <f t="shared" si="1"/>
        <v>900000</v>
      </c>
      <c r="V31" s="181">
        <v>1000000</v>
      </c>
      <c r="W31" s="183">
        <v>0</v>
      </c>
      <c r="X31" s="183">
        <v>0</v>
      </c>
      <c r="Y31" s="184">
        <v>0</v>
      </c>
      <c r="Z31" s="185">
        <f t="shared" si="2"/>
        <v>0</v>
      </c>
      <c r="AA31" s="172">
        <f t="shared" si="3"/>
        <v>0</v>
      </c>
      <c r="AB31" s="174"/>
    </row>
    <row r="32" spans="1:28" x14ac:dyDescent="0.25">
      <c r="A32" s="169">
        <f t="shared" si="4"/>
        <v>23</v>
      </c>
      <c r="B32" s="170" t="s">
        <v>312</v>
      </c>
      <c r="C32" s="171" t="s">
        <v>313</v>
      </c>
      <c r="D32" s="172">
        <f>9*5</f>
        <v>45</v>
      </c>
      <c r="E32" s="173">
        <v>0</v>
      </c>
      <c r="F32" s="174" t="s">
        <v>314</v>
      </c>
      <c r="G32" s="175" t="s">
        <v>298</v>
      </c>
      <c r="H32" s="176" t="s">
        <v>398</v>
      </c>
      <c r="I32" s="191" t="s">
        <v>433</v>
      </c>
      <c r="J32" s="178" t="s">
        <v>400</v>
      </c>
      <c r="K32" s="169" t="s">
        <v>28</v>
      </c>
      <c r="L32" s="172" t="s">
        <v>434</v>
      </c>
      <c r="M32" s="174" t="s">
        <v>435</v>
      </c>
      <c r="N32" s="179" t="s">
        <v>436</v>
      </c>
      <c r="O32" s="180" t="s">
        <v>400</v>
      </c>
      <c r="P32" s="180" t="s">
        <v>404</v>
      </c>
      <c r="Q32" s="172" t="s">
        <v>31</v>
      </c>
      <c r="R32" s="172">
        <v>472500</v>
      </c>
      <c r="S32" s="181">
        <f t="shared" si="0"/>
        <v>47250</v>
      </c>
      <c r="T32" s="174">
        <v>0</v>
      </c>
      <c r="U32" s="182">
        <f t="shared" si="1"/>
        <v>425250</v>
      </c>
      <c r="V32" s="181">
        <v>472500</v>
      </c>
      <c r="W32" s="183">
        <v>0</v>
      </c>
      <c r="X32" s="183">
        <v>0</v>
      </c>
      <c r="Y32" s="184">
        <v>0</v>
      </c>
      <c r="Z32" s="185">
        <f t="shared" si="2"/>
        <v>0</v>
      </c>
      <c r="AA32" s="172">
        <f t="shared" si="3"/>
        <v>0</v>
      </c>
      <c r="AB32" s="192"/>
    </row>
    <row r="33" spans="1:28" x14ac:dyDescent="0.25">
      <c r="A33" s="169">
        <f t="shared" si="4"/>
        <v>24</v>
      </c>
      <c r="B33" s="170" t="s">
        <v>312</v>
      </c>
      <c r="C33" s="171" t="s">
        <v>313</v>
      </c>
      <c r="D33" s="172">
        <f>14*8</f>
        <v>112</v>
      </c>
      <c r="E33" s="173">
        <v>0</v>
      </c>
      <c r="F33" s="174" t="s">
        <v>314</v>
      </c>
      <c r="G33" s="175" t="s">
        <v>298</v>
      </c>
      <c r="H33" s="176" t="s">
        <v>398</v>
      </c>
      <c r="I33" s="191" t="s">
        <v>437</v>
      </c>
      <c r="J33" s="178" t="s">
        <v>400</v>
      </c>
      <c r="K33" s="169" t="s">
        <v>28</v>
      </c>
      <c r="L33" s="172" t="s">
        <v>438</v>
      </c>
      <c r="M33" s="174" t="s">
        <v>402</v>
      </c>
      <c r="N33" s="179" t="s">
        <v>439</v>
      </c>
      <c r="O33" s="180" t="s">
        <v>400</v>
      </c>
      <c r="P33" s="180" t="s">
        <v>404</v>
      </c>
      <c r="Q33" s="172" t="s">
        <v>31</v>
      </c>
      <c r="R33" s="172">
        <v>392000</v>
      </c>
      <c r="S33" s="181">
        <f t="shared" si="0"/>
        <v>39200</v>
      </c>
      <c r="T33" s="174">
        <v>0</v>
      </c>
      <c r="U33" s="182">
        <f t="shared" si="1"/>
        <v>352800</v>
      </c>
      <c r="V33" s="181">
        <v>392000</v>
      </c>
      <c r="W33" s="183">
        <v>0</v>
      </c>
      <c r="X33" s="183">
        <v>0</v>
      </c>
      <c r="Y33" s="184">
        <v>0</v>
      </c>
      <c r="Z33" s="185">
        <f t="shared" si="2"/>
        <v>0</v>
      </c>
      <c r="AA33" s="172">
        <f t="shared" si="3"/>
        <v>0</v>
      </c>
      <c r="AB33" s="192"/>
    </row>
    <row r="34" spans="1:28" x14ac:dyDescent="0.25">
      <c r="A34" s="169">
        <f t="shared" si="4"/>
        <v>25</v>
      </c>
      <c r="B34" s="170" t="s">
        <v>312</v>
      </c>
      <c r="C34" s="171" t="s">
        <v>313</v>
      </c>
      <c r="D34" s="172">
        <v>45</v>
      </c>
      <c r="E34" s="173">
        <v>0</v>
      </c>
      <c r="F34" s="174" t="s">
        <v>314</v>
      </c>
      <c r="G34" s="175" t="s">
        <v>298</v>
      </c>
      <c r="H34" s="176" t="s">
        <v>398</v>
      </c>
      <c r="I34" s="191" t="s">
        <v>440</v>
      </c>
      <c r="J34" s="178" t="s">
        <v>400</v>
      </c>
      <c r="K34" s="169" t="s">
        <v>28</v>
      </c>
      <c r="L34" s="172" t="s">
        <v>441</v>
      </c>
      <c r="M34" s="174" t="s">
        <v>402</v>
      </c>
      <c r="N34" s="179" t="s">
        <v>442</v>
      </c>
      <c r="O34" s="180" t="s">
        <v>400</v>
      </c>
      <c r="P34" s="180" t="s">
        <v>404</v>
      </c>
      <c r="Q34" s="172" t="s">
        <v>31</v>
      </c>
      <c r="R34" s="172">
        <v>525000</v>
      </c>
      <c r="S34" s="181">
        <f t="shared" si="0"/>
        <v>52500</v>
      </c>
      <c r="T34" s="174">
        <v>0</v>
      </c>
      <c r="U34" s="182">
        <f t="shared" si="1"/>
        <v>472500</v>
      </c>
      <c r="V34" s="181">
        <v>525000</v>
      </c>
      <c r="W34" s="183">
        <v>0</v>
      </c>
      <c r="X34" s="183">
        <v>0</v>
      </c>
      <c r="Y34" s="184">
        <v>0</v>
      </c>
      <c r="Z34" s="185">
        <f t="shared" si="2"/>
        <v>0</v>
      </c>
      <c r="AA34" s="172">
        <f t="shared" si="3"/>
        <v>0</v>
      </c>
      <c r="AB34" s="192"/>
    </row>
    <row r="35" spans="1:28" x14ac:dyDescent="0.25">
      <c r="A35" s="169">
        <f t="shared" si="4"/>
        <v>26</v>
      </c>
      <c r="B35" s="170" t="s">
        <v>312</v>
      </c>
      <c r="C35" s="171" t="s">
        <v>313</v>
      </c>
      <c r="D35" s="172">
        <v>69</v>
      </c>
      <c r="E35" s="173">
        <v>0</v>
      </c>
      <c r="F35" s="174" t="s">
        <v>314</v>
      </c>
      <c r="G35" s="175" t="s">
        <v>298</v>
      </c>
      <c r="H35" s="176" t="s">
        <v>315</v>
      </c>
      <c r="I35" s="191" t="s">
        <v>443</v>
      </c>
      <c r="J35" s="178" t="s">
        <v>444</v>
      </c>
      <c r="K35" s="169" t="s">
        <v>28</v>
      </c>
      <c r="L35" s="172" t="s">
        <v>445</v>
      </c>
      <c r="M35" s="174" t="s">
        <v>446</v>
      </c>
      <c r="N35" s="179" t="s">
        <v>447</v>
      </c>
      <c r="O35" s="180" t="s">
        <v>444</v>
      </c>
      <c r="P35" s="180" t="s">
        <v>448</v>
      </c>
      <c r="Q35" s="172" t="s">
        <v>31</v>
      </c>
      <c r="R35" s="172">
        <v>3900000</v>
      </c>
      <c r="S35" s="181">
        <f t="shared" si="0"/>
        <v>390000</v>
      </c>
      <c r="T35" s="174">
        <v>0</v>
      </c>
      <c r="U35" s="182">
        <f t="shared" si="1"/>
        <v>3510000</v>
      </c>
      <c r="V35" s="181">
        <v>3900000</v>
      </c>
      <c r="W35" s="183">
        <v>0</v>
      </c>
      <c r="X35" s="183">
        <v>0</v>
      </c>
      <c r="Y35" s="184">
        <v>0</v>
      </c>
      <c r="Z35" s="185">
        <f t="shared" si="2"/>
        <v>0</v>
      </c>
      <c r="AA35" s="172">
        <f t="shared" si="3"/>
        <v>0</v>
      </c>
      <c r="AB35" s="192"/>
    </row>
    <row r="36" spans="1:28" x14ac:dyDescent="0.25">
      <c r="A36" s="169">
        <f t="shared" si="4"/>
        <v>27</v>
      </c>
      <c r="B36" s="170" t="s">
        <v>312</v>
      </c>
      <c r="C36" s="171" t="s">
        <v>313</v>
      </c>
      <c r="D36" s="172">
        <v>170</v>
      </c>
      <c r="E36" s="172">
        <v>0</v>
      </c>
      <c r="F36" s="174" t="s">
        <v>314</v>
      </c>
      <c r="G36" s="175" t="s">
        <v>298</v>
      </c>
      <c r="H36" s="176" t="s">
        <v>449</v>
      </c>
      <c r="I36" s="191" t="s">
        <v>450</v>
      </c>
      <c r="J36" s="178" t="s">
        <v>451</v>
      </c>
      <c r="K36" s="169" t="s">
        <v>28</v>
      </c>
      <c r="L36" s="174" t="s">
        <v>452</v>
      </c>
      <c r="M36" s="174" t="s">
        <v>425</v>
      </c>
      <c r="N36" s="198" t="s">
        <v>453</v>
      </c>
      <c r="O36" s="180" t="s">
        <v>451</v>
      </c>
      <c r="P36" s="180" t="s">
        <v>454</v>
      </c>
      <c r="Q36" s="172" t="s">
        <v>30</v>
      </c>
      <c r="R36" s="174">
        <v>6310500</v>
      </c>
      <c r="S36" s="181">
        <f t="shared" si="0"/>
        <v>631050</v>
      </c>
      <c r="T36" s="174">
        <v>0</v>
      </c>
      <c r="U36" s="182">
        <f t="shared" si="1"/>
        <v>5679450</v>
      </c>
      <c r="V36" s="181">
        <v>6310500</v>
      </c>
      <c r="W36" s="183">
        <v>0</v>
      </c>
      <c r="X36" s="183">
        <v>0</v>
      </c>
      <c r="Y36" s="184">
        <v>0</v>
      </c>
      <c r="Z36" s="185">
        <f t="shared" si="2"/>
        <v>0</v>
      </c>
      <c r="AA36" s="172">
        <f t="shared" si="3"/>
        <v>0</v>
      </c>
      <c r="AB36" s="199"/>
    </row>
    <row r="37" spans="1:28" x14ac:dyDescent="0.25">
      <c r="A37" s="169">
        <f t="shared" si="4"/>
        <v>28</v>
      </c>
      <c r="B37" s="170" t="s">
        <v>312</v>
      </c>
      <c r="C37" s="171" t="s">
        <v>313</v>
      </c>
      <c r="D37" s="172">
        <v>24</v>
      </c>
      <c r="E37" s="172" t="s">
        <v>455</v>
      </c>
      <c r="F37" s="174" t="s">
        <v>314</v>
      </c>
      <c r="G37" s="175" t="s">
        <v>298</v>
      </c>
      <c r="H37" s="176" t="s">
        <v>398</v>
      </c>
      <c r="I37" s="191" t="s">
        <v>456</v>
      </c>
      <c r="J37" s="200">
        <v>44550</v>
      </c>
      <c r="K37" s="169" t="s">
        <v>28</v>
      </c>
      <c r="L37" s="201" t="s">
        <v>457</v>
      </c>
      <c r="M37" s="174" t="s">
        <v>458</v>
      </c>
      <c r="N37" s="198" t="s">
        <v>459</v>
      </c>
      <c r="O37" s="180">
        <v>44550</v>
      </c>
      <c r="P37" s="180" t="s">
        <v>460</v>
      </c>
      <c r="Q37" s="172" t="s">
        <v>31</v>
      </c>
      <c r="R37" s="174">
        <v>296800</v>
      </c>
      <c r="S37" s="181">
        <f t="shared" si="0"/>
        <v>29680</v>
      </c>
      <c r="T37" s="174">
        <v>0</v>
      </c>
      <c r="U37" s="182">
        <f t="shared" si="1"/>
        <v>267120</v>
      </c>
      <c r="V37" s="174">
        <v>296800</v>
      </c>
      <c r="W37" s="183">
        <v>0</v>
      </c>
      <c r="X37" s="183">
        <v>0</v>
      </c>
      <c r="Y37" s="184">
        <v>0</v>
      </c>
      <c r="Z37" s="185">
        <f t="shared" si="2"/>
        <v>0</v>
      </c>
      <c r="AA37" s="172">
        <f t="shared" si="3"/>
        <v>0</v>
      </c>
      <c r="AB37" s="199"/>
    </row>
    <row r="38" spans="1:28" x14ac:dyDescent="0.25">
      <c r="A38" s="169">
        <f t="shared" si="4"/>
        <v>29</v>
      </c>
      <c r="B38" s="170" t="s">
        <v>312</v>
      </c>
      <c r="C38" s="171" t="s">
        <v>313</v>
      </c>
      <c r="D38" s="172">
        <v>40</v>
      </c>
      <c r="E38" s="172" t="s">
        <v>455</v>
      </c>
      <c r="F38" s="174" t="s">
        <v>314</v>
      </c>
      <c r="G38" s="175" t="s">
        <v>298</v>
      </c>
      <c r="H38" s="176" t="s">
        <v>398</v>
      </c>
      <c r="I38" s="191" t="s">
        <v>461</v>
      </c>
      <c r="J38" s="200">
        <v>44550</v>
      </c>
      <c r="K38" s="169" t="s">
        <v>28</v>
      </c>
      <c r="L38" s="201" t="s">
        <v>462</v>
      </c>
      <c r="M38" s="174" t="s">
        <v>463</v>
      </c>
      <c r="N38" s="198" t="s">
        <v>464</v>
      </c>
      <c r="O38" s="180">
        <v>44550</v>
      </c>
      <c r="P38" s="180" t="s">
        <v>460</v>
      </c>
      <c r="Q38" s="172" t="s">
        <v>31</v>
      </c>
      <c r="R38" s="174">
        <v>494667</v>
      </c>
      <c r="S38" s="181">
        <f t="shared" si="0"/>
        <v>49466.700000000004</v>
      </c>
      <c r="T38" s="174">
        <v>0</v>
      </c>
      <c r="U38" s="182">
        <f t="shared" si="1"/>
        <v>445200.3</v>
      </c>
      <c r="V38" s="174">
        <v>494667</v>
      </c>
      <c r="W38" s="183">
        <v>0</v>
      </c>
      <c r="X38" s="183">
        <v>0</v>
      </c>
      <c r="Y38" s="184">
        <v>0</v>
      </c>
      <c r="Z38" s="185">
        <f t="shared" si="2"/>
        <v>0</v>
      </c>
      <c r="AA38" s="172">
        <f t="shared" si="3"/>
        <v>0</v>
      </c>
      <c r="AB38" s="199"/>
    </row>
    <row r="39" spans="1:28" x14ac:dyDescent="0.25">
      <c r="A39" s="169">
        <f t="shared" si="4"/>
        <v>30</v>
      </c>
      <c r="B39" s="170" t="s">
        <v>312</v>
      </c>
      <c r="C39" s="171" t="s">
        <v>313</v>
      </c>
      <c r="D39" s="172">
        <v>60</v>
      </c>
      <c r="E39" s="172" t="s">
        <v>455</v>
      </c>
      <c r="F39" s="174" t="s">
        <v>314</v>
      </c>
      <c r="G39" s="175" t="s">
        <v>298</v>
      </c>
      <c r="H39" s="176" t="s">
        <v>398</v>
      </c>
      <c r="I39" s="191" t="s">
        <v>465</v>
      </c>
      <c r="J39" s="200">
        <v>44550</v>
      </c>
      <c r="K39" s="169" t="s">
        <v>28</v>
      </c>
      <c r="L39" s="172" t="s">
        <v>466</v>
      </c>
      <c r="M39" s="174" t="s">
        <v>463</v>
      </c>
      <c r="N39" s="198" t="s">
        <v>467</v>
      </c>
      <c r="O39" s="180">
        <v>44550</v>
      </c>
      <c r="P39" s="180" t="s">
        <v>460</v>
      </c>
      <c r="Q39" s="172" t="s">
        <v>31</v>
      </c>
      <c r="R39" s="174">
        <v>742000</v>
      </c>
      <c r="S39" s="181">
        <f t="shared" si="0"/>
        <v>74200</v>
      </c>
      <c r="T39" s="174">
        <v>0</v>
      </c>
      <c r="U39" s="182">
        <f t="shared" si="1"/>
        <v>667800</v>
      </c>
      <c r="V39" s="174">
        <v>742000</v>
      </c>
      <c r="W39" s="183">
        <v>0</v>
      </c>
      <c r="X39" s="183">
        <v>0</v>
      </c>
      <c r="Y39" s="184">
        <v>0</v>
      </c>
      <c r="Z39" s="185">
        <f t="shared" si="2"/>
        <v>0</v>
      </c>
      <c r="AA39" s="172">
        <f t="shared" si="3"/>
        <v>0</v>
      </c>
      <c r="AB39" s="199"/>
    </row>
    <row r="40" spans="1:28" x14ac:dyDescent="0.25">
      <c r="A40" s="169">
        <f t="shared" si="4"/>
        <v>31</v>
      </c>
      <c r="B40" s="170" t="s">
        <v>312</v>
      </c>
      <c r="C40" s="171" t="s">
        <v>313</v>
      </c>
      <c r="D40" s="172">
        <v>78</v>
      </c>
      <c r="E40" s="172" t="s">
        <v>455</v>
      </c>
      <c r="F40" s="174" t="s">
        <v>314</v>
      </c>
      <c r="G40" s="175" t="s">
        <v>298</v>
      </c>
      <c r="H40" s="176" t="s">
        <v>398</v>
      </c>
      <c r="I40" s="191" t="s">
        <v>468</v>
      </c>
      <c r="J40" s="200">
        <v>44550</v>
      </c>
      <c r="K40" s="169" t="s">
        <v>28</v>
      </c>
      <c r="L40" s="172" t="s">
        <v>469</v>
      </c>
      <c r="M40" s="174" t="s">
        <v>470</v>
      </c>
      <c r="N40" s="198" t="s">
        <v>471</v>
      </c>
      <c r="O40" s="180">
        <v>44550</v>
      </c>
      <c r="P40" s="180" t="s">
        <v>460</v>
      </c>
      <c r="Q40" s="172" t="s">
        <v>31</v>
      </c>
      <c r="R40" s="174">
        <v>964600</v>
      </c>
      <c r="S40" s="181">
        <f t="shared" si="0"/>
        <v>96460</v>
      </c>
      <c r="T40" s="174">
        <v>0</v>
      </c>
      <c r="U40" s="182">
        <f t="shared" si="1"/>
        <v>868140</v>
      </c>
      <c r="V40" s="174">
        <v>964600</v>
      </c>
      <c r="W40" s="183">
        <v>0</v>
      </c>
      <c r="X40" s="183">
        <v>0</v>
      </c>
      <c r="Y40" s="184">
        <v>0</v>
      </c>
      <c r="Z40" s="185">
        <f t="shared" si="2"/>
        <v>0</v>
      </c>
      <c r="AA40" s="172">
        <f t="shared" si="3"/>
        <v>0</v>
      </c>
      <c r="AB40" s="199"/>
    </row>
    <row r="41" spans="1:28" x14ac:dyDescent="0.25">
      <c r="A41" s="169">
        <f t="shared" si="4"/>
        <v>32</v>
      </c>
      <c r="B41" s="170" t="s">
        <v>312</v>
      </c>
      <c r="C41" s="171" t="s">
        <v>313</v>
      </c>
      <c r="D41" s="172">
        <v>20</v>
      </c>
      <c r="E41" s="172" t="s">
        <v>455</v>
      </c>
      <c r="F41" s="174" t="s">
        <v>314</v>
      </c>
      <c r="G41" s="175" t="s">
        <v>298</v>
      </c>
      <c r="H41" s="176" t="s">
        <v>398</v>
      </c>
      <c r="I41" s="191" t="s">
        <v>472</v>
      </c>
      <c r="J41" s="200">
        <v>44550</v>
      </c>
      <c r="K41" s="169" t="s">
        <v>28</v>
      </c>
      <c r="L41" s="172" t="s">
        <v>473</v>
      </c>
      <c r="M41" s="174" t="s">
        <v>474</v>
      </c>
      <c r="N41" s="198" t="s">
        <v>475</v>
      </c>
      <c r="O41" s="180">
        <v>44550</v>
      </c>
      <c r="P41" s="180" t="s">
        <v>460</v>
      </c>
      <c r="Q41" s="172" t="s">
        <v>31</v>
      </c>
      <c r="R41" s="174">
        <v>247333</v>
      </c>
      <c r="S41" s="181">
        <f t="shared" si="0"/>
        <v>24733.300000000003</v>
      </c>
      <c r="T41" s="174">
        <v>0</v>
      </c>
      <c r="U41" s="182">
        <f t="shared" si="1"/>
        <v>222599.7</v>
      </c>
      <c r="V41" s="174">
        <v>247333</v>
      </c>
      <c r="W41" s="183">
        <v>0</v>
      </c>
      <c r="X41" s="183">
        <v>0</v>
      </c>
      <c r="Y41" s="184">
        <v>0</v>
      </c>
      <c r="Z41" s="185">
        <f t="shared" si="2"/>
        <v>0</v>
      </c>
      <c r="AA41" s="172">
        <f t="shared" si="3"/>
        <v>0</v>
      </c>
      <c r="AB41" s="199"/>
    </row>
    <row r="42" spans="1:28" x14ac:dyDescent="0.25">
      <c r="A42" s="169">
        <f t="shared" si="4"/>
        <v>33</v>
      </c>
      <c r="B42" s="170" t="s">
        <v>312</v>
      </c>
      <c r="C42" s="171" t="s">
        <v>313</v>
      </c>
      <c r="D42" s="172">
        <v>12</v>
      </c>
      <c r="E42" s="172" t="s">
        <v>455</v>
      </c>
      <c r="F42" s="174" t="s">
        <v>314</v>
      </c>
      <c r="G42" s="175" t="s">
        <v>298</v>
      </c>
      <c r="H42" s="176" t="s">
        <v>398</v>
      </c>
      <c r="I42" s="191" t="s">
        <v>476</v>
      </c>
      <c r="J42" s="200">
        <v>44550</v>
      </c>
      <c r="K42" s="169" t="s">
        <v>28</v>
      </c>
      <c r="L42" s="201" t="s">
        <v>477</v>
      </c>
      <c r="M42" s="174" t="s">
        <v>478</v>
      </c>
      <c r="N42" s="198" t="s">
        <v>479</v>
      </c>
      <c r="O42" s="180">
        <v>44550</v>
      </c>
      <c r="P42" s="180" t="s">
        <v>460</v>
      </c>
      <c r="Q42" s="172" t="s">
        <v>31</v>
      </c>
      <c r="R42" s="174">
        <v>148400</v>
      </c>
      <c r="S42" s="181">
        <f t="shared" si="0"/>
        <v>14840</v>
      </c>
      <c r="T42" s="174">
        <v>0</v>
      </c>
      <c r="U42" s="182">
        <f t="shared" si="1"/>
        <v>133560</v>
      </c>
      <c r="V42" s="174">
        <v>148400</v>
      </c>
      <c r="W42" s="183">
        <v>0</v>
      </c>
      <c r="X42" s="183">
        <v>0</v>
      </c>
      <c r="Y42" s="184">
        <v>0</v>
      </c>
      <c r="Z42" s="185">
        <f t="shared" si="2"/>
        <v>0</v>
      </c>
      <c r="AA42" s="172">
        <f t="shared" si="3"/>
        <v>0</v>
      </c>
      <c r="AB42" s="199"/>
    </row>
    <row r="43" spans="1:28" x14ac:dyDescent="0.25">
      <c r="A43" s="169">
        <f t="shared" si="4"/>
        <v>34</v>
      </c>
      <c r="B43" s="170" t="s">
        <v>312</v>
      </c>
      <c r="C43" s="171" t="s">
        <v>313</v>
      </c>
      <c r="D43" s="172">
        <v>50</v>
      </c>
      <c r="E43" s="172" t="s">
        <v>480</v>
      </c>
      <c r="F43" s="174" t="s">
        <v>314</v>
      </c>
      <c r="G43" s="175" t="s">
        <v>298</v>
      </c>
      <c r="H43" s="176" t="s">
        <v>398</v>
      </c>
      <c r="I43" s="191" t="s">
        <v>481</v>
      </c>
      <c r="J43" s="200">
        <v>44550</v>
      </c>
      <c r="K43" s="169" t="s">
        <v>28</v>
      </c>
      <c r="L43" s="172" t="s">
        <v>482</v>
      </c>
      <c r="M43" s="174" t="s">
        <v>483</v>
      </c>
      <c r="N43" s="198" t="s">
        <v>479</v>
      </c>
      <c r="O43" s="180">
        <v>44550</v>
      </c>
      <c r="P43" s="180" t="s">
        <v>460</v>
      </c>
      <c r="Q43" s="172" t="s">
        <v>31</v>
      </c>
      <c r="R43" s="174">
        <v>618333</v>
      </c>
      <c r="S43" s="181">
        <f t="shared" si="0"/>
        <v>61833.3</v>
      </c>
      <c r="T43" s="174">
        <v>0</v>
      </c>
      <c r="U43" s="182">
        <f t="shared" si="1"/>
        <v>556499.69999999995</v>
      </c>
      <c r="V43" s="174">
        <v>618333</v>
      </c>
      <c r="W43" s="183">
        <v>0</v>
      </c>
      <c r="X43" s="183">
        <v>0</v>
      </c>
      <c r="Y43" s="184">
        <v>0</v>
      </c>
      <c r="Z43" s="185">
        <f t="shared" si="2"/>
        <v>0</v>
      </c>
      <c r="AA43" s="172">
        <f t="shared" si="3"/>
        <v>0</v>
      </c>
      <c r="AB43" s="199"/>
    </row>
    <row r="44" spans="1:28" x14ac:dyDescent="0.25">
      <c r="A44" s="169">
        <f t="shared" si="4"/>
        <v>35</v>
      </c>
      <c r="B44" s="170" t="s">
        <v>312</v>
      </c>
      <c r="C44" s="171" t="s">
        <v>313</v>
      </c>
      <c r="D44" s="172">
        <v>28</v>
      </c>
      <c r="E44" s="172" t="s">
        <v>455</v>
      </c>
      <c r="F44" s="174" t="s">
        <v>314</v>
      </c>
      <c r="G44" s="175" t="s">
        <v>298</v>
      </c>
      <c r="H44" s="176" t="s">
        <v>398</v>
      </c>
      <c r="I44" s="191" t="s">
        <v>484</v>
      </c>
      <c r="J44" s="200">
        <v>44550</v>
      </c>
      <c r="K44" s="169" t="s">
        <v>28</v>
      </c>
      <c r="L44" s="172" t="s">
        <v>485</v>
      </c>
      <c r="M44" s="174" t="s">
        <v>486</v>
      </c>
      <c r="N44" s="198" t="s">
        <v>487</v>
      </c>
      <c r="O44" s="180">
        <v>44550</v>
      </c>
      <c r="P44" s="180" t="s">
        <v>460</v>
      </c>
      <c r="Q44" s="172" t="s">
        <v>31</v>
      </c>
      <c r="R44" s="174">
        <v>346267</v>
      </c>
      <c r="S44" s="181">
        <f t="shared" si="0"/>
        <v>34626.700000000004</v>
      </c>
      <c r="T44" s="174">
        <v>0</v>
      </c>
      <c r="U44" s="182">
        <f t="shared" si="1"/>
        <v>311640.3</v>
      </c>
      <c r="V44" s="174">
        <v>346267</v>
      </c>
      <c r="W44" s="183">
        <v>0</v>
      </c>
      <c r="X44" s="183">
        <v>0</v>
      </c>
      <c r="Y44" s="184">
        <v>0</v>
      </c>
      <c r="Z44" s="185">
        <f t="shared" si="2"/>
        <v>0</v>
      </c>
      <c r="AA44" s="172">
        <f t="shared" si="3"/>
        <v>0</v>
      </c>
      <c r="AB44" s="199"/>
    </row>
    <row r="45" spans="1:28" x14ac:dyDescent="0.25">
      <c r="A45" s="169">
        <f t="shared" si="4"/>
        <v>36</v>
      </c>
      <c r="B45" s="170" t="s">
        <v>312</v>
      </c>
      <c r="C45" s="171" t="s">
        <v>313</v>
      </c>
      <c r="D45" s="172">
        <v>64</v>
      </c>
      <c r="E45" s="172" t="s">
        <v>455</v>
      </c>
      <c r="F45" s="174" t="s">
        <v>314</v>
      </c>
      <c r="G45" s="175" t="s">
        <v>298</v>
      </c>
      <c r="H45" s="176" t="s">
        <v>398</v>
      </c>
      <c r="I45" s="191" t="s">
        <v>488</v>
      </c>
      <c r="J45" s="200">
        <v>44550</v>
      </c>
      <c r="K45" s="169" t="s">
        <v>28</v>
      </c>
      <c r="L45" s="172" t="s">
        <v>489</v>
      </c>
      <c r="M45" s="174" t="s">
        <v>490</v>
      </c>
      <c r="N45" s="198" t="s">
        <v>487</v>
      </c>
      <c r="O45" s="180">
        <v>44550</v>
      </c>
      <c r="P45" s="180" t="s">
        <v>460</v>
      </c>
      <c r="Q45" s="172" t="s">
        <v>31</v>
      </c>
      <c r="R45" s="174">
        <v>791467</v>
      </c>
      <c r="S45" s="181">
        <f t="shared" si="0"/>
        <v>79146.700000000012</v>
      </c>
      <c r="T45" s="174">
        <v>0</v>
      </c>
      <c r="U45" s="182">
        <f t="shared" si="1"/>
        <v>712320.3</v>
      </c>
      <c r="V45" s="174">
        <v>791467</v>
      </c>
      <c r="W45" s="183">
        <v>0</v>
      </c>
      <c r="X45" s="183">
        <v>0</v>
      </c>
      <c r="Y45" s="184">
        <v>0</v>
      </c>
      <c r="Z45" s="185">
        <f t="shared" si="2"/>
        <v>0</v>
      </c>
      <c r="AA45" s="172">
        <f t="shared" si="3"/>
        <v>0</v>
      </c>
      <c r="AB45" s="199"/>
    </row>
    <row r="46" spans="1:28" x14ac:dyDescent="0.25">
      <c r="A46" s="169">
        <f t="shared" si="4"/>
        <v>37</v>
      </c>
      <c r="B46" s="170" t="s">
        <v>312</v>
      </c>
      <c r="C46" s="171" t="s">
        <v>313</v>
      </c>
      <c r="D46" s="172">
        <v>130</v>
      </c>
      <c r="E46" s="172" t="s">
        <v>455</v>
      </c>
      <c r="F46" s="174" t="s">
        <v>314</v>
      </c>
      <c r="G46" s="175" t="s">
        <v>298</v>
      </c>
      <c r="H46" s="176" t="s">
        <v>398</v>
      </c>
      <c r="I46" s="191" t="s">
        <v>491</v>
      </c>
      <c r="J46" s="200">
        <v>44550</v>
      </c>
      <c r="K46" s="169" t="s">
        <v>28</v>
      </c>
      <c r="L46" s="201" t="s">
        <v>492</v>
      </c>
      <c r="M46" s="174" t="s">
        <v>493</v>
      </c>
      <c r="N46" s="198" t="s">
        <v>494</v>
      </c>
      <c r="O46" s="180">
        <v>44550</v>
      </c>
      <c r="P46" s="180" t="s">
        <v>460</v>
      </c>
      <c r="Q46" s="172" t="s">
        <v>31</v>
      </c>
      <c r="R46" s="174">
        <v>1607667</v>
      </c>
      <c r="S46" s="181">
        <f t="shared" si="0"/>
        <v>160766.70000000001</v>
      </c>
      <c r="T46" s="174">
        <v>0</v>
      </c>
      <c r="U46" s="182">
        <f t="shared" si="1"/>
        <v>1446900.3</v>
      </c>
      <c r="V46" s="174">
        <v>1607667</v>
      </c>
      <c r="W46" s="183">
        <v>0</v>
      </c>
      <c r="X46" s="183">
        <v>0</v>
      </c>
      <c r="Y46" s="184">
        <v>0</v>
      </c>
      <c r="Z46" s="185">
        <f t="shared" si="2"/>
        <v>0</v>
      </c>
      <c r="AA46" s="172">
        <f t="shared" si="3"/>
        <v>0</v>
      </c>
      <c r="AB46" s="199"/>
    </row>
    <row r="47" spans="1:28" x14ac:dyDescent="0.25">
      <c r="A47" s="169">
        <f t="shared" si="4"/>
        <v>38</v>
      </c>
      <c r="B47" s="170" t="s">
        <v>312</v>
      </c>
      <c r="C47" s="171" t="s">
        <v>313</v>
      </c>
      <c r="D47" s="172">
        <v>60</v>
      </c>
      <c r="E47" s="172" t="s">
        <v>455</v>
      </c>
      <c r="F47" s="174" t="s">
        <v>314</v>
      </c>
      <c r="G47" s="175" t="s">
        <v>298</v>
      </c>
      <c r="H47" s="176" t="s">
        <v>398</v>
      </c>
      <c r="I47" s="191" t="s">
        <v>495</v>
      </c>
      <c r="J47" s="200">
        <v>44477</v>
      </c>
      <c r="K47" s="169" t="s">
        <v>28</v>
      </c>
      <c r="L47" s="201" t="s">
        <v>496</v>
      </c>
      <c r="M47" s="174" t="s">
        <v>497</v>
      </c>
      <c r="N47" s="198" t="s">
        <v>498</v>
      </c>
      <c r="O47" s="200">
        <v>44477</v>
      </c>
      <c r="P47" s="200">
        <v>44841</v>
      </c>
      <c r="Q47" s="172" t="s">
        <v>31</v>
      </c>
      <c r="R47" s="174">
        <v>742000</v>
      </c>
      <c r="S47" s="181">
        <f t="shared" si="0"/>
        <v>74200</v>
      </c>
      <c r="T47" s="174">
        <v>0</v>
      </c>
      <c r="U47" s="182">
        <f t="shared" si="1"/>
        <v>667800</v>
      </c>
      <c r="V47" s="174">
        <v>742000</v>
      </c>
      <c r="W47" s="183">
        <v>0</v>
      </c>
      <c r="X47" s="183">
        <v>0</v>
      </c>
      <c r="Y47" s="184">
        <v>0</v>
      </c>
      <c r="Z47" s="185">
        <f t="shared" si="2"/>
        <v>0</v>
      </c>
      <c r="AA47" s="172">
        <f t="shared" si="3"/>
        <v>0</v>
      </c>
      <c r="AB47" s="199"/>
    </row>
    <row r="48" spans="1:28" x14ac:dyDescent="0.25">
      <c r="A48" s="169">
        <f t="shared" si="4"/>
        <v>39</v>
      </c>
      <c r="B48" s="170" t="s">
        <v>312</v>
      </c>
      <c r="C48" s="171" t="s">
        <v>313</v>
      </c>
      <c r="D48" s="172">
        <v>63</v>
      </c>
      <c r="E48" s="172" t="s">
        <v>455</v>
      </c>
      <c r="F48" s="174" t="s">
        <v>314</v>
      </c>
      <c r="G48" s="175" t="s">
        <v>298</v>
      </c>
      <c r="H48" s="176" t="s">
        <v>398</v>
      </c>
      <c r="I48" s="191" t="s">
        <v>491</v>
      </c>
      <c r="J48" s="200">
        <v>44550</v>
      </c>
      <c r="K48" s="169" t="s">
        <v>28</v>
      </c>
      <c r="L48" s="201" t="s">
        <v>499</v>
      </c>
      <c r="M48" s="174" t="s">
        <v>500</v>
      </c>
      <c r="N48" s="198" t="s">
        <v>501</v>
      </c>
      <c r="O48" s="200">
        <v>44477</v>
      </c>
      <c r="P48" s="200">
        <v>44841</v>
      </c>
      <c r="Q48" s="172" t="s">
        <v>31</v>
      </c>
      <c r="R48" s="174">
        <v>779100</v>
      </c>
      <c r="S48" s="181">
        <f t="shared" si="0"/>
        <v>77910</v>
      </c>
      <c r="T48" s="174">
        <v>0</v>
      </c>
      <c r="U48" s="182">
        <f t="shared" si="1"/>
        <v>701190</v>
      </c>
      <c r="V48" s="174">
        <v>779100</v>
      </c>
      <c r="W48" s="183">
        <v>0</v>
      </c>
      <c r="X48" s="183">
        <v>0</v>
      </c>
      <c r="Y48" s="184">
        <v>0</v>
      </c>
      <c r="Z48" s="185">
        <f t="shared" si="2"/>
        <v>0</v>
      </c>
      <c r="AA48" s="172">
        <f t="shared" si="3"/>
        <v>0</v>
      </c>
      <c r="AB48" s="199"/>
    </row>
    <row r="49" spans="1:28" x14ac:dyDescent="0.25">
      <c r="A49" s="169">
        <f t="shared" si="4"/>
        <v>40</v>
      </c>
      <c r="B49" s="202" t="s">
        <v>312</v>
      </c>
      <c r="C49" s="203" t="s">
        <v>313</v>
      </c>
      <c r="D49" s="204">
        <v>12</v>
      </c>
      <c r="E49" s="204" t="s">
        <v>455</v>
      </c>
      <c r="F49" s="193" t="s">
        <v>314</v>
      </c>
      <c r="G49" s="205" t="s">
        <v>298</v>
      </c>
      <c r="H49" s="206" t="s">
        <v>398</v>
      </c>
      <c r="I49" s="207" t="s">
        <v>502</v>
      </c>
      <c r="J49" s="208">
        <v>44550</v>
      </c>
      <c r="K49" s="209" t="s">
        <v>28</v>
      </c>
      <c r="L49" s="210" t="s">
        <v>503</v>
      </c>
      <c r="M49" s="193" t="s">
        <v>504</v>
      </c>
      <c r="N49" s="211" t="s">
        <v>505</v>
      </c>
      <c r="O49" s="212">
        <v>44550</v>
      </c>
      <c r="P49" s="212" t="s">
        <v>460</v>
      </c>
      <c r="Q49" s="204" t="s">
        <v>31</v>
      </c>
      <c r="R49" s="193">
        <v>148400</v>
      </c>
      <c r="S49" s="213">
        <f t="shared" si="0"/>
        <v>14840</v>
      </c>
      <c r="T49" s="193">
        <v>0</v>
      </c>
      <c r="U49" s="214">
        <f>R49-S49</f>
        <v>133560</v>
      </c>
      <c r="V49" s="193">
        <v>148400</v>
      </c>
      <c r="W49" s="183">
        <v>0</v>
      </c>
      <c r="X49" s="215">
        <v>0</v>
      </c>
      <c r="Y49" s="184">
        <v>0</v>
      </c>
      <c r="Z49" s="185">
        <f t="shared" si="2"/>
        <v>0</v>
      </c>
      <c r="AA49" s="172">
        <f t="shared" si="3"/>
        <v>0</v>
      </c>
      <c r="AB49" s="199"/>
    </row>
    <row r="50" spans="1:28" ht="15.75" customHeight="1" x14ac:dyDescent="0.25">
      <c r="A50" s="216"/>
      <c r="B50" s="846" t="s">
        <v>506</v>
      </c>
      <c r="C50" s="846"/>
      <c r="D50" s="846"/>
      <c r="E50" s="846"/>
      <c r="F50" s="846"/>
      <c r="G50" s="846"/>
      <c r="H50" s="846"/>
      <c r="I50" s="846"/>
      <c r="J50" s="846"/>
      <c r="K50" s="846"/>
      <c r="L50" s="846"/>
      <c r="M50" s="846"/>
      <c r="N50" s="846"/>
      <c r="O50" s="846"/>
      <c r="P50" s="846"/>
      <c r="Q50" s="846"/>
      <c r="R50" s="217">
        <f t="shared" ref="R50:V50" si="5">SUM(R10:R49)</f>
        <v>213843612</v>
      </c>
      <c r="S50" s="217">
        <f t="shared" si="5"/>
        <v>20564488.300000001</v>
      </c>
      <c r="T50" s="217">
        <f t="shared" si="5"/>
        <v>0</v>
      </c>
      <c r="U50" s="217">
        <f t="shared" si="5"/>
        <v>197018113.40000004</v>
      </c>
      <c r="V50" s="217">
        <f t="shared" si="5"/>
        <v>213843612</v>
      </c>
      <c r="W50" s="217">
        <f>SUM(W10:W49)</f>
        <v>0</v>
      </c>
      <c r="X50" s="217">
        <f>SUM(X10:X49)</f>
        <v>0</v>
      </c>
      <c r="Y50" s="217">
        <f>SUM(Y10:Y49)</f>
        <v>0</v>
      </c>
      <c r="Z50" s="218">
        <f>SUM(Z10:Z49)</f>
        <v>0</v>
      </c>
      <c r="AA50" s="218">
        <f>SUM(AA10:AA49)</f>
        <v>0</v>
      </c>
      <c r="AB50" s="219"/>
    </row>
    <row r="51" spans="1:28" x14ac:dyDescent="0.25">
      <c r="A51" s="220"/>
      <c r="B51" s="221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1"/>
      <c r="N51" s="222"/>
      <c r="O51" s="220"/>
      <c r="P51" s="220"/>
      <c r="Q51" s="220"/>
      <c r="R51" s="223"/>
      <c r="S51" s="223"/>
      <c r="T51" s="223"/>
      <c r="U51" s="223"/>
      <c r="V51" s="224" t="e">
        <f>'[1]KPH . . . . . . .'!$M$41</f>
        <v>#REF!</v>
      </c>
      <c r="W51" s="225"/>
      <c r="X51" s="225"/>
      <c r="Y51" s="225" t="s">
        <v>60</v>
      </c>
      <c r="Z51" s="225"/>
      <c r="AA51" s="225" t="s">
        <v>60</v>
      </c>
      <c r="AB51" s="220"/>
    </row>
    <row r="52" spans="1:28" ht="13.5" x14ac:dyDescent="0.25">
      <c r="A52" s="152" t="s">
        <v>39</v>
      </c>
      <c r="O52" s="226"/>
      <c r="P52" s="226"/>
      <c r="R52" s="224" t="s">
        <v>60</v>
      </c>
      <c r="V52" s="227" t="s">
        <v>507</v>
      </c>
      <c r="W52" s="227">
        <v>98698145</v>
      </c>
      <c r="X52" s="190" t="s">
        <v>60</v>
      </c>
      <c r="Y52" s="228" t="s">
        <v>60</v>
      </c>
    </row>
    <row r="53" spans="1:28" ht="13.5" x14ac:dyDescent="0.25">
      <c r="A53" s="152" t="s">
        <v>40</v>
      </c>
      <c r="O53" s="226">
        <v>43532</v>
      </c>
      <c r="P53" s="226">
        <v>44410</v>
      </c>
      <c r="W53" s="229" t="s">
        <v>60</v>
      </c>
    </row>
    <row r="54" spans="1:28" x14ac:dyDescent="0.25">
      <c r="A54" s="152" t="s">
        <v>41</v>
      </c>
      <c r="O54" s="226" t="s">
        <v>348</v>
      </c>
      <c r="P54" s="226">
        <v>44707</v>
      </c>
      <c r="V54" s="228" t="s">
        <v>60</v>
      </c>
      <c r="W54" s="224" t="s">
        <v>60</v>
      </c>
    </row>
    <row r="55" spans="1:28" x14ac:dyDescent="0.25">
      <c r="A55" s="152" t="s">
        <v>42</v>
      </c>
      <c r="O55" s="226"/>
      <c r="P55" s="226"/>
      <c r="W55" s="224" t="s">
        <v>60</v>
      </c>
    </row>
    <row r="56" spans="1:28" x14ac:dyDescent="0.25">
      <c r="A56" s="152" t="s">
        <v>43</v>
      </c>
      <c r="O56" s="226">
        <v>43863</v>
      </c>
      <c r="P56" s="226">
        <v>44595</v>
      </c>
      <c r="W56" s="190" t="s">
        <v>60</v>
      </c>
    </row>
    <row r="57" spans="1:28" x14ac:dyDescent="0.25">
      <c r="A57" s="152" t="s">
        <v>44</v>
      </c>
      <c r="O57" s="226"/>
      <c r="P57" s="226"/>
    </row>
    <row r="58" spans="1:28" x14ac:dyDescent="0.25">
      <c r="A58" s="152" t="s">
        <v>45</v>
      </c>
      <c r="O58" s="226">
        <v>44175</v>
      </c>
      <c r="P58" s="226">
        <v>44845</v>
      </c>
    </row>
    <row r="59" spans="1:28" x14ac:dyDescent="0.25">
      <c r="A59" s="152" t="s">
        <v>46</v>
      </c>
      <c r="O59" s="226"/>
      <c r="P59" s="226"/>
    </row>
    <row r="60" spans="1:28" x14ac:dyDescent="0.25">
      <c r="A60" s="152" t="s">
        <v>47</v>
      </c>
      <c r="O60" s="226"/>
      <c r="P60" s="226"/>
    </row>
    <row r="61" spans="1:28" x14ac:dyDescent="0.25">
      <c r="A61" s="152" t="s">
        <v>48</v>
      </c>
      <c r="O61" s="226" t="s">
        <v>387</v>
      </c>
      <c r="P61" s="226">
        <v>44818</v>
      </c>
    </row>
    <row r="62" spans="1:28" x14ac:dyDescent="0.25">
      <c r="A62" s="152" t="s">
        <v>49</v>
      </c>
      <c r="O62" s="226">
        <v>44111</v>
      </c>
      <c r="P62" s="226">
        <v>44386</v>
      </c>
    </row>
    <row r="63" spans="1:28" x14ac:dyDescent="0.25">
      <c r="A63" s="152" t="s">
        <v>50</v>
      </c>
      <c r="O63" s="226" t="s">
        <v>400</v>
      </c>
      <c r="P63" s="226" t="s">
        <v>404</v>
      </c>
    </row>
    <row r="64" spans="1:28" x14ac:dyDescent="0.25">
      <c r="A64" s="152" t="s">
        <v>51</v>
      </c>
      <c r="O64" s="226" t="s">
        <v>400</v>
      </c>
      <c r="P64" s="226" t="s">
        <v>404</v>
      </c>
    </row>
    <row r="65" spans="1:16" x14ac:dyDescent="0.25">
      <c r="A65" s="152" t="s">
        <v>52</v>
      </c>
      <c r="O65" s="226" t="s">
        <v>400</v>
      </c>
      <c r="P65" s="226" t="s">
        <v>404</v>
      </c>
    </row>
    <row r="66" spans="1:16" x14ac:dyDescent="0.25">
      <c r="A66" s="152" t="s">
        <v>53</v>
      </c>
      <c r="O66" s="226" t="s">
        <v>400</v>
      </c>
      <c r="P66" s="226" t="s">
        <v>404</v>
      </c>
    </row>
    <row r="67" spans="1:16" x14ac:dyDescent="0.25">
      <c r="A67" s="152" t="s">
        <v>54</v>
      </c>
      <c r="O67" s="226" t="s">
        <v>400</v>
      </c>
      <c r="P67" s="226" t="s">
        <v>404</v>
      </c>
    </row>
    <row r="68" spans="1:16" x14ac:dyDescent="0.25">
      <c r="A68" s="152" t="s">
        <v>55</v>
      </c>
      <c r="O68" s="226" t="s">
        <v>400</v>
      </c>
      <c r="P68" s="226" t="s">
        <v>404</v>
      </c>
    </row>
    <row r="69" spans="1:16" x14ac:dyDescent="0.25">
      <c r="A69" s="152" t="s">
        <v>56</v>
      </c>
      <c r="O69" s="226" t="s">
        <v>400</v>
      </c>
      <c r="P69" s="226" t="s">
        <v>404</v>
      </c>
    </row>
    <row r="70" spans="1:16" x14ac:dyDescent="0.25">
      <c r="A70" s="152" t="s">
        <v>57</v>
      </c>
      <c r="O70" s="226" t="s">
        <v>400</v>
      </c>
      <c r="P70" s="226" t="s">
        <v>432</v>
      </c>
    </row>
    <row r="71" spans="1:16" x14ac:dyDescent="0.25">
      <c r="A71" s="152" t="s">
        <v>58</v>
      </c>
      <c r="O71" s="226" t="s">
        <v>400</v>
      </c>
      <c r="P71" s="226" t="s">
        <v>404</v>
      </c>
    </row>
    <row r="72" spans="1:16" x14ac:dyDescent="0.25">
      <c r="A72" s="152" t="s">
        <v>59</v>
      </c>
      <c r="O72" s="226" t="s">
        <v>400</v>
      </c>
      <c r="P72" s="226" t="s">
        <v>404</v>
      </c>
    </row>
    <row r="73" spans="1:16" x14ac:dyDescent="0.25">
      <c r="A73" s="152" t="s">
        <v>60</v>
      </c>
      <c r="O73" s="226" t="s">
        <v>400</v>
      </c>
      <c r="P73" s="226" t="s">
        <v>404</v>
      </c>
    </row>
    <row r="74" spans="1:16" x14ac:dyDescent="0.25">
      <c r="O74" s="226" t="s">
        <v>444</v>
      </c>
      <c r="P74" s="226" t="s">
        <v>448</v>
      </c>
    </row>
    <row r="75" spans="1:16" x14ac:dyDescent="0.25">
      <c r="O75" s="226" t="s">
        <v>451</v>
      </c>
      <c r="P75" s="226" t="s">
        <v>454</v>
      </c>
    </row>
    <row r="76" spans="1:16" x14ac:dyDescent="0.25">
      <c r="O76" s="230"/>
      <c r="P76" s="230"/>
    </row>
  </sheetData>
  <mergeCells count="13">
    <mergeCell ref="B50:Q50"/>
    <mergeCell ref="O6:Q6"/>
    <mergeCell ref="R6:U6"/>
    <mergeCell ref="V6:V7"/>
    <mergeCell ref="W6:AA6"/>
    <mergeCell ref="AB6:AB7"/>
    <mergeCell ref="D8:E8"/>
    <mergeCell ref="A6:A7"/>
    <mergeCell ref="B6:B7"/>
    <mergeCell ref="C6:G6"/>
    <mergeCell ref="H6:H7"/>
    <mergeCell ref="I6:K6"/>
    <mergeCell ref="L6:N6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zoomScale="90" zoomScaleNormal="90" workbookViewId="0">
      <pane xSplit="3" ySplit="8" topLeftCell="K9" activePane="bottomRight" state="frozen"/>
      <selection pane="topRight" activeCell="D1" sqref="D1"/>
      <selection pane="bottomLeft" activeCell="A9" sqref="A9"/>
      <selection pane="bottomRight" activeCell="C20" sqref="C20"/>
    </sheetView>
  </sheetViews>
  <sheetFormatPr defaultRowHeight="15" x14ac:dyDescent="0.25"/>
  <cols>
    <col min="1" max="1" width="4.140625" customWidth="1"/>
    <col min="2" max="2" width="22" customWidth="1"/>
    <col min="3" max="3" width="49.7109375" customWidth="1"/>
    <col min="6" max="6" width="30" customWidth="1"/>
    <col min="18" max="18" width="15.5703125" customWidth="1"/>
    <col min="19" max="19" width="14.42578125" style="463" customWidth="1"/>
    <col min="21" max="21" width="15.7109375" customWidth="1"/>
    <col min="22" max="22" width="15.140625" customWidth="1"/>
    <col min="23" max="27" width="21.140625" customWidth="1"/>
  </cols>
  <sheetData>
    <row r="1" spans="1:23" x14ac:dyDescent="0.25">
      <c r="A1" s="369" t="s">
        <v>719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T1" s="367"/>
      <c r="U1" s="367"/>
      <c r="V1" s="367"/>
      <c r="W1" s="367"/>
    </row>
    <row r="2" spans="1:23" x14ac:dyDescent="0.25">
      <c r="A2" s="857" t="s">
        <v>1066</v>
      </c>
      <c r="B2" s="857"/>
      <c r="C2" s="369" t="s">
        <v>1067</v>
      </c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T2" s="367"/>
      <c r="U2" s="367"/>
      <c r="V2" s="367"/>
      <c r="W2" s="367"/>
    </row>
    <row r="3" spans="1:23" x14ac:dyDescent="0.25">
      <c r="A3" s="857" t="s">
        <v>1030</v>
      </c>
      <c r="B3" s="857"/>
      <c r="C3" s="369" t="s">
        <v>1068</v>
      </c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444"/>
      <c r="S3" s="464"/>
      <c r="T3" s="367"/>
      <c r="U3" s="367"/>
      <c r="V3" s="367"/>
      <c r="W3" s="367"/>
    </row>
    <row r="4" spans="1:23" x14ac:dyDescent="0.25">
      <c r="A4" s="857" t="s">
        <v>1069</v>
      </c>
      <c r="B4" s="857"/>
      <c r="C4" s="369" t="s">
        <v>1070</v>
      </c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371"/>
      <c r="R4" s="367"/>
      <c r="T4" s="367"/>
      <c r="U4" s="367"/>
      <c r="V4" s="367"/>
      <c r="W4" s="367"/>
    </row>
    <row r="5" spans="1:23" ht="15.75" thickBot="1" x14ac:dyDescent="0.3">
      <c r="A5" s="367"/>
      <c r="B5" s="367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T5" s="367"/>
      <c r="U5" s="367"/>
      <c r="V5" s="367"/>
      <c r="W5" s="367"/>
    </row>
    <row r="6" spans="1:23" x14ac:dyDescent="0.25">
      <c r="A6" s="858" t="s">
        <v>2</v>
      </c>
      <c r="B6" s="850" t="s">
        <v>3</v>
      </c>
      <c r="C6" s="854" t="s">
        <v>4</v>
      </c>
      <c r="D6" s="855"/>
      <c r="E6" s="855"/>
      <c r="F6" s="855"/>
      <c r="G6" s="856"/>
      <c r="H6" s="860" t="s">
        <v>5</v>
      </c>
      <c r="I6" s="847" t="s">
        <v>6</v>
      </c>
      <c r="J6" s="848"/>
      <c r="K6" s="849"/>
      <c r="L6" s="854" t="s">
        <v>7</v>
      </c>
      <c r="M6" s="855"/>
      <c r="N6" s="856"/>
      <c r="O6" s="847" t="s">
        <v>8</v>
      </c>
      <c r="P6" s="848"/>
      <c r="Q6" s="849"/>
      <c r="R6" s="854" t="s">
        <v>9</v>
      </c>
      <c r="S6" s="855"/>
      <c r="T6" s="855"/>
      <c r="U6" s="856"/>
      <c r="V6" s="850" t="s">
        <v>61</v>
      </c>
      <c r="W6" s="852" t="s">
        <v>10</v>
      </c>
    </row>
    <row r="7" spans="1:23" ht="45" x14ac:dyDescent="0.25">
      <c r="A7" s="859"/>
      <c r="B7" s="851"/>
      <c r="C7" s="384" t="s">
        <v>11</v>
      </c>
      <c r="D7" s="384" t="s">
        <v>12</v>
      </c>
      <c r="E7" s="385" t="s">
        <v>724</v>
      </c>
      <c r="F7" s="385" t="s">
        <v>14</v>
      </c>
      <c r="G7" s="385" t="s">
        <v>1064</v>
      </c>
      <c r="H7" s="861"/>
      <c r="I7" s="386" t="s">
        <v>16</v>
      </c>
      <c r="J7" s="386" t="s">
        <v>17</v>
      </c>
      <c r="K7" s="387" t="s">
        <v>18</v>
      </c>
      <c r="L7" s="387" t="s">
        <v>19</v>
      </c>
      <c r="M7" s="387" t="s">
        <v>14</v>
      </c>
      <c r="N7" s="387" t="s">
        <v>20</v>
      </c>
      <c r="O7" s="386" t="s">
        <v>21</v>
      </c>
      <c r="P7" s="386" t="s">
        <v>22</v>
      </c>
      <c r="Q7" s="384" t="s">
        <v>23</v>
      </c>
      <c r="R7" s="384" t="s">
        <v>24</v>
      </c>
      <c r="S7" s="384" t="s">
        <v>25</v>
      </c>
      <c r="T7" s="384" t="s">
        <v>26</v>
      </c>
      <c r="U7" s="384" t="s">
        <v>27</v>
      </c>
      <c r="V7" s="851"/>
      <c r="W7" s="853"/>
    </row>
    <row r="8" spans="1:23" x14ac:dyDescent="0.25">
      <c r="A8" s="380" t="s">
        <v>1071</v>
      </c>
      <c r="B8" s="380" t="s">
        <v>1072</v>
      </c>
      <c r="C8" s="380" t="s">
        <v>1073</v>
      </c>
      <c r="D8" s="381" t="s">
        <v>1074</v>
      </c>
      <c r="E8" s="382" t="s">
        <v>1075</v>
      </c>
      <c r="F8" s="380" t="s">
        <v>1076</v>
      </c>
      <c r="G8" s="380" t="s">
        <v>1077</v>
      </c>
      <c r="H8" s="380" t="s">
        <v>1078</v>
      </c>
      <c r="I8" s="383" t="s">
        <v>1079</v>
      </c>
      <c r="J8" s="380" t="s">
        <v>1080</v>
      </c>
      <c r="K8" s="380" t="s">
        <v>1081</v>
      </c>
      <c r="L8" s="380" t="s">
        <v>1082</v>
      </c>
      <c r="M8" s="380" t="s">
        <v>1083</v>
      </c>
      <c r="N8" s="380" t="s">
        <v>1084</v>
      </c>
      <c r="O8" s="380" t="s">
        <v>1085</v>
      </c>
      <c r="P8" s="380" t="s">
        <v>1086</v>
      </c>
      <c r="Q8" s="380" t="s">
        <v>1087</v>
      </c>
      <c r="R8" s="380" t="s">
        <v>1088</v>
      </c>
      <c r="S8" s="380" t="s">
        <v>1089</v>
      </c>
      <c r="T8" s="380" t="s">
        <v>1090</v>
      </c>
      <c r="U8" s="380" t="s">
        <v>1091</v>
      </c>
      <c r="V8" s="380" t="s">
        <v>1092</v>
      </c>
      <c r="W8" s="381" t="s">
        <v>1093</v>
      </c>
    </row>
    <row r="9" spans="1:23" x14ac:dyDescent="0.25">
      <c r="A9" s="399">
        <v>1</v>
      </c>
      <c r="B9" s="412" t="s">
        <v>1068</v>
      </c>
      <c r="C9" s="413" t="s">
        <v>1094</v>
      </c>
      <c r="D9" s="413">
        <v>950</v>
      </c>
      <c r="E9" s="391"/>
      <c r="F9" s="414" t="s">
        <v>1095</v>
      </c>
      <c r="G9" s="415" t="s">
        <v>298</v>
      </c>
      <c r="H9" s="413" t="s">
        <v>1096</v>
      </c>
      <c r="I9" s="413"/>
      <c r="J9" s="416"/>
      <c r="K9" s="389" t="s">
        <v>28</v>
      </c>
      <c r="L9" s="417" t="s">
        <v>1097</v>
      </c>
      <c r="M9" s="388" t="s">
        <v>1098</v>
      </c>
      <c r="N9" s="389" t="s">
        <v>29</v>
      </c>
      <c r="O9" s="416"/>
      <c r="P9" s="416"/>
      <c r="Q9" s="389"/>
      <c r="R9" s="418">
        <f>U9/1.11</f>
        <v>45045045.045045041</v>
      </c>
      <c r="S9" s="456">
        <f>R9*11/100</f>
        <v>4954954.9549549548</v>
      </c>
      <c r="T9" s="372"/>
      <c r="U9" s="372">
        <v>50000000</v>
      </c>
      <c r="V9" s="419">
        <v>150000000</v>
      </c>
      <c r="W9" s="392" t="s">
        <v>1099</v>
      </c>
    </row>
    <row r="10" spans="1:23" x14ac:dyDescent="0.25">
      <c r="A10" s="393">
        <v>2</v>
      </c>
      <c r="B10" s="420" t="s">
        <v>1068</v>
      </c>
      <c r="C10" s="421" t="s">
        <v>1100</v>
      </c>
      <c r="D10" s="422" t="s">
        <v>1101</v>
      </c>
      <c r="E10" s="394"/>
      <c r="F10" s="423" t="s">
        <v>1102</v>
      </c>
      <c r="G10" s="415" t="s">
        <v>298</v>
      </c>
      <c r="H10" s="424" t="s">
        <v>1096</v>
      </c>
      <c r="I10" s="425" t="s">
        <v>1103</v>
      </c>
      <c r="J10" s="416" t="s">
        <v>1104</v>
      </c>
      <c r="K10" s="389" t="s">
        <v>28</v>
      </c>
      <c r="L10" s="417" t="s">
        <v>1105</v>
      </c>
      <c r="M10" s="388" t="s">
        <v>1106</v>
      </c>
      <c r="N10" s="389" t="s">
        <v>29</v>
      </c>
      <c r="O10" s="416" t="s">
        <v>1104</v>
      </c>
      <c r="P10" s="416" t="s">
        <v>1107</v>
      </c>
      <c r="Q10" s="389"/>
      <c r="R10" s="418">
        <f t="shared" ref="R10:R52" si="0">U10/1.11</f>
        <v>0</v>
      </c>
      <c r="S10" s="456">
        <f t="shared" ref="S10:S52" si="1">R10*11/100</f>
        <v>0</v>
      </c>
      <c r="T10" s="373"/>
      <c r="U10" s="373">
        <v>0</v>
      </c>
      <c r="V10" s="426">
        <v>100000000</v>
      </c>
      <c r="W10" s="392"/>
    </row>
    <row r="11" spans="1:23" x14ac:dyDescent="0.25">
      <c r="A11" s="393">
        <v>3</v>
      </c>
      <c r="B11" s="412" t="s">
        <v>1068</v>
      </c>
      <c r="C11" s="424" t="s">
        <v>1108</v>
      </c>
      <c r="D11" s="424">
        <v>12</v>
      </c>
      <c r="E11" s="424">
        <v>12</v>
      </c>
      <c r="F11" s="414" t="s">
        <v>1109</v>
      </c>
      <c r="G11" s="427" t="s">
        <v>1110</v>
      </c>
      <c r="H11" s="424" t="s">
        <v>1111</v>
      </c>
      <c r="I11" s="425" t="s">
        <v>1112</v>
      </c>
      <c r="J11" s="416" t="s">
        <v>1113</v>
      </c>
      <c r="K11" s="389" t="s">
        <v>28</v>
      </c>
      <c r="L11" s="417" t="s">
        <v>1114</v>
      </c>
      <c r="M11" s="388" t="s">
        <v>1115</v>
      </c>
      <c r="N11" s="389" t="s">
        <v>29</v>
      </c>
      <c r="O11" s="416" t="s">
        <v>1113</v>
      </c>
      <c r="P11" s="416" t="s">
        <v>1116</v>
      </c>
      <c r="Q11" s="389"/>
      <c r="R11" s="418">
        <f t="shared" si="0"/>
        <v>9729729.9099099077</v>
      </c>
      <c r="S11" s="456">
        <f t="shared" si="1"/>
        <v>1070270.2900900899</v>
      </c>
      <c r="T11" s="373"/>
      <c r="U11" s="373">
        <v>10800000.199999999</v>
      </c>
      <c r="V11" s="426">
        <v>9818182</v>
      </c>
      <c r="W11" s="392" t="s">
        <v>1117</v>
      </c>
    </row>
    <row r="12" spans="1:23" x14ac:dyDescent="0.25">
      <c r="A12" s="393">
        <v>4</v>
      </c>
      <c r="B12" s="412" t="s">
        <v>1068</v>
      </c>
      <c r="C12" s="424" t="s">
        <v>1118</v>
      </c>
      <c r="D12" s="424">
        <v>130</v>
      </c>
      <c r="E12" s="424">
        <v>130</v>
      </c>
      <c r="F12" s="414" t="s">
        <v>1109</v>
      </c>
      <c r="G12" s="427" t="s">
        <v>1110</v>
      </c>
      <c r="H12" s="424" t="s">
        <v>1119</v>
      </c>
      <c r="I12" s="425" t="s">
        <v>1120</v>
      </c>
      <c r="J12" s="416" t="s">
        <v>300</v>
      </c>
      <c r="K12" s="389" t="s">
        <v>28</v>
      </c>
      <c r="L12" s="417" t="s">
        <v>1121</v>
      </c>
      <c r="M12" s="388" t="s">
        <v>1122</v>
      </c>
      <c r="N12" s="389" t="s">
        <v>29</v>
      </c>
      <c r="O12" s="416" t="s">
        <v>300</v>
      </c>
      <c r="P12" s="416" t="s">
        <v>1123</v>
      </c>
      <c r="Q12" s="389"/>
      <c r="R12" s="418">
        <f t="shared" si="0"/>
        <v>73783783.783783779</v>
      </c>
      <c r="S12" s="456">
        <f t="shared" si="1"/>
        <v>8116216.2162162159</v>
      </c>
      <c r="T12" s="373"/>
      <c r="U12" s="373">
        <v>81900000</v>
      </c>
      <c r="V12" s="426">
        <v>74454545.454545453</v>
      </c>
      <c r="W12" s="392" t="s">
        <v>1117</v>
      </c>
    </row>
    <row r="13" spans="1:23" x14ac:dyDescent="0.25">
      <c r="A13" s="393">
        <v>5</v>
      </c>
      <c r="B13" s="412" t="s">
        <v>1068</v>
      </c>
      <c r="C13" s="428" t="s">
        <v>1124</v>
      </c>
      <c r="D13" s="424">
        <v>51</v>
      </c>
      <c r="E13" s="424">
        <v>51</v>
      </c>
      <c r="F13" s="414" t="s">
        <v>1109</v>
      </c>
      <c r="G13" s="427" t="s">
        <v>1110</v>
      </c>
      <c r="H13" s="424"/>
      <c r="I13" s="425" t="s">
        <v>1125</v>
      </c>
      <c r="J13" s="416" t="s">
        <v>303</v>
      </c>
      <c r="K13" s="389" t="s">
        <v>28</v>
      </c>
      <c r="L13" s="417" t="s">
        <v>1126</v>
      </c>
      <c r="M13" s="388" t="s">
        <v>1127</v>
      </c>
      <c r="N13" s="389" t="s">
        <v>29</v>
      </c>
      <c r="O13" s="416" t="s">
        <v>303</v>
      </c>
      <c r="P13" s="416" t="s">
        <v>304</v>
      </c>
      <c r="Q13" s="389" t="s">
        <v>31</v>
      </c>
      <c r="R13" s="418">
        <f t="shared" si="0"/>
        <v>41351351.351351351</v>
      </c>
      <c r="S13" s="456">
        <f t="shared" si="1"/>
        <v>4548648.6486486485</v>
      </c>
      <c r="T13" s="373"/>
      <c r="U13" s="373">
        <v>45900000</v>
      </c>
      <c r="V13" s="426">
        <v>41727272.727272727</v>
      </c>
      <c r="W13" s="392" t="s">
        <v>1128</v>
      </c>
    </row>
    <row r="14" spans="1:23" x14ac:dyDescent="0.25">
      <c r="A14" s="393">
        <v>6</v>
      </c>
      <c r="B14" s="412" t="s">
        <v>1068</v>
      </c>
      <c r="C14" s="424" t="s">
        <v>1129</v>
      </c>
      <c r="D14" s="424">
        <v>32.799999999999997</v>
      </c>
      <c r="E14" s="424">
        <v>32.799999999999997</v>
      </c>
      <c r="F14" s="414" t="s">
        <v>1109</v>
      </c>
      <c r="G14" s="427" t="s">
        <v>1110</v>
      </c>
      <c r="H14" s="424"/>
      <c r="I14" s="425" t="s">
        <v>1130</v>
      </c>
      <c r="J14" s="416" t="s">
        <v>300</v>
      </c>
      <c r="K14" s="389" t="s">
        <v>28</v>
      </c>
      <c r="L14" s="417" t="s">
        <v>1131</v>
      </c>
      <c r="M14" s="388"/>
      <c r="N14" s="389"/>
      <c r="O14" s="416" t="s">
        <v>300</v>
      </c>
      <c r="P14" s="416" t="s">
        <v>1123</v>
      </c>
      <c r="Q14" s="389"/>
      <c r="R14" s="418">
        <f t="shared" si="0"/>
        <v>26594594.954954952</v>
      </c>
      <c r="S14" s="456">
        <f t="shared" si="1"/>
        <v>2925405.4450450446</v>
      </c>
      <c r="T14" s="373"/>
      <c r="U14" s="373">
        <v>29520000.399999999</v>
      </c>
      <c r="V14" s="426">
        <v>26836364</v>
      </c>
      <c r="W14" s="392" t="s">
        <v>1117</v>
      </c>
    </row>
    <row r="15" spans="1:23" x14ac:dyDescent="0.25">
      <c r="A15" s="393">
        <v>7</v>
      </c>
      <c r="B15" s="412" t="s">
        <v>1068</v>
      </c>
      <c r="C15" s="424" t="s">
        <v>1132</v>
      </c>
      <c r="D15" s="424">
        <v>40</v>
      </c>
      <c r="E15" s="424">
        <v>40</v>
      </c>
      <c r="F15" s="414" t="s">
        <v>1109</v>
      </c>
      <c r="G15" s="427" t="s">
        <v>1110</v>
      </c>
      <c r="H15" s="424" t="s">
        <v>1133</v>
      </c>
      <c r="I15" s="425" t="s">
        <v>1134</v>
      </c>
      <c r="J15" s="416" t="s">
        <v>300</v>
      </c>
      <c r="K15" s="389" t="s">
        <v>28</v>
      </c>
      <c r="L15" s="417" t="s">
        <v>1135</v>
      </c>
      <c r="M15" s="388" t="s">
        <v>1136</v>
      </c>
      <c r="N15" s="389" t="s">
        <v>29</v>
      </c>
      <c r="O15" s="416" t="s">
        <v>300</v>
      </c>
      <c r="P15" s="416" t="s">
        <v>1123</v>
      </c>
      <c r="Q15" s="389"/>
      <c r="R15" s="418">
        <f t="shared" si="0"/>
        <v>32108108.108108107</v>
      </c>
      <c r="S15" s="456">
        <f t="shared" si="1"/>
        <v>3531891.8918918921</v>
      </c>
      <c r="T15" s="373"/>
      <c r="U15" s="373">
        <v>35640000</v>
      </c>
      <c r="V15" s="426">
        <v>32400000</v>
      </c>
      <c r="W15" s="392" t="s">
        <v>1137</v>
      </c>
    </row>
    <row r="16" spans="1:23" x14ac:dyDescent="0.25">
      <c r="A16" s="393">
        <v>8</v>
      </c>
      <c r="B16" s="412" t="s">
        <v>1068</v>
      </c>
      <c r="C16" s="424" t="s">
        <v>1138</v>
      </c>
      <c r="D16" s="424">
        <v>75</v>
      </c>
      <c r="E16" s="424">
        <v>75</v>
      </c>
      <c r="F16" s="414" t="s">
        <v>1109</v>
      </c>
      <c r="G16" s="427" t="s">
        <v>1110</v>
      </c>
      <c r="H16" s="424" t="s">
        <v>1139</v>
      </c>
      <c r="I16" s="425" t="s">
        <v>1140</v>
      </c>
      <c r="J16" s="416" t="s">
        <v>300</v>
      </c>
      <c r="K16" s="389" t="s">
        <v>28</v>
      </c>
      <c r="L16" s="417" t="s">
        <v>1141</v>
      </c>
      <c r="M16" s="388" t="s">
        <v>1142</v>
      </c>
      <c r="N16" s="389" t="s">
        <v>29</v>
      </c>
      <c r="O16" s="416" t="s">
        <v>300</v>
      </c>
      <c r="P16" s="416" t="s">
        <v>1123</v>
      </c>
      <c r="Q16" s="389"/>
      <c r="R16" s="418">
        <f t="shared" si="0"/>
        <v>0</v>
      </c>
      <c r="S16" s="456">
        <f t="shared" si="1"/>
        <v>0</v>
      </c>
      <c r="T16" s="373"/>
      <c r="U16" s="373">
        <v>0</v>
      </c>
      <c r="V16" s="426">
        <v>53181818.18181818</v>
      </c>
      <c r="W16" s="392" t="s">
        <v>1143</v>
      </c>
    </row>
    <row r="17" spans="1:23" x14ac:dyDescent="0.25">
      <c r="A17" s="393">
        <v>9</v>
      </c>
      <c r="B17" s="412" t="s">
        <v>1068</v>
      </c>
      <c r="C17" s="424" t="s">
        <v>1144</v>
      </c>
      <c r="D17" s="424">
        <v>33</v>
      </c>
      <c r="E17" s="424">
        <v>33</v>
      </c>
      <c r="F17" s="414" t="s">
        <v>1109</v>
      </c>
      <c r="G17" s="427" t="s">
        <v>1110</v>
      </c>
      <c r="H17" s="424" t="s">
        <v>1145</v>
      </c>
      <c r="I17" s="425" t="s">
        <v>1146</v>
      </c>
      <c r="J17" s="416" t="s">
        <v>300</v>
      </c>
      <c r="K17" s="389" t="s">
        <v>28</v>
      </c>
      <c r="L17" s="417" t="s">
        <v>1147</v>
      </c>
      <c r="M17" s="388" t="s">
        <v>1148</v>
      </c>
      <c r="N17" s="389" t="s">
        <v>29</v>
      </c>
      <c r="O17" s="416" t="s">
        <v>300</v>
      </c>
      <c r="P17" s="416" t="s">
        <v>1123</v>
      </c>
      <c r="Q17" s="389"/>
      <c r="R17" s="418">
        <f t="shared" si="0"/>
        <v>26756756.756756753</v>
      </c>
      <c r="S17" s="456">
        <f t="shared" si="1"/>
        <v>2943243.2432432426</v>
      </c>
      <c r="T17" s="373"/>
      <c r="U17" s="373">
        <v>29699999.999999996</v>
      </c>
      <c r="V17" s="426">
        <v>26999999.999999996</v>
      </c>
      <c r="W17" s="392"/>
    </row>
    <row r="18" spans="1:23" x14ac:dyDescent="0.25">
      <c r="A18" s="393">
        <v>10</v>
      </c>
      <c r="B18" s="412" t="s">
        <v>1068</v>
      </c>
      <c r="C18" s="424" t="s">
        <v>1149</v>
      </c>
      <c r="D18" s="424">
        <v>110</v>
      </c>
      <c r="E18" s="424">
        <v>110</v>
      </c>
      <c r="F18" s="414" t="s">
        <v>1109</v>
      </c>
      <c r="G18" s="427" t="s">
        <v>1110</v>
      </c>
      <c r="H18" s="424" t="s">
        <v>1150</v>
      </c>
      <c r="I18" s="425" t="s">
        <v>1151</v>
      </c>
      <c r="J18" s="416" t="s">
        <v>300</v>
      </c>
      <c r="K18" s="389" t="s">
        <v>28</v>
      </c>
      <c r="L18" s="417" t="s">
        <v>1152</v>
      </c>
      <c r="M18" s="388" t="s">
        <v>1153</v>
      </c>
      <c r="N18" s="389" t="s">
        <v>29</v>
      </c>
      <c r="O18" s="416" t="s">
        <v>300</v>
      </c>
      <c r="P18" s="416" t="s">
        <v>1123</v>
      </c>
      <c r="Q18" s="389"/>
      <c r="R18" s="418">
        <f t="shared" si="0"/>
        <v>89189189.189189181</v>
      </c>
      <c r="S18" s="456">
        <f t="shared" si="1"/>
        <v>9810810.81081081</v>
      </c>
      <c r="T18" s="373"/>
      <c r="U18" s="373">
        <v>99000000</v>
      </c>
      <c r="V18" s="426">
        <v>90000000</v>
      </c>
      <c r="W18" s="392"/>
    </row>
    <row r="19" spans="1:23" x14ac:dyDescent="0.25">
      <c r="A19" s="393">
        <v>11</v>
      </c>
      <c r="B19" s="412" t="s">
        <v>1068</v>
      </c>
      <c r="C19" s="424" t="s">
        <v>1154</v>
      </c>
      <c r="D19" s="424">
        <v>32</v>
      </c>
      <c r="E19" s="424">
        <v>32</v>
      </c>
      <c r="F19" s="414" t="s">
        <v>1109</v>
      </c>
      <c r="G19" s="427" t="s">
        <v>1110</v>
      </c>
      <c r="H19" s="424" t="s">
        <v>1155</v>
      </c>
      <c r="I19" s="425" t="s">
        <v>1125</v>
      </c>
      <c r="J19" s="416" t="s">
        <v>303</v>
      </c>
      <c r="K19" s="389" t="s">
        <v>28</v>
      </c>
      <c r="L19" s="417" t="s">
        <v>1156</v>
      </c>
      <c r="M19" s="388" t="s">
        <v>1157</v>
      </c>
      <c r="N19" s="389" t="s">
        <v>29</v>
      </c>
      <c r="O19" s="416" t="s">
        <v>303</v>
      </c>
      <c r="P19" s="416" t="s">
        <v>304</v>
      </c>
      <c r="Q19" s="389" t="s">
        <v>31</v>
      </c>
      <c r="R19" s="418">
        <f t="shared" si="0"/>
        <v>25945945.945945945</v>
      </c>
      <c r="S19" s="456">
        <f t="shared" si="1"/>
        <v>2854054.054054054</v>
      </c>
      <c r="T19" s="373"/>
      <c r="U19" s="373">
        <v>28800000</v>
      </c>
      <c r="V19" s="426">
        <v>26181818.18181818</v>
      </c>
      <c r="W19" s="392" t="s">
        <v>1128</v>
      </c>
    </row>
    <row r="20" spans="1:23" x14ac:dyDescent="0.25">
      <c r="A20" s="393">
        <v>12</v>
      </c>
      <c r="B20" s="412" t="s">
        <v>1068</v>
      </c>
      <c r="C20" s="424" t="s">
        <v>1158</v>
      </c>
      <c r="D20" s="424">
        <v>50</v>
      </c>
      <c r="E20" s="424">
        <v>50</v>
      </c>
      <c r="F20" s="414" t="s">
        <v>1109</v>
      </c>
      <c r="G20" s="427" t="s">
        <v>1110</v>
      </c>
      <c r="H20" s="424" t="s">
        <v>1159</v>
      </c>
      <c r="I20" s="425" t="s">
        <v>1160</v>
      </c>
      <c r="J20" s="416" t="s">
        <v>303</v>
      </c>
      <c r="K20" s="389" t="s">
        <v>28</v>
      </c>
      <c r="L20" s="417" t="s">
        <v>1161</v>
      </c>
      <c r="M20" s="388" t="s">
        <v>1162</v>
      </c>
      <c r="N20" s="389" t="s">
        <v>29</v>
      </c>
      <c r="O20" s="416" t="s">
        <v>303</v>
      </c>
      <c r="P20" s="416" t="s">
        <v>304</v>
      </c>
      <c r="Q20" s="389" t="s">
        <v>31</v>
      </c>
      <c r="R20" s="418">
        <f t="shared" si="0"/>
        <v>40540540.540540539</v>
      </c>
      <c r="S20" s="456">
        <f t="shared" si="1"/>
        <v>4459459.4594594594</v>
      </c>
      <c r="T20" s="373"/>
      <c r="U20" s="373">
        <v>45000000</v>
      </c>
      <c r="V20" s="426">
        <v>40909090.909090906</v>
      </c>
      <c r="W20" s="392" t="s">
        <v>1128</v>
      </c>
    </row>
    <row r="21" spans="1:23" x14ac:dyDescent="0.25">
      <c r="A21" s="393">
        <v>13</v>
      </c>
      <c r="B21" s="412" t="s">
        <v>1068</v>
      </c>
      <c r="C21" s="424" t="s">
        <v>1163</v>
      </c>
      <c r="D21" s="424">
        <v>48</v>
      </c>
      <c r="E21" s="424">
        <v>48</v>
      </c>
      <c r="F21" s="414" t="s">
        <v>1109</v>
      </c>
      <c r="G21" s="427" t="s">
        <v>1110</v>
      </c>
      <c r="H21" s="424"/>
      <c r="I21" s="425" t="s">
        <v>1164</v>
      </c>
      <c r="J21" s="429" t="s">
        <v>1165</v>
      </c>
      <c r="K21" s="389" t="s">
        <v>28</v>
      </c>
      <c r="L21" s="417" t="s">
        <v>1166</v>
      </c>
      <c r="M21" s="388" t="s">
        <v>1167</v>
      </c>
      <c r="N21" s="389" t="s">
        <v>29</v>
      </c>
      <c r="O21" s="416" t="s">
        <v>303</v>
      </c>
      <c r="P21" s="416" t="s">
        <v>1168</v>
      </c>
      <c r="Q21" s="389" t="s">
        <v>31</v>
      </c>
      <c r="R21" s="418">
        <f t="shared" si="0"/>
        <v>38918918.918918908</v>
      </c>
      <c r="S21" s="456">
        <f t="shared" si="1"/>
        <v>4281081.0810810803</v>
      </c>
      <c r="T21" s="373"/>
      <c r="U21" s="373">
        <v>43199999.999999993</v>
      </c>
      <c r="V21" s="426">
        <v>39272727.272727266</v>
      </c>
      <c r="W21" s="392" t="s">
        <v>1128</v>
      </c>
    </row>
    <row r="22" spans="1:23" x14ac:dyDescent="0.25">
      <c r="A22" s="393">
        <v>14</v>
      </c>
      <c r="B22" s="412" t="s">
        <v>1068</v>
      </c>
      <c r="C22" s="424" t="s">
        <v>1169</v>
      </c>
      <c r="D22" s="424">
        <v>104</v>
      </c>
      <c r="E22" s="424">
        <v>104</v>
      </c>
      <c r="F22" s="414" t="s">
        <v>1109</v>
      </c>
      <c r="G22" s="427" t="s">
        <v>1110</v>
      </c>
      <c r="H22" s="424"/>
      <c r="I22" s="425" t="s">
        <v>1170</v>
      </c>
      <c r="J22" s="429" t="s">
        <v>1171</v>
      </c>
      <c r="K22" s="389" t="s">
        <v>28</v>
      </c>
      <c r="L22" s="417" t="s">
        <v>1172</v>
      </c>
      <c r="M22" s="430" t="s">
        <v>1173</v>
      </c>
      <c r="N22" s="389"/>
      <c r="O22" s="416" t="s">
        <v>1171</v>
      </c>
      <c r="P22" s="416" t="s">
        <v>1174</v>
      </c>
      <c r="Q22" s="389"/>
      <c r="R22" s="418">
        <f t="shared" si="0"/>
        <v>36036036.036036029</v>
      </c>
      <c r="S22" s="456">
        <f t="shared" si="1"/>
        <v>3963963.9639639636</v>
      </c>
      <c r="T22" s="373"/>
      <c r="U22" s="373">
        <v>39999999.999999993</v>
      </c>
      <c r="V22" s="426">
        <v>36363636.36363636</v>
      </c>
      <c r="W22" s="392" t="s">
        <v>1128</v>
      </c>
    </row>
    <row r="23" spans="1:23" x14ac:dyDescent="0.25">
      <c r="A23" s="393">
        <v>15</v>
      </c>
      <c r="B23" s="412" t="s">
        <v>1068</v>
      </c>
      <c r="C23" s="424" t="s">
        <v>1175</v>
      </c>
      <c r="D23" s="424">
        <v>32</v>
      </c>
      <c r="E23" s="424">
        <v>32</v>
      </c>
      <c r="F23" s="414" t="s">
        <v>1109</v>
      </c>
      <c r="G23" s="427" t="s">
        <v>1110</v>
      </c>
      <c r="H23" s="424" t="s">
        <v>1176</v>
      </c>
      <c r="I23" s="425" t="s">
        <v>1177</v>
      </c>
      <c r="J23" s="395">
        <v>44562</v>
      </c>
      <c r="K23" s="389" t="s">
        <v>28</v>
      </c>
      <c r="L23" s="431" t="s">
        <v>1178</v>
      </c>
      <c r="M23" s="432" t="s">
        <v>1179</v>
      </c>
      <c r="N23" s="389" t="s">
        <v>29</v>
      </c>
      <c r="O23" s="395">
        <v>44562</v>
      </c>
      <c r="P23" s="388" t="s">
        <v>301</v>
      </c>
      <c r="Q23" s="388" t="s">
        <v>30</v>
      </c>
      <c r="R23" s="418">
        <f t="shared" si="0"/>
        <v>25945945.945945945</v>
      </c>
      <c r="S23" s="456">
        <f t="shared" si="1"/>
        <v>2854054.054054054</v>
      </c>
      <c r="T23" s="373"/>
      <c r="U23" s="373">
        <v>28800000</v>
      </c>
      <c r="V23" s="426">
        <v>26181818.18181818</v>
      </c>
      <c r="W23" s="392" t="s">
        <v>1128</v>
      </c>
    </row>
    <row r="24" spans="1:23" x14ac:dyDescent="0.25">
      <c r="A24" s="393">
        <v>16</v>
      </c>
      <c r="B24" s="412" t="s">
        <v>1068</v>
      </c>
      <c r="C24" s="424" t="s">
        <v>1180</v>
      </c>
      <c r="D24" s="424">
        <v>40</v>
      </c>
      <c r="E24" s="424">
        <v>40</v>
      </c>
      <c r="F24" s="414" t="s">
        <v>1109</v>
      </c>
      <c r="G24" s="427" t="s">
        <v>1110</v>
      </c>
      <c r="H24" s="424" t="s">
        <v>1176</v>
      </c>
      <c r="I24" s="425" t="s">
        <v>1181</v>
      </c>
      <c r="J24" s="390" t="s">
        <v>300</v>
      </c>
      <c r="K24" s="389" t="s">
        <v>28</v>
      </c>
      <c r="L24" s="433" t="s">
        <v>1182</v>
      </c>
      <c r="M24" s="432" t="s">
        <v>1183</v>
      </c>
      <c r="N24" s="389" t="s">
        <v>29</v>
      </c>
      <c r="O24" s="434" t="s">
        <v>300</v>
      </c>
      <c r="P24" s="390" t="s">
        <v>1123</v>
      </c>
      <c r="Q24" s="390"/>
      <c r="R24" s="418">
        <f t="shared" si="0"/>
        <v>32432432.432432428</v>
      </c>
      <c r="S24" s="456">
        <f t="shared" si="1"/>
        <v>3567567.5675675673</v>
      </c>
      <c r="T24" s="374"/>
      <c r="U24" s="373">
        <v>36000000</v>
      </c>
      <c r="V24" s="426">
        <v>32727272.727272727</v>
      </c>
      <c r="W24" s="392" t="s">
        <v>1117</v>
      </c>
    </row>
    <row r="25" spans="1:23" x14ac:dyDescent="0.25">
      <c r="A25" s="393">
        <v>17</v>
      </c>
      <c r="B25" s="412" t="s">
        <v>1068</v>
      </c>
      <c r="C25" s="424" t="s">
        <v>1184</v>
      </c>
      <c r="D25" s="424">
        <v>40</v>
      </c>
      <c r="E25" s="424">
        <v>40</v>
      </c>
      <c r="F25" s="414" t="s">
        <v>1109</v>
      </c>
      <c r="G25" s="427" t="s">
        <v>1110</v>
      </c>
      <c r="H25" s="424" t="s">
        <v>1185</v>
      </c>
      <c r="I25" s="425" t="s">
        <v>1186</v>
      </c>
      <c r="J25" s="390" t="s">
        <v>1187</v>
      </c>
      <c r="K25" s="389" t="s">
        <v>28</v>
      </c>
      <c r="L25" s="433" t="s">
        <v>1188</v>
      </c>
      <c r="M25" s="432" t="s">
        <v>1189</v>
      </c>
      <c r="N25" s="389" t="s">
        <v>29</v>
      </c>
      <c r="O25" s="416" t="s">
        <v>1187</v>
      </c>
      <c r="P25" s="416" t="s">
        <v>1190</v>
      </c>
      <c r="Q25" s="390"/>
      <c r="R25" s="418">
        <f t="shared" si="0"/>
        <v>32432432.432432428</v>
      </c>
      <c r="S25" s="456">
        <f t="shared" si="1"/>
        <v>3567567.5675675673</v>
      </c>
      <c r="T25" s="374"/>
      <c r="U25" s="373">
        <v>36000000</v>
      </c>
      <c r="V25" s="426">
        <v>32727272.727272727</v>
      </c>
      <c r="W25" s="392" t="s">
        <v>1143</v>
      </c>
    </row>
    <row r="26" spans="1:23" s="370" customFormat="1" x14ac:dyDescent="0.25">
      <c r="A26" s="393">
        <v>18</v>
      </c>
      <c r="B26" s="412" t="s">
        <v>1068</v>
      </c>
      <c r="C26" s="424" t="s">
        <v>1191</v>
      </c>
      <c r="D26" s="424">
        <v>40</v>
      </c>
      <c r="E26" s="424">
        <v>40</v>
      </c>
      <c r="F26" s="414" t="s">
        <v>1109</v>
      </c>
      <c r="G26" s="427" t="s">
        <v>1110</v>
      </c>
      <c r="H26" s="424" t="s">
        <v>1192</v>
      </c>
      <c r="I26" s="425"/>
      <c r="J26" s="390"/>
      <c r="K26" s="389" t="s">
        <v>28</v>
      </c>
      <c r="L26" s="433" t="s">
        <v>1346</v>
      </c>
      <c r="M26" s="432" t="s">
        <v>1193</v>
      </c>
      <c r="N26" s="389" t="s">
        <v>29</v>
      </c>
      <c r="O26" s="416"/>
      <c r="P26" s="416"/>
      <c r="Q26" s="390"/>
      <c r="R26" s="418">
        <f t="shared" si="0"/>
        <v>56216216.216216207</v>
      </c>
      <c r="S26" s="456">
        <f t="shared" si="1"/>
        <v>6183783.7837837823</v>
      </c>
      <c r="T26" s="374"/>
      <c r="U26" s="373">
        <v>62399999.999999993</v>
      </c>
      <c r="V26" s="426">
        <v>56727272.727272719</v>
      </c>
      <c r="W26" s="392" t="s">
        <v>1194</v>
      </c>
    </row>
    <row r="27" spans="1:23" s="370" customFormat="1" x14ac:dyDescent="0.25">
      <c r="A27" s="393">
        <v>19</v>
      </c>
      <c r="B27" s="412" t="s">
        <v>1068</v>
      </c>
      <c r="C27" s="424" t="s">
        <v>1195</v>
      </c>
      <c r="D27" s="424">
        <v>80</v>
      </c>
      <c r="E27" s="424">
        <v>80</v>
      </c>
      <c r="F27" s="414" t="s">
        <v>1109</v>
      </c>
      <c r="G27" s="427" t="s">
        <v>1110</v>
      </c>
      <c r="H27" s="424" t="s">
        <v>1196</v>
      </c>
      <c r="I27" s="425"/>
      <c r="J27" s="390"/>
      <c r="K27" s="389" t="s">
        <v>28</v>
      </c>
      <c r="L27" s="433" t="s">
        <v>1347</v>
      </c>
      <c r="M27" s="432"/>
      <c r="N27" s="389" t="s">
        <v>29</v>
      </c>
      <c r="O27" s="416"/>
      <c r="P27" s="390"/>
      <c r="Q27" s="390"/>
      <c r="R27" s="418">
        <f t="shared" si="0"/>
        <v>32432432.432432428</v>
      </c>
      <c r="S27" s="456">
        <f t="shared" si="1"/>
        <v>3567567.5675675673</v>
      </c>
      <c r="T27" s="374"/>
      <c r="U27" s="373">
        <v>36000000</v>
      </c>
      <c r="V27" s="426">
        <v>32727272.727272727</v>
      </c>
      <c r="W27" s="392" t="s">
        <v>1194</v>
      </c>
    </row>
    <row r="28" spans="1:23" x14ac:dyDescent="0.25">
      <c r="A28" s="393">
        <v>20</v>
      </c>
      <c r="B28" s="412" t="s">
        <v>1068</v>
      </c>
      <c r="C28" s="424" t="s">
        <v>1197</v>
      </c>
      <c r="D28" s="424">
        <v>40</v>
      </c>
      <c r="E28" s="424">
        <v>40</v>
      </c>
      <c r="F28" s="414" t="s">
        <v>1109</v>
      </c>
      <c r="G28" s="427" t="s">
        <v>1110</v>
      </c>
      <c r="H28" s="424" t="s">
        <v>1198</v>
      </c>
      <c r="I28" s="425" t="s">
        <v>1199</v>
      </c>
      <c r="J28" s="390" t="s">
        <v>300</v>
      </c>
      <c r="K28" s="389" t="s">
        <v>28</v>
      </c>
      <c r="L28" s="433" t="s">
        <v>1200</v>
      </c>
      <c r="M28" s="432" t="s">
        <v>1201</v>
      </c>
      <c r="N28" s="389" t="s">
        <v>29</v>
      </c>
      <c r="O28" s="416" t="s">
        <v>300</v>
      </c>
      <c r="P28" s="416" t="s">
        <v>1123</v>
      </c>
      <c r="Q28" s="390"/>
      <c r="R28" s="418">
        <f t="shared" si="0"/>
        <v>32432432.432432428</v>
      </c>
      <c r="S28" s="456">
        <f t="shared" si="1"/>
        <v>3567567.5675675673</v>
      </c>
      <c r="T28" s="374"/>
      <c r="U28" s="373">
        <v>36000000</v>
      </c>
      <c r="V28" s="426">
        <v>32727272.727272727</v>
      </c>
      <c r="W28" s="392" t="s">
        <v>1117</v>
      </c>
    </row>
    <row r="29" spans="1:23" x14ac:dyDescent="0.25">
      <c r="A29" s="393">
        <v>21</v>
      </c>
      <c r="B29" s="412" t="s">
        <v>1068</v>
      </c>
      <c r="C29" s="424" t="s">
        <v>1202</v>
      </c>
      <c r="D29" s="424">
        <v>120</v>
      </c>
      <c r="E29" s="424">
        <v>120</v>
      </c>
      <c r="F29" s="414" t="s">
        <v>1109</v>
      </c>
      <c r="G29" s="427" t="s">
        <v>1110</v>
      </c>
      <c r="H29" s="424"/>
      <c r="I29" s="425" t="s">
        <v>1203</v>
      </c>
      <c r="J29" s="390" t="s">
        <v>1204</v>
      </c>
      <c r="K29" s="389"/>
      <c r="L29" s="433" t="s">
        <v>1205</v>
      </c>
      <c r="M29" s="432" t="s">
        <v>1206</v>
      </c>
      <c r="N29" s="389"/>
      <c r="O29" s="390" t="s">
        <v>1204</v>
      </c>
      <c r="P29" s="390" t="s">
        <v>1207</v>
      </c>
      <c r="Q29" s="390"/>
      <c r="R29" s="418">
        <f t="shared" si="0"/>
        <v>97297297.297297269</v>
      </c>
      <c r="S29" s="456">
        <f t="shared" si="1"/>
        <v>10702702.702702699</v>
      </c>
      <c r="T29" s="374"/>
      <c r="U29" s="373">
        <v>107999999.99999999</v>
      </c>
      <c r="V29" s="426">
        <v>98181818.181818172</v>
      </c>
      <c r="W29" s="392" t="s">
        <v>1117</v>
      </c>
    </row>
    <row r="30" spans="1:23" x14ac:dyDescent="0.25">
      <c r="A30" s="393">
        <v>22</v>
      </c>
      <c r="B30" s="412" t="s">
        <v>1068</v>
      </c>
      <c r="C30" s="424" t="s">
        <v>1208</v>
      </c>
      <c r="D30" s="424">
        <v>324</v>
      </c>
      <c r="E30" s="424">
        <v>324</v>
      </c>
      <c r="F30" s="414" t="s">
        <v>1109</v>
      </c>
      <c r="G30" s="427" t="s">
        <v>1110</v>
      </c>
      <c r="H30" s="424" t="s">
        <v>60</v>
      </c>
      <c r="I30" s="425" t="s">
        <v>1209</v>
      </c>
      <c r="J30" s="390" t="s">
        <v>1210</v>
      </c>
      <c r="K30" s="389"/>
      <c r="L30" s="433" t="s">
        <v>1211</v>
      </c>
      <c r="M30" s="432" t="s">
        <v>1167</v>
      </c>
      <c r="N30" s="389"/>
      <c r="O30" s="390" t="s">
        <v>1210</v>
      </c>
      <c r="P30" s="390" t="s">
        <v>1212</v>
      </c>
      <c r="Q30" s="390"/>
      <c r="R30" s="418">
        <f t="shared" si="0"/>
        <v>227675675.67567566</v>
      </c>
      <c r="S30" s="456">
        <f t="shared" si="1"/>
        <v>25044324.324324321</v>
      </c>
      <c r="T30" s="374"/>
      <c r="U30" s="373">
        <v>252720000</v>
      </c>
      <c r="V30" s="426">
        <v>229745454.54545453</v>
      </c>
      <c r="W30" s="392" t="s">
        <v>1128</v>
      </c>
    </row>
    <row r="31" spans="1:23" x14ac:dyDescent="0.25">
      <c r="A31" s="393">
        <v>23</v>
      </c>
      <c r="B31" s="412" t="s">
        <v>1068</v>
      </c>
      <c r="C31" s="424" t="s">
        <v>1213</v>
      </c>
      <c r="D31" s="424">
        <v>110</v>
      </c>
      <c r="E31" s="424">
        <v>110</v>
      </c>
      <c r="F31" s="390" t="s">
        <v>1214</v>
      </c>
      <c r="G31" s="427" t="s">
        <v>1110</v>
      </c>
      <c r="H31" s="424" t="s">
        <v>1215</v>
      </c>
      <c r="I31" s="425" t="s">
        <v>1216</v>
      </c>
      <c r="J31" s="390" t="s">
        <v>1217</v>
      </c>
      <c r="K31" s="389" t="s">
        <v>28</v>
      </c>
      <c r="L31" s="433" t="s">
        <v>1218</v>
      </c>
      <c r="M31" s="432" t="s">
        <v>1219</v>
      </c>
      <c r="N31" s="389" t="s">
        <v>29</v>
      </c>
      <c r="O31" s="416" t="s">
        <v>1217</v>
      </c>
      <c r="P31" s="416" t="s">
        <v>1220</v>
      </c>
      <c r="Q31" s="390"/>
      <c r="R31" s="418">
        <f t="shared" si="0"/>
        <v>18018018.018018015</v>
      </c>
      <c r="S31" s="456">
        <f t="shared" si="1"/>
        <v>1981981.9819819818</v>
      </c>
      <c r="T31" s="374"/>
      <c r="U31" s="373">
        <v>19999999.999999996</v>
      </c>
      <c r="V31" s="426">
        <v>18181818.18181818</v>
      </c>
      <c r="W31" s="392" t="s">
        <v>1117</v>
      </c>
    </row>
    <row r="32" spans="1:23" x14ac:dyDescent="0.25">
      <c r="A32" s="393">
        <v>24</v>
      </c>
      <c r="B32" s="412" t="s">
        <v>1068</v>
      </c>
      <c r="C32" s="424" t="s">
        <v>1213</v>
      </c>
      <c r="D32" s="424">
        <v>50</v>
      </c>
      <c r="E32" s="424">
        <v>50</v>
      </c>
      <c r="F32" s="390" t="s">
        <v>1214</v>
      </c>
      <c r="G32" s="427" t="s">
        <v>1110</v>
      </c>
      <c r="H32" s="424" t="s">
        <v>1221</v>
      </c>
      <c r="I32" s="425" t="s">
        <v>1222</v>
      </c>
      <c r="J32" s="390" t="s">
        <v>1223</v>
      </c>
      <c r="K32" s="389" t="s">
        <v>28</v>
      </c>
      <c r="L32" s="433" t="s">
        <v>1224</v>
      </c>
      <c r="M32" s="432" t="s">
        <v>1225</v>
      </c>
      <c r="N32" s="389" t="s">
        <v>29</v>
      </c>
      <c r="O32" s="390" t="s">
        <v>1223</v>
      </c>
      <c r="P32" s="390" t="s">
        <v>1123</v>
      </c>
      <c r="Q32" s="390"/>
      <c r="R32" s="418">
        <f t="shared" si="0"/>
        <v>7927927.9279279253</v>
      </c>
      <c r="S32" s="456">
        <f t="shared" si="1"/>
        <v>872072.07207207172</v>
      </c>
      <c r="T32" s="374"/>
      <c r="U32" s="373">
        <v>8799999.9999999981</v>
      </c>
      <c r="V32" s="426">
        <v>7999999.9999999991</v>
      </c>
      <c r="W32" s="392" t="s">
        <v>1117</v>
      </c>
    </row>
    <row r="33" spans="1:25" x14ac:dyDescent="0.25">
      <c r="A33" s="393">
        <v>25</v>
      </c>
      <c r="B33" s="412" t="s">
        <v>1068</v>
      </c>
      <c r="C33" s="424" t="s">
        <v>1226</v>
      </c>
      <c r="D33" s="424">
        <v>80</v>
      </c>
      <c r="E33" s="424">
        <v>80</v>
      </c>
      <c r="F33" s="390" t="s">
        <v>1214</v>
      </c>
      <c r="G33" s="427" t="s">
        <v>1110</v>
      </c>
      <c r="H33" s="424" t="s">
        <v>1227</v>
      </c>
      <c r="I33" s="425" t="s">
        <v>1228</v>
      </c>
      <c r="J33" s="390" t="s">
        <v>1223</v>
      </c>
      <c r="K33" s="389" t="s">
        <v>28</v>
      </c>
      <c r="L33" s="433" t="s">
        <v>1229</v>
      </c>
      <c r="M33" s="432" t="s">
        <v>1225</v>
      </c>
      <c r="N33" s="389" t="s">
        <v>29</v>
      </c>
      <c r="O33" s="390" t="s">
        <v>1223</v>
      </c>
      <c r="P33" s="390" t="s">
        <v>1123</v>
      </c>
      <c r="Q33" s="390"/>
      <c r="R33" s="418">
        <f t="shared" si="0"/>
        <v>13513513.873873873</v>
      </c>
      <c r="S33" s="456">
        <f t="shared" si="1"/>
        <v>1486486.5261261261</v>
      </c>
      <c r="T33" s="374"/>
      <c r="U33" s="373">
        <v>15000000.4</v>
      </c>
      <c r="V33" s="426">
        <v>13636364</v>
      </c>
      <c r="W33" s="392" t="s">
        <v>1117</v>
      </c>
      <c r="X33" s="367"/>
      <c r="Y33" s="367"/>
    </row>
    <row r="34" spans="1:25" x14ac:dyDescent="0.25">
      <c r="A34" s="393">
        <v>26</v>
      </c>
      <c r="B34" s="412" t="s">
        <v>1068</v>
      </c>
      <c r="C34" s="424" t="s">
        <v>1230</v>
      </c>
      <c r="D34" s="424">
        <v>9</v>
      </c>
      <c r="E34" s="424">
        <v>9</v>
      </c>
      <c r="F34" s="414" t="s">
        <v>1231</v>
      </c>
      <c r="G34" s="427" t="s">
        <v>1110</v>
      </c>
      <c r="H34" s="424" t="s">
        <v>1232</v>
      </c>
      <c r="I34" s="425" t="s">
        <v>1233</v>
      </c>
      <c r="J34" s="390" t="s">
        <v>300</v>
      </c>
      <c r="K34" s="389" t="s">
        <v>28</v>
      </c>
      <c r="L34" s="433" t="s">
        <v>1234</v>
      </c>
      <c r="M34" s="432" t="s">
        <v>1235</v>
      </c>
      <c r="N34" s="389" t="s">
        <v>29</v>
      </c>
      <c r="O34" s="390" t="s">
        <v>300</v>
      </c>
      <c r="P34" s="390" t="s">
        <v>1123</v>
      </c>
      <c r="Q34" s="390"/>
      <c r="R34" s="418">
        <f t="shared" si="0"/>
        <v>4504504.5045045037</v>
      </c>
      <c r="S34" s="456">
        <f t="shared" si="1"/>
        <v>495495.49549549544</v>
      </c>
      <c r="T34" s="374"/>
      <c r="U34" s="373">
        <v>4999999.9999999991</v>
      </c>
      <c r="V34" s="426">
        <v>4545454.5454545449</v>
      </c>
      <c r="W34" s="392" t="s">
        <v>1117</v>
      </c>
      <c r="X34" s="367"/>
      <c r="Y34" s="367"/>
    </row>
    <row r="35" spans="1:25" x14ac:dyDescent="0.25">
      <c r="A35" s="393">
        <v>27</v>
      </c>
      <c r="B35" s="412" t="s">
        <v>1068</v>
      </c>
      <c r="C35" s="424" t="s">
        <v>1236</v>
      </c>
      <c r="D35" s="424">
        <v>1150</v>
      </c>
      <c r="E35" s="396">
        <v>90</v>
      </c>
      <c r="F35" s="390" t="s">
        <v>1237</v>
      </c>
      <c r="G35" s="427" t="s">
        <v>1238</v>
      </c>
      <c r="H35" s="424" t="s">
        <v>1239</v>
      </c>
      <c r="I35" s="425" t="s">
        <v>1240</v>
      </c>
      <c r="J35" s="390" t="s">
        <v>300</v>
      </c>
      <c r="K35" s="389" t="s">
        <v>28</v>
      </c>
      <c r="L35" s="433" t="s">
        <v>1241</v>
      </c>
      <c r="M35" s="432" t="s">
        <v>1242</v>
      </c>
      <c r="N35" s="389" t="s">
        <v>29</v>
      </c>
      <c r="O35" s="390" t="s">
        <v>300</v>
      </c>
      <c r="P35" s="390" t="s">
        <v>1123</v>
      </c>
      <c r="Q35" s="390"/>
      <c r="R35" s="418">
        <f t="shared" si="0"/>
        <v>31531531.531531528</v>
      </c>
      <c r="S35" s="456">
        <f t="shared" si="1"/>
        <v>3468468.4684684682</v>
      </c>
      <c r="T35" s="374"/>
      <c r="U35" s="373">
        <v>35000000</v>
      </c>
      <c r="V35" s="426">
        <v>31818181.818181816</v>
      </c>
      <c r="W35" s="392" t="s">
        <v>1117</v>
      </c>
      <c r="X35" s="367"/>
      <c r="Y35" s="367"/>
    </row>
    <row r="36" spans="1:25" x14ac:dyDescent="0.25">
      <c r="A36" s="393">
        <v>28</v>
      </c>
      <c r="B36" s="412" t="s">
        <v>1068</v>
      </c>
      <c r="C36" s="424" t="s">
        <v>1243</v>
      </c>
      <c r="D36" s="424">
        <v>322.5</v>
      </c>
      <c r="E36" s="396">
        <v>0</v>
      </c>
      <c r="F36" s="390" t="s">
        <v>1244</v>
      </c>
      <c r="G36" s="427" t="s">
        <v>1238</v>
      </c>
      <c r="H36" s="424" t="s">
        <v>657</v>
      </c>
      <c r="I36" s="425" t="s">
        <v>1245</v>
      </c>
      <c r="J36" s="390"/>
      <c r="K36" s="389" t="s">
        <v>28</v>
      </c>
      <c r="L36" s="433" t="s">
        <v>1246</v>
      </c>
      <c r="M36" s="432" t="s">
        <v>1247</v>
      </c>
      <c r="N36" s="389" t="s">
        <v>29</v>
      </c>
      <c r="O36" s="390"/>
      <c r="P36" s="390"/>
      <c r="Q36" s="390"/>
      <c r="R36" s="418">
        <f t="shared" si="0"/>
        <v>48648648.648648635</v>
      </c>
      <c r="S36" s="456">
        <f t="shared" si="1"/>
        <v>5351351.3513513496</v>
      </c>
      <c r="T36" s="374"/>
      <c r="U36" s="373">
        <v>53999999.999999993</v>
      </c>
      <c r="V36" s="426">
        <v>49090909.090909086</v>
      </c>
      <c r="W36" s="392" t="s">
        <v>1128</v>
      </c>
      <c r="X36" s="367"/>
      <c r="Y36" s="367"/>
    </row>
    <row r="37" spans="1:25" x14ac:dyDescent="0.25">
      <c r="A37" s="393">
        <v>29</v>
      </c>
      <c r="B37" s="412" t="s">
        <v>1068</v>
      </c>
      <c r="C37" s="424" t="s">
        <v>1248</v>
      </c>
      <c r="D37" s="424">
        <v>70</v>
      </c>
      <c r="E37" s="397">
        <v>70</v>
      </c>
      <c r="F37" s="390" t="s">
        <v>1249</v>
      </c>
      <c r="G37" s="427" t="s">
        <v>1238</v>
      </c>
      <c r="H37" s="424" t="s">
        <v>1250</v>
      </c>
      <c r="I37" s="425" t="s">
        <v>1251</v>
      </c>
      <c r="J37" s="390" t="s">
        <v>1252</v>
      </c>
      <c r="K37" s="389" t="s">
        <v>28</v>
      </c>
      <c r="L37" s="433" t="s">
        <v>1253</v>
      </c>
      <c r="M37" s="432" t="s">
        <v>1254</v>
      </c>
      <c r="N37" s="389" t="s">
        <v>29</v>
      </c>
      <c r="O37" s="390" t="s">
        <v>1252</v>
      </c>
      <c r="P37" s="434">
        <v>44629</v>
      </c>
      <c r="Q37" s="390"/>
      <c r="R37" s="418">
        <f t="shared" si="0"/>
        <v>17117117.117117114</v>
      </c>
      <c r="S37" s="456">
        <f t="shared" si="1"/>
        <v>1882882.8828828826</v>
      </c>
      <c r="T37" s="374"/>
      <c r="U37" s="373">
        <v>19000000</v>
      </c>
      <c r="V37" s="426">
        <v>0</v>
      </c>
      <c r="W37" s="392" t="s">
        <v>1128</v>
      </c>
      <c r="X37" s="367"/>
      <c r="Y37" s="367"/>
    </row>
    <row r="38" spans="1:25" x14ac:dyDescent="0.25">
      <c r="A38" s="393">
        <v>30</v>
      </c>
      <c r="B38" s="412" t="s">
        <v>1068</v>
      </c>
      <c r="C38" s="424" t="s">
        <v>1255</v>
      </c>
      <c r="D38" s="424">
        <v>1010</v>
      </c>
      <c r="E38" s="396">
        <v>45</v>
      </c>
      <c r="F38" s="390" t="s">
        <v>1256</v>
      </c>
      <c r="G38" s="427">
        <v>7869265</v>
      </c>
      <c r="H38" s="424" t="s">
        <v>683</v>
      </c>
      <c r="I38" s="425" t="s">
        <v>1257</v>
      </c>
      <c r="J38" s="390" t="s">
        <v>1258</v>
      </c>
      <c r="K38" s="389" t="s">
        <v>28</v>
      </c>
      <c r="L38" s="433" t="s">
        <v>1259</v>
      </c>
      <c r="M38" s="432" t="s">
        <v>1260</v>
      </c>
      <c r="N38" s="389" t="s">
        <v>29</v>
      </c>
      <c r="O38" s="416" t="s">
        <v>1258</v>
      </c>
      <c r="P38" s="416" t="s">
        <v>1261</v>
      </c>
      <c r="Q38" s="390"/>
      <c r="R38" s="418">
        <f t="shared" si="0"/>
        <v>81013513.513513505</v>
      </c>
      <c r="S38" s="456">
        <f t="shared" si="1"/>
        <v>8911486.4864864852</v>
      </c>
      <c r="T38" s="374"/>
      <c r="U38" s="373">
        <f>179850000/2</f>
        <v>89925000</v>
      </c>
      <c r="V38" s="426">
        <v>0</v>
      </c>
      <c r="W38" s="392" t="s">
        <v>1128</v>
      </c>
      <c r="X38" s="367"/>
      <c r="Y38" s="367"/>
    </row>
    <row r="39" spans="1:25" x14ac:dyDescent="0.25">
      <c r="A39" s="393">
        <v>31</v>
      </c>
      <c r="B39" s="412" t="s">
        <v>1068</v>
      </c>
      <c r="C39" s="424" t="s">
        <v>1262</v>
      </c>
      <c r="D39" s="424">
        <v>999</v>
      </c>
      <c r="E39" s="396">
        <v>70</v>
      </c>
      <c r="F39" s="390" t="s">
        <v>1263</v>
      </c>
      <c r="G39" s="427" t="s">
        <v>1264</v>
      </c>
      <c r="H39" s="424" t="s">
        <v>1265</v>
      </c>
      <c r="I39" s="425" t="s">
        <v>1266</v>
      </c>
      <c r="J39" s="390" t="s">
        <v>1267</v>
      </c>
      <c r="K39" s="389" t="s">
        <v>28</v>
      </c>
      <c r="L39" s="433" t="s">
        <v>1268</v>
      </c>
      <c r="M39" s="432" t="s">
        <v>1269</v>
      </c>
      <c r="N39" s="389" t="s">
        <v>29</v>
      </c>
      <c r="O39" s="416" t="s">
        <v>1267</v>
      </c>
      <c r="P39" s="416" t="s">
        <v>1270</v>
      </c>
      <c r="Q39" s="390"/>
      <c r="R39" s="418">
        <f t="shared" si="0"/>
        <v>0</v>
      </c>
      <c r="S39" s="456">
        <f t="shared" si="1"/>
        <v>0</v>
      </c>
      <c r="T39" s="374"/>
      <c r="U39" s="373">
        <v>0</v>
      </c>
      <c r="V39" s="426">
        <v>40909090.909090906</v>
      </c>
      <c r="W39" s="392" t="s">
        <v>1143</v>
      </c>
      <c r="X39" s="367"/>
      <c r="Y39" s="367"/>
    </row>
    <row r="40" spans="1:25" x14ac:dyDescent="0.25">
      <c r="A40" s="393">
        <v>32</v>
      </c>
      <c r="B40" s="412" t="s">
        <v>1068</v>
      </c>
      <c r="C40" s="424" t="s">
        <v>1271</v>
      </c>
      <c r="D40" s="424">
        <v>246</v>
      </c>
      <c r="E40" s="396">
        <v>70</v>
      </c>
      <c r="F40" s="390" t="s">
        <v>1272</v>
      </c>
      <c r="G40" s="427" t="s">
        <v>1273</v>
      </c>
      <c r="H40" s="424" t="s">
        <v>1274</v>
      </c>
      <c r="I40" s="425" t="s">
        <v>1275</v>
      </c>
      <c r="J40" s="398" t="s">
        <v>1276</v>
      </c>
      <c r="K40" s="389" t="s">
        <v>28</v>
      </c>
      <c r="L40" s="433" t="s">
        <v>1277</v>
      </c>
      <c r="M40" s="432" t="s">
        <v>1278</v>
      </c>
      <c r="N40" s="389" t="s">
        <v>29</v>
      </c>
      <c r="O40" s="390" t="s">
        <v>1276</v>
      </c>
      <c r="P40" s="390" t="s">
        <v>1279</v>
      </c>
      <c r="Q40" s="390"/>
      <c r="R40" s="418">
        <f t="shared" si="0"/>
        <v>9009009.0090090074</v>
      </c>
      <c r="S40" s="456">
        <f t="shared" si="1"/>
        <v>990990.99099099089</v>
      </c>
      <c r="T40" s="374"/>
      <c r="U40" s="373">
        <v>9999999.9999999981</v>
      </c>
      <c r="V40" s="426">
        <v>9090909.0909090899</v>
      </c>
      <c r="W40" s="392" t="s">
        <v>1128</v>
      </c>
      <c r="X40" s="367"/>
      <c r="Y40" s="367"/>
    </row>
    <row r="41" spans="1:25" x14ac:dyDescent="0.25">
      <c r="A41" s="393">
        <v>33</v>
      </c>
      <c r="B41" s="412" t="s">
        <v>1068</v>
      </c>
      <c r="C41" s="424" t="s">
        <v>1280</v>
      </c>
      <c r="D41" s="424">
        <v>0</v>
      </c>
      <c r="E41" s="396">
        <v>8</v>
      </c>
      <c r="F41" s="390" t="s">
        <v>1263</v>
      </c>
      <c r="G41" s="396" t="s">
        <v>1281</v>
      </c>
      <c r="H41" s="424" t="s">
        <v>1282</v>
      </c>
      <c r="I41" s="425" t="s">
        <v>1283</v>
      </c>
      <c r="J41" s="390" t="s">
        <v>300</v>
      </c>
      <c r="K41" s="389" t="s">
        <v>28</v>
      </c>
      <c r="L41" s="433" t="s">
        <v>1135</v>
      </c>
      <c r="M41" s="388" t="s">
        <v>1142</v>
      </c>
      <c r="N41" s="389" t="s">
        <v>29</v>
      </c>
      <c r="O41" s="390" t="s">
        <v>300</v>
      </c>
      <c r="P41" s="390" t="s">
        <v>1123</v>
      </c>
      <c r="Q41" s="390"/>
      <c r="R41" s="418">
        <f t="shared" si="0"/>
        <v>13873873.873873873</v>
      </c>
      <c r="S41" s="456">
        <f t="shared" si="1"/>
        <v>1526126.1261261262</v>
      </c>
      <c r="T41" s="374"/>
      <c r="U41" s="373">
        <v>15400000</v>
      </c>
      <c r="V41" s="426">
        <v>14000000</v>
      </c>
      <c r="W41" s="392" t="s">
        <v>1128</v>
      </c>
      <c r="X41" s="367"/>
      <c r="Y41" s="370">
        <v>6587838</v>
      </c>
    </row>
    <row r="42" spans="1:25" x14ac:dyDescent="0.25">
      <c r="A42" s="393">
        <v>34</v>
      </c>
      <c r="B42" s="412" t="s">
        <v>1068</v>
      </c>
      <c r="C42" s="424" t="s">
        <v>1284</v>
      </c>
      <c r="D42" s="424">
        <v>4200</v>
      </c>
      <c r="E42" s="396">
        <v>0</v>
      </c>
      <c r="F42" s="390" t="s">
        <v>1285</v>
      </c>
      <c r="G42" s="427" t="s">
        <v>1286</v>
      </c>
      <c r="H42" s="424" t="s">
        <v>1287</v>
      </c>
      <c r="I42" s="425" t="s">
        <v>1288</v>
      </c>
      <c r="J42" s="390" t="s">
        <v>1289</v>
      </c>
      <c r="K42" s="389" t="s">
        <v>28</v>
      </c>
      <c r="L42" s="433" t="s">
        <v>1290</v>
      </c>
      <c r="M42" s="432" t="s">
        <v>1291</v>
      </c>
      <c r="N42" s="389" t="s">
        <v>29</v>
      </c>
      <c r="O42" s="390" t="s">
        <v>1289</v>
      </c>
      <c r="P42" s="390" t="s">
        <v>1292</v>
      </c>
      <c r="Q42" s="390"/>
      <c r="R42" s="418">
        <f t="shared" si="0"/>
        <v>36036036.036036029</v>
      </c>
      <c r="S42" s="456">
        <f t="shared" si="1"/>
        <v>3963963.9639639636</v>
      </c>
      <c r="T42" s="374"/>
      <c r="U42" s="373">
        <v>40000000</v>
      </c>
      <c r="V42" s="426">
        <v>40000000</v>
      </c>
      <c r="W42" s="392" t="s">
        <v>1128</v>
      </c>
      <c r="X42" s="367"/>
      <c r="Y42" s="370">
        <v>724662</v>
      </c>
    </row>
    <row r="43" spans="1:25" x14ac:dyDescent="0.25">
      <c r="A43" s="393">
        <v>35</v>
      </c>
      <c r="B43" s="412" t="s">
        <v>1068</v>
      </c>
      <c r="C43" s="424" t="s">
        <v>1293</v>
      </c>
      <c r="D43" s="424">
        <v>5400</v>
      </c>
      <c r="E43" s="397">
        <v>120</v>
      </c>
      <c r="F43" s="390" t="s">
        <v>1249</v>
      </c>
      <c r="G43" s="427" t="s">
        <v>1294</v>
      </c>
      <c r="H43" s="424" t="s">
        <v>1295</v>
      </c>
      <c r="I43" s="425"/>
      <c r="J43" s="390"/>
      <c r="K43" s="389" t="s">
        <v>28</v>
      </c>
      <c r="L43" s="433"/>
      <c r="M43" s="432"/>
      <c r="N43" s="389" t="s">
        <v>29</v>
      </c>
      <c r="O43" s="390"/>
      <c r="P43" s="390"/>
      <c r="Q43" s="390"/>
      <c r="R43" s="418">
        <f t="shared" si="0"/>
        <v>0</v>
      </c>
      <c r="S43" s="456">
        <f t="shared" si="1"/>
        <v>0</v>
      </c>
      <c r="T43" s="374"/>
      <c r="U43" s="373">
        <v>0</v>
      </c>
      <c r="V43" s="426">
        <v>93459090.636363506</v>
      </c>
      <c r="W43" s="392" t="s">
        <v>1194</v>
      </c>
      <c r="X43" s="367"/>
      <c r="Y43" s="370">
        <v>7312500</v>
      </c>
    </row>
    <row r="44" spans="1:25" x14ac:dyDescent="0.25">
      <c r="A44" s="393">
        <v>36</v>
      </c>
      <c r="B44" s="412" t="s">
        <v>1068</v>
      </c>
      <c r="C44" s="424" t="s">
        <v>1296</v>
      </c>
      <c r="D44" s="424">
        <v>1400</v>
      </c>
      <c r="E44" s="396">
        <v>400</v>
      </c>
      <c r="F44" s="390" t="s">
        <v>1297</v>
      </c>
      <c r="G44" s="396" t="s">
        <v>1298</v>
      </c>
      <c r="H44" s="424" t="s">
        <v>1299</v>
      </c>
      <c r="I44" s="425"/>
      <c r="J44" s="390"/>
      <c r="K44" s="389" t="s">
        <v>28</v>
      </c>
      <c r="L44" s="433" t="s">
        <v>1300</v>
      </c>
      <c r="M44" s="432"/>
      <c r="N44" s="389" t="s">
        <v>29</v>
      </c>
      <c r="O44" s="390"/>
      <c r="P44" s="390"/>
      <c r="Q44" s="390" t="s">
        <v>31</v>
      </c>
      <c r="R44" s="418">
        <f t="shared" si="0"/>
        <v>202702702.70270267</v>
      </c>
      <c r="S44" s="456">
        <f t="shared" si="1"/>
        <v>22297297.297297291</v>
      </c>
      <c r="T44" s="374"/>
      <c r="U44" s="373">
        <v>225000000</v>
      </c>
      <c r="V44" s="426">
        <v>101351352</v>
      </c>
      <c r="W44" s="392"/>
      <c r="X44" s="367"/>
      <c r="Y44" s="367"/>
    </row>
    <row r="45" spans="1:25" x14ac:dyDescent="0.25">
      <c r="A45" s="393">
        <v>37</v>
      </c>
      <c r="B45" s="412" t="s">
        <v>1068</v>
      </c>
      <c r="C45" s="424" t="s">
        <v>1301</v>
      </c>
      <c r="D45" s="424">
        <v>45</v>
      </c>
      <c r="E45" s="396">
        <v>45</v>
      </c>
      <c r="F45" s="390" t="s">
        <v>1237</v>
      </c>
      <c r="G45" s="427" t="s">
        <v>1294</v>
      </c>
      <c r="H45" s="424" t="s">
        <v>1139</v>
      </c>
      <c r="I45" s="425" t="s">
        <v>1302</v>
      </c>
      <c r="J45" s="390" t="s">
        <v>300</v>
      </c>
      <c r="K45" s="389" t="s">
        <v>28</v>
      </c>
      <c r="L45" s="433" t="s">
        <v>1303</v>
      </c>
      <c r="M45" s="388" t="s">
        <v>1304</v>
      </c>
      <c r="N45" s="389" t="s">
        <v>29</v>
      </c>
      <c r="O45" s="390" t="s">
        <v>300</v>
      </c>
      <c r="P45" s="390" t="s">
        <v>1123</v>
      </c>
      <c r="Q45" s="390"/>
      <c r="R45" s="418">
        <f t="shared" si="0"/>
        <v>3603603.6036036033</v>
      </c>
      <c r="S45" s="456">
        <f t="shared" si="1"/>
        <v>396396.39639639639</v>
      </c>
      <c r="T45" s="374"/>
      <c r="U45" s="373">
        <v>4000000</v>
      </c>
      <c r="V45" s="426">
        <v>3636363.6363636362</v>
      </c>
      <c r="W45" s="392" t="s">
        <v>1117</v>
      </c>
      <c r="X45" s="367"/>
      <c r="Y45" s="367"/>
    </row>
    <row r="46" spans="1:25" x14ac:dyDescent="0.25">
      <c r="A46" s="393">
        <v>38</v>
      </c>
      <c r="B46" s="412" t="s">
        <v>1068</v>
      </c>
      <c r="C46" s="424" t="s">
        <v>1305</v>
      </c>
      <c r="D46" s="424">
        <v>70</v>
      </c>
      <c r="E46" s="396">
        <v>70</v>
      </c>
      <c r="F46" s="390" t="s">
        <v>1237</v>
      </c>
      <c r="G46" s="427" t="s">
        <v>1306</v>
      </c>
      <c r="H46" s="424" t="s">
        <v>167</v>
      </c>
      <c r="I46" s="425" t="s">
        <v>1307</v>
      </c>
      <c r="J46" s="390" t="s">
        <v>300</v>
      </c>
      <c r="K46" s="389" t="s">
        <v>28</v>
      </c>
      <c r="L46" s="433" t="s">
        <v>1308</v>
      </c>
      <c r="M46" s="432" t="s">
        <v>1304</v>
      </c>
      <c r="N46" s="389" t="s">
        <v>29</v>
      </c>
      <c r="O46" s="390" t="s">
        <v>300</v>
      </c>
      <c r="P46" s="390" t="s">
        <v>1123</v>
      </c>
      <c r="Q46" s="390"/>
      <c r="R46" s="418">
        <f t="shared" si="0"/>
        <v>8918918.9189189188</v>
      </c>
      <c r="S46" s="456">
        <f t="shared" si="1"/>
        <v>981081.08108108107</v>
      </c>
      <c r="T46" s="374"/>
      <c r="U46" s="373">
        <v>9900000</v>
      </c>
      <c r="V46" s="426">
        <v>9000000</v>
      </c>
      <c r="W46" s="392" t="s">
        <v>1117</v>
      </c>
      <c r="X46" s="367"/>
      <c r="Y46" s="367"/>
    </row>
    <row r="47" spans="1:25" x14ac:dyDescent="0.25">
      <c r="A47" s="393">
        <v>39</v>
      </c>
      <c r="B47" s="412" t="s">
        <v>1068</v>
      </c>
      <c r="C47" s="424" t="s">
        <v>1309</v>
      </c>
      <c r="D47" s="424">
        <v>9</v>
      </c>
      <c r="E47" s="396">
        <v>0</v>
      </c>
      <c r="F47" s="390" t="s">
        <v>1310</v>
      </c>
      <c r="G47" s="427" t="s">
        <v>1311</v>
      </c>
      <c r="H47" s="424" t="s">
        <v>1312</v>
      </c>
      <c r="I47" s="425" t="s">
        <v>1313</v>
      </c>
      <c r="J47" s="434" t="s">
        <v>1314</v>
      </c>
      <c r="K47" s="389" t="s">
        <v>28</v>
      </c>
      <c r="L47" s="433" t="s">
        <v>1315</v>
      </c>
      <c r="M47" s="432" t="s">
        <v>1316</v>
      </c>
      <c r="N47" s="389" t="s">
        <v>29</v>
      </c>
      <c r="O47" s="390" t="s">
        <v>1314</v>
      </c>
      <c r="P47" s="390" t="s">
        <v>1317</v>
      </c>
      <c r="Q47" s="390"/>
      <c r="R47" s="418">
        <f t="shared" si="0"/>
        <v>3153152.9729729723</v>
      </c>
      <c r="S47" s="456">
        <f t="shared" si="1"/>
        <v>346846.82702702691</v>
      </c>
      <c r="T47" s="374"/>
      <c r="U47" s="373">
        <v>3499999.8</v>
      </c>
      <c r="V47" s="426">
        <v>3181818</v>
      </c>
      <c r="W47" s="392" t="s">
        <v>1128</v>
      </c>
      <c r="X47" s="367"/>
      <c r="Y47" s="367"/>
    </row>
    <row r="48" spans="1:25" x14ac:dyDescent="0.25">
      <c r="A48" s="399">
        <v>40</v>
      </c>
      <c r="B48" s="414" t="s">
        <v>1068</v>
      </c>
      <c r="C48" s="435" t="s">
        <v>1318</v>
      </c>
      <c r="D48" s="435">
        <v>1</v>
      </c>
      <c r="E48" s="400">
        <v>1</v>
      </c>
      <c r="F48" s="401" t="s">
        <v>1319</v>
      </c>
      <c r="G48" s="400"/>
      <c r="H48" s="435"/>
      <c r="I48" s="436" t="s">
        <v>1320</v>
      </c>
      <c r="J48" s="434">
        <v>44682</v>
      </c>
      <c r="K48" s="389" t="s">
        <v>28</v>
      </c>
      <c r="L48" s="437" t="s">
        <v>1321</v>
      </c>
      <c r="M48" s="401" t="s">
        <v>1322</v>
      </c>
      <c r="N48" s="389" t="s">
        <v>29</v>
      </c>
      <c r="O48" s="401" t="s">
        <v>1323</v>
      </c>
      <c r="P48" s="401" t="s">
        <v>1324</v>
      </c>
      <c r="Q48" s="401" t="s">
        <v>1325</v>
      </c>
      <c r="R48" s="418">
        <f t="shared" si="0"/>
        <v>34882882.882882878</v>
      </c>
      <c r="S48" s="456">
        <f t="shared" si="1"/>
        <v>3837117.1171171162</v>
      </c>
      <c r="T48" s="375"/>
      <c r="U48" s="373">
        <v>38720000</v>
      </c>
      <c r="V48" s="438">
        <v>0</v>
      </c>
      <c r="W48" s="392" t="s">
        <v>1128</v>
      </c>
      <c r="X48" s="367"/>
      <c r="Y48" s="367"/>
    </row>
    <row r="49" spans="1:30" x14ac:dyDescent="0.25">
      <c r="A49" s="399">
        <v>41</v>
      </c>
      <c r="B49" s="414" t="s">
        <v>1068</v>
      </c>
      <c r="C49" s="435" t="s">
        <v>1318</v>
      </c>
      <c r="D49" s="435">
        <v>1</v>
      </c>
      <c r="E49" s="400">
        <v>1</v>
      </c>
      <c r="F49" s="401" t="s">
        <v>1319</v>
      </c>
      <c r="G49" s="400"/>
      <c r="H49" s="435"/>
      <c r="I49" s="436" t="s">
        <v>1326</v>
      </c>
      <c r="J49" s="439" t="s">
        <v>1327</v>
      </c>
      <c r="K49" s="389" t="s">
        <v>28</v>
      </c>
      <c r="L49" s="437" t="s">
        <v>1328</v>
      </c>
      <c r="M49" s="401" t="s">
        <v>1329</v>
      </c>
      <c r="N49" s="389" t="s">
        <v>29</v>
      </c>
      <c r="O49" s="401" t="s">
        <v>1330</v>
      </c>
      <c r="P49" s="401" t="s">
        <v>1331</v>
      </c>
      <c r="Q49" s="401" t="s">
        <v>1325</v>
      </c>
      <c r="R49" s="418">
        <f t="shared" si="0"/>
        <v>45045045.045045041</v>
      </c>
      <c r="S49" s="456">
        <f t="shared" si="1"/>
        <v>4954954.9549549548</v>
      </c>
      <c r="T49" s="375"/>
      <c r="U49" s="373">
        <v>50000000</v>
      </c>
      <c r="V49" s="438">
        <v>0</v>
      </c>
      <c r="W49" s="392" t="s">
        <v>1128</v>
      </c>
      <c r="X49" s="367"/>
      <c r="Y49" s="367"/>
      <c r="Z49" s="367"/>
      <c r="AA49" s="367"/>
      <c r="AB49" s="367"/>
      <c r="AC49" s="367"/>
      <c r="AD49" s="367"/>
    </row>
    <row r="50" spans="1:30" x14ac:dyDescent="0.25">
      <c r="A50" s="399">
        <v>42</v>
      </c>
      <c r="B50" s="414" t="s">
        <v>1068</v>
      </c>
      <c r="C50" s="435" t="s">
        <v>1332</v>
      </c>
      <c r="D50" s="435">
        <v>8</v>
      </c>
      <c r="E50" s="400">
        <v>0</v>
      </c>
      <c r="F50" s="401" t="s">
        <v>1333</v>
      </c>
      <c r="G50" s="400"/>
      <c r="H50" s="435"/>
      <c r="I50" s="425" t="s">
        <v>1177</v>
      </c>
      <c r="J50" s="439">
        <v>44806</v>
      </c>
      <c r="K50" s="389" t="s">
        <v>28</v>
      </c>
      <c r="L50" s="437" t="s">
        <v>1334</v>
      </c>
      <c r="M50" s="401" t="s">
        <v>1335</v>
      </c>
      <c r="N50" s="389" t="s">
        <v>29</v>
      </c>
      <c r="O50" s="439">
        <v>44806</v>
      </c>
      <c r="P50" s="439">
        <v>45140</v>
      </c>
      <c r="Q50" s="401" t="s">
        <v>1325</v>
      </c>
      <c r="R50" s="418">
        <f t="shared" si="0"/>
        <v>3603603.6036036033</v>
      </c>
      <c r="S50" s="456">
        <f t="shared" si="1"/>
        <v>396396.39639639639</v>
      </c>
      <c r="T50" s="375"/>
      <c r="U50" s="373">
        <v>4000000</v>
      </c>
      <c r="V50" s="438">
        <v>0</v>
      </c>
      <c r="W50" s="392" t="s">
        <v>1128</v>
      </c>
      <c r="X50" s="367"/>
      <c r="Y50" s="367"/>
      <c r="Z50" s="367"/>
      <c r="AA50" s="367"/>
      <c r="AB50" s="367"/>
      <c r="AC50" s="367"/>
      <c r="AD50" s="367"/>
    </row>
    <row r="51" spans="1:30" ht="73.5" customHeight="1" x14ac:dyDescent="0.25">
      <c r="A51" s="402">
        <v>43</v>
      </c>
      <c r="B51" s="445" t="s">
        <v>1068</v>
      </c>
      <c r="C51" s="446" t="s">
        <v>1318</v>
      </c>
      <c r="D51" s="441"/>
      <c r="E51" s="403"/>
      <c r="F51" s="403"/>
      <c r="G51" s="440"/>
      <c r="H51" s="441"/>
      <c r="I51" s="441"/>
      <c r="J51" s="447"/>
      <c r="K51" s="404"/>
      <c r="L51" s="448" t="s">
        <v>1336</v>
      </c>
      <c r="M51" s="449" t="s">
        <v>1337</v>
      </c>
      <c r="N51" s="404"/>
      <c r="O51" s="450" t="s">
        <v>1338</v>
      </c>
      <c r="P51" s="450" t="s">
        <v>1339</v>
      </c>
      <c r="Q51" s="403" t="s">
        <v>1325</v>
      </c>
      <c r="R51" s="451">
        <f t="shared" si="0"/>
        <v>45045045.045045041</v>
      </c>
      <c r="S51" s="456">
        <f t="shared" si="1"/>
        <v>4954954.9549549548</v>
      </c>
      <c r="T51" s="453"/>
      <c r="U51" s="452">
        <v>50000000</v>
      </c>
      <c r="V51" s="454"/>
      <c r="W51" s="457"/>
      <c r="X51" s="458"/>
      <c r="Y51" s="458"/>
      <c r="Z51" s="458"/>
      <c r="AA51" s="458"/>
      <c r="AB51" s="458"/>
      <c r="AC51" s="458"/>
      <c r="AD51" s="458"/>
    </row>
    <row r="52" spans="1:30" s="367" customFormat="1" ht="30" x14ac:dyDescent="0.25">
      <c r="A52" s="460">
        <v>44</v>
      </c>
      <c r="B52" s="445" t="s">
        <v>1068</v>
      </c>
      <c r="C52" s="466" t="s">
        <v>1349</v>
      </c>
      <c r="D52" s="441"/>
      <c r="E52" s="440"/>
      <c r="F52" s="440"/>
      <c r="G52" s="440"/>
      <c r="H52" s="441"/>
      <c r="I52" s="441"/>
      <c r="J52" s="447"/>
      <c r="K52" s="440"/>
      <c r="L52" s="461" t="s">
        <v>1350</v>
      </c>
      <c r="M52" s="449" t="s">
        <v>1351</v>
      </c>
      <c r="N52" s="440" t="s">
        <v>29</v>
      </c>
      <c r="O52" s="447"/>
      <c r="P52" s="447"/>
      <c r="Q52" s="440"/>
      <c r="R52" s="451">
        <f t="shared" si="0"/>
        <v>27027027.027027026</v>
      </c>
      <c r="S52" s="455">
        <f t="shared" si="1"/>
        <v>2972972.9729729728</v>
      </c>
      <c r="T52" s="455"/>
      <c r="U52" s="455">
        <v>30000000</v>
      </c>
      <c r="V52" s="454"/>
      <c r="W52" s="462"/>
      <c r="X52" s="458"/>
      <c r="Y52" s="458"/>
      <c r="Z52" s="458"/>
      <c r="AA52" s="458"/>
      <c r="AB52" s="458"/>
      <c r="AC52" s="458"/>
      <c r="AD52" s="458"/>
    </row>
    <row r="53" spans="1:30" x14ac:dyDescent="0.25">
      <c r="A53" s="405"/>
      <c r="B53" s="406"/>
      <c r="C53" s="442"/>
      <c r="D53" s="407"/>
      <c r="E53" s="407"/>
      <c r="F53" s="408"/>
      <c r="G53" s="408"/>
      <c r="H53" s="443"/>
      <c r="I53" s="408"/>
      <c r="J53" s="408"/>
      <c r="K53" s="408"/>
      <c r="L53" s="408"/>
      <c r="M53" s="409"/>
      <c r="N53" s="407"/>
      <c r="O53" s="408"/>
      <c r="P53" s="408"/>
      <c r="Q53" s="408"/>
      <c r="R53" s="410">
        <v>1733428625.181818</v>
      </c>
      <c r="S53" s="465">
        <v>174356376.03818178</v>
      </c>
      <c r="T53" s="410">
        <v>0</v>
      </c>
      <c r="U53" s="410">
        <v>1907785001.2199998</v>
      </c>
      <c r="V53" s="410">
        <v>1729792261.5454543</v>
      </c>
      <c r="W53" s="411"/>
      <c r="X53" s="367"/>
      <c r="Y53" s="367"/>
      <c r="Z53" s="367"/>
      <c r="AA53" s="367"/>
      <c r="AB53" s="367"/>
      <c r="AC53" s="367"/>
      <c r="AD53" s="367"/>
    </row>
    <row r="54" spans="1:30" x14ac:dyDescent="0.25">
      <c r="A54" s="376"/>
      <c r="B54" s="367"/>
      <c r="C54" s="367"/>
      <c r="D54" s="367"/>
      <c r="E54" s="367"/>
      <c r="F54" s="367"/>
      <c r="G54" s="367"/>
      <c r="H54" s="367"/>
      <c r="I54" s="367"/>
      <c r="J54" s="367"/>
      <c r="K54" s="367"/>
      <c r="L54" s="367"/>
      <c r="M54" s="367"/>
      <c r="N54" s="367"/>
      <c r="O54" s="367"/>
      <c r="P54" s="367"/>
      <c r="Q54" s="367"/>
      <c r="R54" s="367"/>
      <c r="T54" s="367"/>
      <c r="U54" s="367"/>
      <c r="V54" s="367"/>
      <c r="W54" s="377"/>
      <c r="X54" s="367"/>
      <c r="Y54" s="367"/>
      <c r="Z54" s="367"/>
      <c r="AA54" s="367"/>
      <c r="AB54" s="367"/>
      <c r="AC54" s="367"/>
      <c r="AD54" s="367"/>
    </row>
    <row r="55" spans="1:30" x14ac:dyDescent="0.25">
      <c r="A55" s="367"/>
      <c r="B55" s="367"/>
      <c r="C55" s="367"/>
      <c r="D55" s="367"/>
      <c r="E55" s="367"/>
      <c r="F55" s="367"/>
      <c r="G55" s="367"/>
      <c r="H55" s="367"/>
      <c r="I55" s="367"/>
      <c r="J55" s="367"/>
      <c r="K55" s="367"/>
      <c r="L55" s="367"/>
      <c r="M55" s="367"/>
      <c r="N55" s="367"/>
      <c r="O55" s="367"/>
      <c r="P55" s="367"/>
      <c r="Q55" s="367"/>
      <c r="R55" s="367"/>
      <c r="T55" s="367"/>
      <c r="U55" s="367"/>
      <c r="V55" s="367"/>
      <c r="W55" s="378"/>
      <c r="X55" s="367"/>
      <c r="Y55" s="367"/>
      <c r="Z55" s="367"/>
      <c r="AA55" s="367"/>
      <c r="AB55" s="367"/>
      <c r="AC55" s="367"/>
      <c r="AD55" s="367"/>
    </row>
    <row r="56" spans="1:30" x14ac:dyDescent="0.25">
      <c r="A56" s="367"/>
      <c r="B56" s="367"/>
      <c r="C56" s="367"/>
      <c r="D56" s="367"/>
      <c r="E56" s="367"/>
      <c r="F56" s="367"/>
      <c r="G56" s="367"/>
      <c r="H56" s="367"/>
      <c r="I56" s="367"/>
      <c r="J56" s="367"/>
      <c r="K56" s="367"/>
      <c r="L56" s="367"/>
      <c r="M56" s="367"/>
      <c r="N56" s="370" t="s">
        <v>60</v>
      </c>
      <c r="O56" s="367"/>
      <c r="P56" s="367"/>
      <c r="Q56" s="367"/>
      <c r="R56" s="367"/>
      <c r="T56" s="367"/>
      <c r="U56" s="367"/>
      <c r="V56" s="377"/>
      <c r="W56" s="444"/>
      <c r="X56" s="367"/>
      <c r="Y56" s="367"/>
      <c r="Z56" s="367"/>
      <c r="AA56" s="367"/>
      <c r="AB56" s="367"/>
      <c r="AC56" s="367"/>
      <c r="AD56" s="367"/>
    </row>
    <row r="57" spans="1:30" x14ac:dyDescent="0.25">
      <c r="A57" s="370" t="s">
        <v>60</v>
      </c>
      <c r="B57" s="370" t="s">
        <v>1061</v>
      </c>
      <c r="C57" s="367"/>
      <c r="D57" s="367"/>
      <c r="E57" s="367"/>
      <c r="F57" s="367"/>
      <c r="G57" s="367"/>
      <c r="H57" s="367"/>
      <c r="I57" s="367"/>
      <c r="J57" s="367"/>
      <c r="K57" s="367"/>
      <c r="L57" s="370" t="s">
        <v>1061</v>
      </c>
      <c r="M57" s="367"/>
      <c r="N57" s="370" t="s">
        <v>60</v>
      </c>
      <c r="O57" s="367"/>
      <c r="P57" s="367"/>
      <c r="Q57" s="367"/>
      <c r="R57" s="367"/>
      <c r="T57" s="367"/>
      <c r="U57" s="367"/>
      <c r="V57" s="377"/>
      <c r="W57" s="367"/>
      <c r="X57" s="367"/>
      <c r="Y57" s="367"/>
      <c r="Z57" s="367"/>
      <c r="AA57" s="367"/>
      <c r="AB57" s="367"/>
      <c r="AC57" s="367"/>
      <c r="AD57" s="367"/>
    </row>
    <row r="58" spans="1:30" x14ac:dyDescent="0.25">
      <c r="A58" s="370" t="s">
        <v>60</v>
      </c>
      <c r="B58" s="370" t="s">
        <v>1340</v>
      </c>
      <c r="C58" s="367"/>
      <c r="D58" s="367"/>
      <c r="E58" s="367"/>
      <c r="F58" s="367"/>
      <c r="G58" s="367"/>
      <c r="H58" s="367"/>
      <c r="I58" s="367"/>
      <c r="J58" s="367"/>
      <c r="K58" s="367"/>
      <c r="L58" s="370" t="s">
        <v>1341</v>
      </c>
      <c r="M58" s="367"/>
      <c r="N58" s="367"/>
      <c r="O58" s="367"/>
      <c r="P58" s="367"/>
      <c r="Q58" s="367"/>
      <c r="R58" s="367"/>
      <c r="T58" s="367"/>
      <c r="U58" s="377"/>
      <c r="V58" s="377"/>
      <c r="W58" s="367"/>
      <c r="X58" s="367"/>
      <c r="Y58" s="367"/>
      <c r="Z58" s="367"/>
      <c r="AA58" s="367"/>
      <c r="AB58" s="367"/>
      <c r="AC58" s="367"/>
      <c r="AD58" s="367"/>
    </row>
    <row r="59" spans="1:30" x14ac:dyDescent="0.25">
      <c r="A59" s="367"/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7"/>
      <c r="M59" s="367"/>
      <c r="N59" s="367"/>
      <c r="O59" s="367"/>
      <c r="P59" s="367"/>
      <c r="Q59" s="367"/>
      <c r="R59" s="367"/>
      <c r="T59" s="367"/>
      <c r="U59" s="367"/>
      <c r="V59" s="367"/>
      <c r="W59" s="367"/>
      <c r="X59" s="367"/>
      <c r="Y59" s="367"/>
      <c r="Z59" s="367"/>
      <c r="AA59" s="367"/>
      <c r="AB59" s="367"/>
      <c r="AC59" s="367"/>
      <c r="AD59" s="370" t="s">
        <v>60</v>
      </c>
    </row>
    <row r="60" spans="1:30" x14ac:dyDescent="0.25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7"/>
      <c r="N60" s="367"/>
      <c r="O60" s="367"/>
      <c r="P60" s="367"/>
      <c r="Q60" s="367"/>
      <c r="R60" s="367"/>
      <c r="T60" s="367"/>
      <c r="U60" s="367"/>
      <c r="V60" s="367"/>
      <c r="W60" s="367"/>
      <c r="X60" s="367"/>
      <c r="Y60" s="367"/>
      <c r="Z60" s="367"/>
      <c r="AA60" s="367"/>
      <c r="AB60" s="367"/>
      <c r="AC60" s="367"/>
      <c r="AD60" s="370" t="s">
        <v>60</v>
      </c>
    </row>
    <row r="61" spans="1:30" x14ac:dyDescent="0.25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7"/>
      <c r="N61" s="367"/>
      <c r="O61" s="370" t="s">
        <v>60</v>
      </c>
      <c r="P61" s="367"/>
      <c r="Q61" s="367"/>
      <c r="R61" s="367"/>
      <c r="T61" s="367"/>
      <c r="U61" s="367"/>
      <c r="V61" s="367"/>
      <c r="W61" s="367"/>
      <c r="X61" s="367"/>
      <c r="Y61" s="367"/>
      <c r="Z61" s="367"/>
      <c r="AA61" s="367"/>
      <c r="AB61" s="367"/>
      <c r="AC61" s="367"/>
      <c r="AD61" s="370" t="s">
        <v>60</v>
      </c>
    </row>
    <row r="63" spans="1:30" x14ac:dyDescent="0.25">
      <c r="A63" s="370" t="s">
        <v>60</v>
      </c>
      <c r="B63" s="379" t="s">
        <v>1342</v>
      </c>
      <c r="C63" s="367"/>
      <c r="D63" s="367"/>
      <c r="E63" s="367"/>
      <c r="F63" s="367"/>
      <c r="G63" s="367"/>
      <c r="H63" s="367"/>
      <c r="I63" s="367"/>
      <c r="J63" s="367"/>
      <c r="K63" s="367"/>
      <c r="L63" s="379" t="s">
        <v>1343</v>
      </c>
      <c r="M63" s="367"/>
      <c r="N63" s="367"/>
      <c r="O63" s="367"/>
      <c r="P63" s="367"/>
      <c r="Q63" s="367"/>
      <c r="R63" s="367"/>
      <c r="T63" s="367"/>
      <c r="U63" s="367"/>
      <c r="V63" s="367"/>
      <c r="W63" s="367"/>
      <c r="X63" s="367"/>
      <c r="Y63" s="367"/>
      <c r="Z63" s="367"/>
      <c r="AA63" s="367"/>
      <c r="AB63" s="367"/>
      <c r="AC63" s="367"/>
      <c r="AD63" s="367"/>
    </row>
    <row r="64" spans="1:30" x14ac:dyDescent="0.25">
      <c r="A64" s="367"/>
      <c r="B64" s="369" t="s">
        <v>1344</v>
      </c>
      <c r="C64" s="367"/>
      <c r="D64" s="367"/>
      <c r="E64" s="367"/>
      <c r="F64" s="367"/>
      <c r="G64" s="367"/>
      <c r="H64" s="367"/>
      <c r="I64" s="367"/>
      <c r="J64" s="367"/>
      <c r="K64" s="367"/>
      <c r="L64" s="369" t="s">
        <v>1345</v>
      </c>
      <c r="M64" s="367"/>
      <c r="N64" s="367"/>
      <c r="O64" s="367"/>
      <c r="P64" s="367"/>
      <c r="Q64" s="367"/>
      <c r="R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</row>
  </sheetData>
  <mergeCells count="13">
    <mergeCell ref="A3:B3"/>
    <mergeCell ref="A2:B2"/>
    <mergeCell ref="A6:A7"/>
    <mergeCell ref="H6:H7"/>
    <mergeCell ref="B6:B7"/>
    <mergeCell ref="C6:G6"/>
    <mergeCell ref="A4:B4"/>
    <mergeCell ref="I6:K6"/>
    <mergeCell ref="V6:V7"/>
    <mergeCell ref="W6:W7"/>
    <mergeCell ref="R6:U6"/>
    <mergeCell ref="L6:N6"/>
    <mergeCell ref="O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 Gab Awal</vt:lpstr>
      <vt:lpstr>Gab Kor</vt:lpstr>
      <vt:lpstr>Bds</vt:lpstr>
      <vt:lpstr>Btn Kor</vt:lpstr>
      <vt:lpstr>Bgr</vt:lpstr>
      <vt:lpstr>Btn</vt:lpstr>
      <vt:lpstr>Cjr</vt:lpstr>
      <vt:lpstr>Smd</vt:lpstr>
      <vt:lpstr> Bdu awal</vt:lpstr>
      <vt:lpstr>Bdu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ASUS</cp:lastModifiedBy>
  <cp:lastPrinted>2022-09-28T02:01:33Z</cp:lastPrinted>
  <dcterms:created xsi:type="dcterms:W3CDTF">2022-08-25T09:12:45Z</dcterms:created>
  <dcterms:modified xsi:type="dcterms:W3CDTF">2023-05-05T04:34:16Z</dcterms:modified>
</cp:coreProperties>
</file>