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academico\UDEA\2020-1\"/>
    </mc:Choice>
  </mc:AlternateContent>
  <xr:revisionPtr revIDLastSave="0" documentId="13_ncr:1_{0D4309BA-8123-4881-8CF0-70821ACE99F1}" xr6:coauthVersionLast="45" xr6:coauthVersionMax="45" xr10:uidLastSave="{00000000-0000-0000-0000-000000000000}"/>
  <bookViews>
    <workbookView xWindow="-120" yWindow="-120" windowWidth="29040" windowHeight="15840" activeTab="3" xr2:uid="{5626E3CC-76AD-4B48-9AB2-073FCBBF9DB9}"/>
  </bookViews>
  <sheets>
    <sheet name="contratos" sheetId="1" r:id="rId1"/>
    <sheet name="DEMANDA_REAL" sheetId="3" r:id="rId2"/>
    <sheet name="DESPACHO_IDEAL" sheetId="2" r:id="rId3"/>
    <sheet name="LIQUIDACION_GENERAD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4" l="1"/>
  <c r="G16" i="4"/>
  <c r="G17" i="4"/>
  <c r="G18" i="4"/>
  <c r="G19" i="4"/>
  <c r="G20" i="4"/>
  <c r="G21" i="4"/>
  <c r="G22" i="4"/>
  <c r="G23" i="4"/>
  <c r="G24" i="4"/>
  <c r="G14" i="4"/>
  <c r="H15" i="4"/>
  <c r="H16" i="4"/>
  <c r="H17" i="4"/>
  <c r="H18" i="4"/>
  <c r="H19" i="4"/>
  <c r="H20" i="4"/>
  <c r="H21" i="4"/>
  <c r="H22" i="4"/>
  <c r="H23" i="4"/>
  <c r="H24" i="4"/>
  <c r="H14" i="4"/>
  <c r="D15" i="4"/>
  <c r="D16" i="4"/>
  <c r="D17" i="4"/>
  <c r="D18" i="4"/>
  <c r="D19" i="4"/>
  <c r="D20" i="4"/>
  <c r="D21" i="4"/>
  <c r="D22" i="4"/>
  <c r="D23" i="4"/>
  <c r="D24" i="4"/>
  <c r="D14" i="4"/>
  <c r="C24" i="4"/>
  <c r="C15" i="4"/>
  <c r="C16" i="4"/>
  <c r="C17" i="4"/>
  <c r="C18" i="4"/>
  <c r="C19" i="4"/>
  <c r="C20" i="4"/>
  <c r="C21" i="4"/>
  <c r="C22" i="4"/>
  <c r="C23" i="4"/>
  <c r="C14" i="4"/>
  <c r="H2" i="4"/>
  <c r="I2" i="4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G3" i="4"/>
  <c r="G4" i="4"/>
  <c r="G5" i="4"/>
  <c r="G6" i="4"/>
  <c r="G7" i="4"/>
  <c r="G8" i="4"/>
  <c r="G9" i="4"/>
  <c r="G10" i="4"/>
  <c r="G11" i="4"/>
  <c r="G2" i="4"/>
  <c r="D3" i="4"/>
  <c r="D4" i="4"/>
  <c r="D5" i="4"/>
  <c r="D6" i="4"/>
  <c r="D7" i="4"/>
  <c r="D8" i="4"/>
  <c r="D9" i="4"/>
  <c r="D10" i="4"/>
  <c r="D11" i="4"/>
  <c r="D2" i="4"/>
  <c r="C3" i="4"/>
  <c r="C4" i="4"/>
  <c r="C5" i="4"/>
  <c r="C6" i="4"/>
  <c r="C7" i="4"/>
  <c r="C8" i="4"/>
  <c r="C9" i="4"/>
  <c r="C10" i="4"/>
  <c r="C11" i="4"/>
  <c r="C2" i="4"/>
  <c r="F12" i="2"/>
  <c r="F13" i="2" s="1"/>
  <c r="C12" i="2"/>
  <c r="D13" i="3"/>
  <c r="D15" i="3" s="1"/>
  <c r="I24" i="4" l="1"/>
  <c r="I16" i="4"/>
  <c r="I18" i="4"/>
  <c r="I20" i="4"/>
  <c r="I14" i="4"/>
  <c r="I21" i="4"/>
  <c r="I19" i="4"/>
  <c r="I17" i="4"/>
  <c r="I22" i="4"/>
  <c r="I15" i="4"/>
  <c r="I23" i="4" l="1"/>
</calcChain>
</file>

<file path=xl/sharedStrings.xml><?xml version="1.0" encoding="utf-8"?>
<sst xmlns="http://schemas.openxmlformats.org/spreadsheetml/2006/main" count="162" uniqueCount="59">
  <si>
    <t>#</t>
  </si>
  <si>
    <t>Nombre</t>
  </si>
  <si>
    <t>ANDRES FELIPE GARRIDO MÉNDEZ</t>
  </si>
  <si>
    <t>CARLOS EDUARDO SALAZAR VANEGAS</t>
  </si>
  <si>
    <t>CÉSAR AUGUSTO ARAQUE GIRALDO</t>
  </si>
  <si>
    <t>CHRISTIAN EFRAIN CARDONA MORALES</t>
  </si>
  <si>
    <t>CHRISTIAN SMIT CHAVARRÍA CASALLAS</t>
  </si>
  <si>
    <t>DIEGO  RESTREPO OSORIO</t>
  </si>
  <si>
    <t>FABIAN ALBERTO MENDOZA VILLALBA</t>
  </si>
  <si>
    <t>JAVIER ANDRES MENDOZA ROCHA</t>
  </si>
  <si>
    <t>JOHAN STEVEN ARIAS PÉREZ</t>
  </si>
  <si>
    <t>JOHN FERNANDO ARENAS BETANCUR</t>
  </si>
  <si>
    <t>JORGE ANDRÉS TORO CÓRDOBA</t>
  </si>
  <si>
    <t>JUAN ESTEBAN SUAREZ PATINO</t>
  </si>
  <si>
    <t>JUAN MANUEL RIOS FRANCO</t>
  </si>
  <si>
    <t>LUIS MIGUEL TOBÓN JIMÉNEZ</t>
  </si>
  <si>
    <t>SANTIAGO  SUÁREZ ATEHORTÚA</t>
  </si>
  <si>
    <t>SEBASTIAN  GIRALDO ZULUAGA</t>
  </si>
  <si>
    <t>SEBASTIAN  MUNOZ GALLEGO</t>
  </si>
  <si>
    <t>SEBASTIÁN MOISES CHICA MEDRANO</t>
  </si>
  <si>
    <t>SERGIO  PÉREZ CANO</t>
  </si>
  <si>
    <t>WILSON FERNEY OSORIO MARTÍNEZ</t>
  </si>
  <si>
    <t>YOINER  COLORADO RAMOS</t>
  </si>
  <si>
    <t>tipo</t>
  </si>
  <si>
    <t>cantidad</t>
  </si>
  <si>
    <t>precio</t>
  </si>
  <si>
    <t>C1</t>
  </si>
  <si>
    <t>G1</t>
  </si>
  <si>
    <t>G2</t>
  </si>
  <si>
    <t>C2</t>
  </si>
  <si>
    <t>G3</t>
  </si>
  <si>
    <t>C3</t>
  </si>
  <si>
    <t>G4</t>
  </si>
  <si>
    <t>C4</t>
  </si>
  <si>
    <t>G5</t>
  </si>
  <si>
    <t>C5</t>
  </si>
  <si>
    <t>C6</t>
  </si>
  <si>
    <t>G6</t>
  </si>
  <si>
    <t>G7</t>
  </si>
  <si>
    <t>C7</t>
  </si>
  <si>
    <t>G8</t>
  </si>
  <si>
    <t>C8</t>
  </si>
  <si>
    <t>C9</t>
  </si>
  <si>
    <t>G9</t>
  </si>
  <si>
    <t>G10</t>
  </si>
  <si>
    <t>C10</t>
  </si>
  <si>
    <t>DEMANDA_REAL</t>
  </si>
  <si>
    <t>ALEATORIO</t>
  </si>
  <si>
    <t>CONTRATO</t>
  </si>
  <si>
    <t>DEMANDA_ADICIONAL</t>
  </si>
  <si>
    <t>DEMANDA TOTAL</t>
  </si>
  <si>
    <t>JUAN MANUEL RIOS</t>
  </si>
  <si>
    <t>DESPACHO IDEAL</t>
  </si>
  <si>
    <t>PRECIO_CONTRATO</t>
  </si>
  <si>
    <t>GENERACION_IDEAL</t>
  </si>
  <si>
    <t>PRECIO_BOLSA</t>
  </si>
  <si>
    <t>LIQUIDACION_CONTRATO</t>
  </si>
  <si>
    <t>LIQUIDACION_BOLSA</t>
  </si>
  <si>
    <t>LIQUIDACION_TOTAL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</si>
</sst>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2" fontId="0" fillId="0" borderId="0" xfId="0" applyNumberFormat="1"/>
    <xf numFmtId="41" fontId="0" fillId="0" borderId="0" xfId="1" applyFont="1"/>
    <xf numFmtId="0" fontId="0" fillId="0" borderId="0" xfId="0" applyFill="1" applyBorder="1"/>
    <xf numFmtId="41" fontId="0" fillId="0" borderId="0" xfId="0" applyNumberFormat="1"/>
    <xf numFmtId="0" fontId="0" fillId="3" borderId="0" xfId="0" applyFill="1"/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4BC3-52EF-4124-9A00-FB3085475E54}">
  <dimension ref="A1:E22"/>
  <sheetViews>
    <sheetView workbookViewId="0">
      <selection activeCell="B2" sqref="B2:C12"/>
    </sheetView>
  </sheetViews>
  <sheetFormatPr baseColWidth="10" defaultRowHeight="15" x14ac:dyDescent="0.25"/>
  <cols>
    <col min="1" max="1" width="3" bestFit="1" customWidth="1"/>
    <col min="2" max="2" width="36.140625" bestFit="1" customWidth="1"/>
  </cols>
  <sheetData>
    <row r="1" spans="1:5" x14ac:dyDescent="0.25">
      <c r="A1" s="1" t="s">
        <v>0</v>
      </c>
      <c r="B1" s="2" t="s">
        <v>1</v>
      </c>
      <c r="C1" s="2" t="s">
        <v>23</v>
      </c>
      <c r="D1" s="7" t="s">
        <v>24</v>
      </c>
      <c r="E1" s="7" t="s">
        <v>25</v>
      </c>
    </row>
    <row r="2" spans="1:5" x14ac:dyDescent="0.25">
      <c r="A2" s="3">
        <v>1</v>
      </c>
      <c r="B2" s="4" t="s">
        <v>2</v>
      </c>
      <c r="C2" s="6" t="s">
        <v>26</v>
      </c>
      <c r="D2">
        <v>5</v>
      </c>
      <c r="E2">
        <v>90000</v>
      </c>
    </row>
    <row r="3" spans="1:5" x14ac:dyDescent="0.25">
      <c r="A3" s="3">
        <v>18</v>
      </c>
      <c r="B3" s="4" t="s">
        <v>18</v>
      </c>
      <c r="C3" s="6" t="s">
        <v>45</v>
      </c>
      <c r="D3">
        <v>350</v>
      </c>
      <c r="E3">
        <v>150000</v>
      </c>
    </row>
    <row r="4" spans="1:5" x14ac:dyDescent="0.25">
      <c r="A4" s="3">
        <v>3</v>
      </c>
      <c r="B4" s="4" t="s">
        <v>4</v>
      </c>
      <c r="C4" s="6" t="s">
        <v>29</v>
      </c>
      <c r="D4">
        <v>200</v>
      </c>
      <c r="E4">
        <v>145000</v>
      </c>
    </row>
    <row r="5" spans="1:5" x14ac:dyDescent="0.25">
      <c r="A5" s="3">
        <v>6</v>
      </c>
      <c r="B5" s="4" t="s">
        <v>7</v>
      </c>
      <c r="C5" s="6" t="s">
        <v>29</v>
      </c>
      <c r="D5">
        <v>420</v>
      </c>
      <c r="E5">
        <v>120000</v>
      </c>
    </row>
    <row r="6" spans="1:5" x14ac:dyDescent="0.25">
      <c r="A6" s="3">
        <v>19</v>
      </c>
      <c r="B6" s="4" t="s">
        <v>19</v>
      </c>
      <c r="C6" s="6" t="s">
        <v>31</v>
      </c>
      <c r="D6">
        <v>450</v>
      </c>
      <c r="E6">
        <v>145000</v>
      </c>
    </row>
    <row r="7" spans="1:5" x14ac:dyDescent="0.25">
      <c r="A7" s="3">
        <v>9</v>
      </c>
      <c r="B7" s="4" t="s">
        <v>10</v>
      </c>
      <c r="C7" s="6" t="s">
        <v>33</v>
      </c>
      <c r="D7">
        <v>480</v>
      </c>
      <c r="E7">
        <v>180000</v>
      </c>
    </row>
    <row r="8" spans="1:5" x14ac:dyDescent="0.25">
      <c r="A8" s="3">
        <v>22</v>
      </c>
      <c r="B8" s="4" t="s">
        <v>22</v>
      </c>
      <c r="C8" s="6" t="s">
        <v>35</v>
      </c>
      <c r="D8">
        <v>150</v>
      </c>
      <c r="E8">
        <v>175000</v>
      </c>
    </row>
    <row r="9" spans="1:5" x14ac:dyDescent="0.25">
      <c r="A9" s="3">
        <v>8</v>
      </c>
      <c r="B9" s="4" t="s">
        <v>9</v>
      </c>
      <c r="C9" s="6" t="s">
        <v>36</v>
      </c>
      <c r="D9">
        <v>380</v>
      </c>
      <c r="E9">
        <v>180000</v>
      </c>
    </row>
    <row r="10" spans="1:5" x14ac:dyDescent="0.25">
      <c r="A10" s="3">
        <v>15</v>
      </c>
      <c r="B10" s="4" t="s">
        <v>15</v>
      </c>
      <c r="C10" s="6" t="s">
        <v>39</v>
      </c>
      <c r="D10">
        <v>250</v>
      </c>
      <c r="E10">
        <v>150000</v>
      </c>
    </row>
    <row r="11" spans="1:5" x14ac:dyDescent="0.25">
      <c r="A11" s="3">
        <v>16</v>
      </c>
      <c r="B11" s="4" t="s">
        <v>16</v>
      </c>
      <c r="C11" s="6" t="s">
        <v>41</v>
      </c>
      <c r="D11">
        <v>250</v>
      </c>
      <c r="E11">
        <v>175000</v>
      </c>
    </row>
    <row r="12" spans="1:5" x14ac:dyDescent="0.25">
      <c r="A12" s="3">
        <v>12</v>
      </c>
      <c r="B12" s="4" t="s">
        <v>13</v>
      </c>
      <c r="C12" s="6" t="s">
        <v>42</v>
      </c>
      <c r="D12">
        <v>300</v>
      </c>
      <c r="E12">
        <v>215000</v>
      </c>
    </row>
    <row r="13" spans="1:5" x14ac:dyDescent="0.25">
      <c r="A13" s="3">
        <v>14</v>
      </c>
      <c r="B13" s="4" t="s">
        <v>14</v>
      </c>
      <c r="C13" s="6" t="s">
        <v>27</v>
      </c>
      <c r="D13">
        <v>5</v>
      </c>
      <c r="E13">
        <v>90000</v>
      </c>
    </row>
    <row r="14" spans="1:5" x14ac:dyDescent="0.25">
      <c r="A14" s="3">
        <v>17</v>
      </c>
      <c r="B14" s="4" t="s">
        <v>17</v>
      </c>
      <c r="C14" s="6" t="s">
        <v>44</v>
      </c>
      <c r="D14">
        <v>350</v>
      </c>
      <c r="E14">
        <v>150000</v>
      </c>
    </row>
    <row r="15" spans="1:5" x14ac:dyDescent="0.25">
      <c r="A15" s="3">
        <v>2</v>
      </c>
      <c r="B15" s="4" t="s">
        <v>3</v>
      </c>
      <c r="C15" s="6" t="s">
        <v>28</v>
      </c>
      <c r="D15">
        <v>620</v>
      </c>
      <c r="E15">
        <v>132500</v>
      </c>
    </row>
    <row r="16" spans="1:5" x14ac:dyDescent="0.25">
      <c r="A16" s="3">
        <v>4</v>
      </c>
      <c r="B16" s="4" t="s">
        <v>5</v>
      </c>
      <c r="C16" s="6" t="s">
        <v>30</v>
      </c>
      <c r="D16">
        <v>450</v>
      </c>
      <c r="E16">
        <v>145000</v>
      </c>
    </row>
    <row r="17" spans="1:5" x14ac:dyDescent="0.25">
      <c r="A17" s="3">
        <v>5</v>
      </c>
      <c r="B17" s="4" t="s">
        <v>6</v>
      </c>
      <c r="C17" s="6" t="s">
        <v>32</v>
      </c>
      <c r="D17">
        <v>480</v>
      </c>
      <c r="E17">
        <v>180000</v>
      </c>
    </row>
    <row r="18" spans="1:5" x14ac:dyDescent="0.25">
      <c r="A18" s="3">
        <v>7</v>
      </c>
      <c r="B18" s="4" t="s">
        <v>8</v>
      </c>
      <c r="C18" s="6" t="s">
        <v>34</v>
      </c>
      <c r="D18">
        <v>150</v>
      </c>
      <c r="E18">
        <v>175000</v>
      </c>
    </row>
    <row r="19" spans="1:5" x14ac:dyDescent="0.25">
      <c r="A19" s="3">
        <v>21</v>
      </c>
      <c r="B19" s="4" t="s">
        <v>21</v>
      </c>
      <c r="C19" s="6" t="s">
        <v>37</v>
      </c>
      <c r="D19">
        <v>380</v>
      </c>
      <c r="E19">
        <v>180000</v>
      </c>
    </row>
    <row r="20" spans="1:5" x14ac:dyDescent="0.25">
      <c r="A20" s="3">
        <v>10</v>
      </c>
      <c r="B20" s="4" t="s">
        <v>11</v>
      </c>
      <c r="C20" s="6" t="s">
        <v>38</v>
      </c>
      <c r="D20">
        <v>250</v>
      </c>
      <c r="E20">
        <v>150000</v>
      </c>
    </row>
    <row r="21" spans="1:5" x14ac:dyDescent="0.25">
      <c r="A21" s="3">
        <v>11</v>
      </c>
      <c r="B21" s="4" t="s">
        <v>12</v>
      </c>
      <c r="C21" s="6" t="s">
        <v>40</v>
      </c>
      <c r="D21">
        <v>250</v>
      </c>
      <c r="E21">
        <v>175000</v>
      </c>
    </row>
    <row r="22" spans="1:5" x14ac:dyDescent="0.25">
      <c r="A22" s="3">
        <v>20</v>
      </c>
      <c r="B22" s="5" t="s">
        <v>20</v>
      </c>
      <c r="C22" s="6" t="s">
        <v>43</v>
      </c>
      <c r="D22">
        <v>300</v>
      </c>
      <c r="E22">
        <v>215000</v>
      </c>
    </row>
  </sheetData>
  <sortState xmlns:xlrd2="http://schemas.microsoft.com/office/spreadsheetml/2017/richdata2" ref="A2:E22">
    <sortCondition ref="C2:C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484B-CCA5-488D-9576-F926DD2A71C9}">
  <dimension ref="A1:D15"/>
  <sheetViews>
    <sheetView zoomScale="170" zoomScaleNormal="170" workbookViewId="0">
      <selection activeCell="D2" sqref="D2:D12"/>
    </sheetView>
  </sheetViews>
  <sheetFormatPr baseColWidth="10" defaultRowHeight="15" x14ac:dyDescent="0.25"/>
  <cols>
    <col min="1" max="1" width="34" bestFit="1" customWidth="1"/>
    <col min="3" max="3" width="19" customWidth="1"/>
    <col min="4" max="4" width="15.7109375" bestFit="1" customWidth="1"/>
  </cols>
  <sheetData>
    <row r="1" spans="1:4" x14ac:dyDescent="0.25">
      <c r="A1" s="2" t="s">
        <v>1</v>
      </c>
      <c r="B1" s="2" t="s">
        <v>23</v>
      </c>
      <c r="C1" s="7" t="s">
        <v>48</v>
      </c>
      <c r="D1" s="7" t="s">
        <v>46</v>
      </c>
    </row>
    <row r="2" spans="1:4" x14ac:dyDescent="0.25">
      <c r="A2" s="4" t="s">
        <v>2</v>
      </c>
      <c r="B2" s="6" t="s">
        <v>26</v>
      </c>
      <c r="C2">
        <v>5</v>
      </c>
      <c r="D2" s="8">
        <v>6</v>
      </c>
    </row>
    <row r="3" spans="1:4" x14ac:dyDescent="0.25">
      <c r="A3" s="4" t="s">
        <v>18</v>
      </c>
      <c r="B3" s="6" t="s">
        <v>45</v>
      </c>
      <c r="C3">
        <v>350</v>
      </c>
      <c r="D3" s="8">
        <v>377</v>
      </c>
    </row>
    <row r="4" spans="1:4" x14ac:dyDescent="0.25">
      <c r="A4" s="4" t="s">
        <v>4</v>
      </c>
      <c r="B4" s="6" t="s">
        <v>29</v>
      </c>
      <c r="C4">
        <v>200</v>
      </c>
      <c r="D4" s="8">
        <v>210</v>
      </c>
    </row>
    <row r="5" spans="1:4" x14ac:dyDescent="0.25">
      <c r="A5" s="4" t="s">
        <v>7</v>
      </c>
      <c r="B5" s="6" t="s">
        <v>29</v>
      </c>
      <c r="C5">
        <v>420</v>
      </c>
      <c r="D5" s="8">
        <v>355</v>
      </c>
    </row>
    <row r="6" spans="1:4" x14ac:dyDescent="0.25">
      <c r="A6" s="4" t="s">
        <v>19</v>
      </c>
      <c r="B6" s="6" t="s">
        <v>31</v>
      </c>
      <c r="C6">
        <v>450</v>
      </c>
      <c r="D6" s="8">
        <v>545</v>
      </c>
    </row>
    <row r="7" spans="1:4" x14ac:dyDescent="0.25">
      <c r="A7" s="4" t="s">
        <v>10</v>
      </c>
      <c r="B7" s="6" t="s">
        <v>33</v>
      </c>
      <c r="C7">
        <v>480</v>
      </c>
      <c r="D7" s="8">
        <v>515</v>
      </c>
    </row>
    <row r="8" spans="1:4" x14ac:dyDescent="0.25">
      <c r="A8" s="4" t="s">
        <v>22</v>
      </c>
      <c r="B8" s="6" t="s">
        <v>35</v>
      </c>
      <c r="C8">
        <v>150</v>
      </c>
      <c r="D8" s="8">
        <v>179</v>
      </c>
    </row>
    <row r="9" spans="1:4" x14ac:dyDescent="0.25">
      <c r="A9" s="4" t="s">
        <v>9</v>
      </c>
      <c r="B9" s="6" t="s">
        <v>36</v>
      </c>
      <c r="C9">
        <v>380</v>
      </c>
      <c r="D9" s="8">
        <v>369</v>
      </c>
    </row>
    <row r="10" spans="1:4" x14ac:dyDescent="0.25">
      <c r="A10" s="4" t="s">
        <v>15</v>
      </c>
      <c r="B10" s="6" t="s">
        <v>39</v>
      </c>
      <c r="C10">
        <v>250</v>
      </c>
      <c r="D10" s="8">
        <v>268</v>
      </c>
    </row>
    <row r="11" spans="1:4" x14ac:dyDescent="0.25">
      <c r="A11" s="4" t="s">
        <v>16</v>
      </c>
      <c r="B11" s="6" t="s">
        <v>41</v>
      </c>
      <c r="C11">
        <v>250</v>
      </c>
      <c r="D11" s="8">
        <v>272</v>
      </c>
    </row>
    <row r="12" spans="1:4" x14ac:dyDescent="0.25">
      <c r="A12" s="4" t="s">
        <v>13</v>
      </c>
      <c r="B12" s="6" t="s">
        <v>42</v>
      </c>
      <c r="C12">
        <v>300</v>
      </c>
      <c r="D12" s="8">
        <v>280</v>
      </c>
    </row>
    <row r="13" spans="1:4" x14ac:dyDescent="0.25">
      <c r="D13" s="8">
        <f>SUM(D2:D12)</f>
        <v>3376</v>
      </c>
    </row>
    <row r="14" spans="1:4" x14ac:dyDescent="0.25">
      <c r="A14" t="s">
        <v>49</v>
      </c>
      <c r="D14" s="8">
        <v>0</v>
      </c>
    </row>
    <row r="15" spans="1:4" x14ac:dyDescent="0.25">
      <c r="C15" t="s">
        <v>50</v>
      </c>
      <c r="D15" s="9">
        <f>+D13+D14</f>
        <v>3376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890EA-26F9-481A-A267-F2855CAD9069}">
  <dimension ref="A1:F13"/>
  <sheetViews>
    <sheetView zoomScale="200" zoomScaleNormal="200" workbookViewId="0">
      <selection activeCell="D13" sqref="D13"/>
    </sheetView>
  </sheetViews>
  <sheetFormatPr baseColWidth="10" defaultRowHeight="15" x14ac:dyDescent="0.25"/>
  <cols>
    <col min="1" max="1" width="36.140625" bestFit="1" customWidth="1"/>
    <col min="5" max="5" width="11.85546875" bestFit="1" customWidth="1"/>
    <col min="6" max="6" width="18" customWidth="1"/>
  </cols>
  <sheetData>
    <row r="1" spans="1:6" x14ac:dyDescent="0.25">
      <c r="A1" s="2" t="s">
        <v>1</v>
      </c>
      <c r="B1" s="2" t="s">
        <v>23</v>
      </c>
      <c r="C1" s="7" t="s">
        <v>24</v>
      </c>
      <c r="D1" s="7" t="s">
        <v>25</v>
      </c>
      <c r="E1" s="7" t="s">
        <v>47</v>
      </c>
      <c r="F1" s="7" t="s">
        <v>52</v>
      </c>
    </row>
    <row r="2" spans="1:6" x14ac:dyDescent="0.25">
      <c r="A2" s="4" t="s">
        <v>3</v>
      </c>
      <c r="B2" s="6" t="s">
        <v>28</v>
      </c>
      <c r="C2">
        <v>850</v>
      </c>
      <c r="D2">
        <v>115000</v>
      </c>
      <c r="E2">
        <v>0.10857168394515204</v>
      </c>
      <c r="F2">
        <v>850</v>
      </c>
    </row>
    <row r="3" spans="1:6" x14ac:dyDescent="0.25">
      <c r="A3" s="4" t="s">
        <v>51</v>
      </c>
      <c r="B3" s="6" t="s">
        <v>27</v>
      </c>
      <c r="C3">
        <v>850</v>
      </c>
      <c r="D3">
        <v>120000</v>
      </c>
      <c r="E3">
        <v>0.1736945446340431</v>
      </c>
      <c r="F3">
        <v>850</v>
      </c>
    </row>
    <row r="4" spans="1:6" x14ac:dyDescent="0.25">
      <c r="A4" s="4" t="s">
        <v>12</v>
      </c>
      <c r="B4" s="6" t="s">
        <v>40</v>
      </c>
      <c r="C4">
        <v>500</v>
      </c>
      <c r="D4">
        <v>120000</v>
      </c>
      <c r="E4">
        <v>0.56175158002880232</v>
      </c>
      <c r="F4">
        <v>500</v>
      </c>
    </row>
    <row r="5" spans="1:6" x14ac:dyDescent="0.25">
      <c r="A5" s="4" t="s">
        <v>11</v>
      </c>
      <c r="B5" s="6" t="s">
        <v>38</v>
      </c>
      <c r="C5">
        <v>600</v>
      </c>
      <c r="D5">
        <v>120000</v>
      </c>
      <c r="E5">
        <v>0.61738491583827515</v>
      </c>
      <c r="F5">
        <v>600</v>
      </c>
    </row>
    <row r="6" spans="1:6" x14ac:dyDescent="0.25">
      <c r="A6" s="4" t="s">
        <v>17</v>
      </c>
      <c r="B6" s="6" t="s">
        <v>44</v>
      </c>
      <c r="C6">
        <v>700</v>
      </c>
      <c r="D6" s="12">
        <v>130000</v>
      </c>
      <c r="E6">
        <v>0.56368413117364702</v>
      </c>
      <c r="F6">
        <v>576</v>
      </c>
    </row>
    <row r="7" spans="1:6" x14ac:dyDescent="0.25">
      <c r="A7" s="4" t="s">
        <v>5</v>
      </c>
      <c r="B7" s="6" t="s">
        <v>30</v>
      </c>
      <c r="C7">
        <v>550</v>
      </c>
      <c r="D7">
        <v>150000</v>
      </c>
      <c r="E7">
        <v>0.29146407441886302</v>
      </c>
      <c r="F7">
        <v>0</v>
      </c>
    </row>
    <row r="8" spans="1:6" x14ac:dyDescent="0.25">
      <c r="A8" s="4" t="s">
        <v>6</v>
      </c>
      <c r="B8" s="6" t="s">
        <v>32</v>
      </c>
      <c r="C8">
        <v>800</v>
      </c>
      <c r="D8">
        <v>150000</v>
      </c>
      <c r="E8">
        <v>0.35285795291231103</v>
      </c>
      <c r="F8">
        <v>0</v>
      </c>
    </row>
    <row r="9" spans="1:6" x14ac:dyDescent="0.25">
      <c r="A9" s="4" t="s">
        <v>20</v>
      </c>
      <c r="B9" s="6" t="s">
        <v>43</v>
      </c>
      <c r="C9">
        <v>500</v>
      </c>
      <c r="D9">
        <v>150000</v>
      </c>
      <c r="E9">
        <v>0.8042619698176724</v>
      </c>
      <c r="F9">
        <v>0</v>
      </c>
    </row>
    <row r="10" spans="1:6" x14ac:dyDescent="0.25">
      <c r="A10" s="5" t="s">
        <v>21</v>
      </c>
      <c r="B10" s="6" t="s">
        <v>37</v>
      </c>
      <c r="C10">
        <v>650</v>
      </c>
      <c r="D10">
        <v>170000</v>
      </c>
      <c r="E10">
        <v>0.85640118138964005</v>
      </c>
      <c r="F10">
        <v>0</v>
      </c>
    </row>
    <row r="11" spans="1:6" x14ac:dyDescent="0.25">
      <c r="A11" s="10" t="s">
        <v>8</v>
      </c>
      <c r="B11" s="6" t="s">
        <v>34</v>
      </c>
      <c r="C11">
        <v>600</v>
      </c>
      <c r="D11">
        <v>200000</v>
      </c>
      <c r="E11">
        <v>0.87717473639581578</v>
      </c>
      <c r="F11">
        <v>0</v>
      </c>
    </row>
    <row r="12" spans="1:6" x14ac:dyDescent="0.25">
      <c r="C12">
        <f>SUM(C2:C11)</f>
        <v>6600</v>
      </c>
      <c r="F12">
        <f>SUM(F2:F11)</f>
        <v>3376</v>
      </c>
    </row>
    <row r="13" spans="1:6" x14ac:dyDescent="0.25">
      <c r="A13" t="s">
        <v>50</v>
      </c>
      <c r="B13" s="9">
        <v>3376</v>
      </c>
      <c r="F13" s="11">
        <f>+F12-B13</f>
        <v>0</v>
      </c>
    </row>
  </sheetData>
  <sortState xmlns:xlrd2="http://schemas.microsoft.com/office/spreadsheetml/2017/richdata2" ref="A2:E11">
    <sortCondition ref="D2:D11"/>
    <sortCondition ref="E2:E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F341-065D-4C69-97CC-7D9D47E22343}">
  <dimension ref="A1:I24"/>
  <sheetViews>
    <sheetView tabSelected="1" zoomScale="170" zoomScaleNormal="170" workbookViewId="0">
      <selection activeCell="J9" sqref="J9"/>
    </sheetView>
  </sheetViews>
  <sheetFormatPr baseColWidth="10" defaultColWidth="11.5703125" defaultRowHeight="15" x14ac:dyDescent="0.25"/>
  <cols>
    <col min="4" max="4" width="10.5703125" customWidth="1"/>
    <col min="5" max="5" width="11.85546875" customWidth="1"/>
    <col min="6" max="6" width="14.28515625" customWidth="1"/>
    <col min="7" max="7" width="13" bestFit="1" customWidth="1"/>
    <col min="8" max="9" width="13.140625" bestFit="1" customWidth="1"/>
  </cols>
  <sheetData>
    <row r="1" spans="1:9" ht="30" customHeight="1" x14ac:dyDescent="0.25">
      <c r="A1" s="2" t="s">
        <v>1</v>
      </c>
      <c r="B1" s="13" t="s">
        <v>23</v>
      </c>
      <c r="C1" s="13" t="s">
        <v>48</v>
      </c>
      <c r="D1" s="13" t="s">
        <v>53</v>
      </c>
      <c r="E1" s="13" t="s">
        <v>54</v>
      </c>
      <c r="F1" s="14" t="s">
        <v>55</v>
      </c>
      <c r="G1" s="14" t="s">
        <v>56</v>
      </c>
      <c r="H1" s="14" t="s">
        <v>57</v>
      </c>
      <c r="I1" s="14" t="s">
        <v>58</v>
      </c>
    </row>
    <row r="2" spans="1:9" x14ac:dyDescent="0.25">
      <c r="A2" s="4" t="s">
        <v>3</v>
      </c>
      <c r="B2" s="6" t="s">
        <v>28</v>
      </c>
      <c r="C2">
        <f>+VLOOKUP(B2,contratos!$C$13:$E$22,2,0)</f>
        <v>620</v>
      </c>
      <c r="D2">
        <f>+VLOOKUP(B2,contratos!$C$13:$E$22,3,0)</f>
        <v>132500</v>
      </c>
      <c r="E2">
        <v>850</v>
      </c>
      <c r="F2">
        <v>130000</v>
      </c>
      <c r="G2" s="9">
        <f>+C2*D2</f>
        <v>82150000</v>
      </c>
      <c r="H2" s="9">
        <f>+(E2-C2)*F2</f>
        <v>29900000</v>
      </c>
      <c r="I2" s="11">
        <f>+G2+H2</f>
        <v>112050000</v>
      </c>
    </row>
    <row r="3" spans="1:9" x14ac:dyDescent="0.25">
      <c r="A3" s="4" t="s">
        <v>51</v>
      </c>
      <c r="B3" s="6" t="s">
        <v>27</v>
      </c>
      <c r="C3">
        <f>+VLOOKUP(B3,contratos!$C$13:$E$22,2,0)</f>
        <v>5</v>
      </c>
      <c r="D3">
        <f>+VLOOKUP(B3,contratos!$C$13:$E$22,3,0)</f>
        <v>90000</v>
      </c>
      <c r="E3">
        <v>850</v>
      </c>
      <c r="F3">
        <v>130000</v>
      </c>
      <c r="G3" s="9">
        <f t="shared" ref="G3:G11" si="0">+C3*D3</f>
        <v>450000</v>
      </c>
      <c r="H3" s="9">
        <f t="shared" ref="H3:H11" si="1">+(E3-C3)*F3</f>
        <v>109850000</v>
      </c>
      <c r="I3" s="11">
        <f t="shared" ref="I3:I11" si="2">+G3+H3</f>
        <v>110300000</v>
      </c>
    </row>
    <row r="4" spans="1:9" x14ac:dyDescent="0.25">
      <c r="A4" s="4" t="s">
        <v>12</v>
      </c>
      <c r="B4" s="6" t="s">
        <v>40</v>
      </c>
      <c r="C4">
        <f>+VLOOKUP(B4,contratos!$C$13:$E$22,2,0)</f>
        <v>250</v>
      </c>
      <c r="D4">
        <f>+VLOOKUP(B4,contratos!$C$13:$E$22,3,0)</f>
        <v>175000</v>
      </c>
      <c r="E4">
        <v>500</v>
      </c>
      <c r="F4">
        <v>130000</v>
      </c>
      <c r="G4" s="9">
        <f t="shared" si="0"/>
        <v>43750000</v>
      </c>
      <c r="H4" s="9">
        <f t="shared" si="1"/>
        <v>32500000</v>
      </c>
      <c r="I4" s="11">
        <f t="shared" si="2"/>
        <v>76250000</v>
      </c>
    </row>
    <row r="5" spans="1:9" x14ac:dyDescent="0.25">
      <c r="A5" s="4" t="s">
        <v>11</v>
      </c>
      <c r="B5" s="6" t="s">
        <v>38</v>
      </c>
      <c r="C5">
        <f>+VLOOKUP(B5,contratos!$C$13:$E$22,2,0)</f>
        <v>250</v>
      </c>
      <c r="D5">
        <f>+VLOOKUP(B5,contratos!$C$13:$E$22,3,0)</f>
        <v>150000</v>
      </c>
      <c r="E5">
        <v>600</v>
      </c>
      <c r="F5">
        <v>130000</v>
      </c>
      <c r="G5" s="9">
        <f t="shared" si="0"/>
        <v>37500000</v>
      </c>
      <c r="H5" s="9">
        <f t="shared" si="1"/>
        <v>45500000</v>
      </c>
      <c r="I5" s="11">
        <f t="shared" si="2"/>
        <v>83000000</v>
      </c>
    </row>
    <row r="6" spans="1:9" x14ac:dyDescent="0.25">
      <c r="A6" s="4" t="s">
        <v>17</v>
      </c>
      <c r="B6" s="6" t="s">
        <v>44</v>
      </c>
      <c r="C6">
        <f>+VLOOKUP(B6,contratos!$C$13:$E$22,2,0)</f>
        <v>350</v>
      </c>
      <c r="D6">
        <f>+VLOOKUP(B6,contratos!$C$13:$E$22,3,0)</f>
        <v>150000</v>
      </c>
      <c r="E6">
        <v>576</v>
      </c>
      <c r="F6">
        <v>130000</v>
      </c>
      <c r="G6" s="9">
        <f t="shared" si="0"/>
        <v>52500000</v>
      </c>
      <c r="H6" s="9">
        <f t="shared" si="1"/>
        <v>29380000</v>
      </c>
      <c r="I6" s="11">
        <f t="shared" si="2"/>
        <v>81880000</v>
      </c>
    </row>
    <row r="7" spans="1:9" x14ac:dyDescent="0.25">
      <c r="A7" s="4" t="s">
        <v>5</v>
      </c>
      <c r="B7" s="6" t="s">
        <v>30</v>
      </c>
      <c r="C7">
        <f>+VLOOKUP(B7,contratos!$C$13:$E$22,2,0)</f>
        <v>450</v>
      </c>
      <c r="D7">
        <f>+VLOOKUP(B7,contratos!$C$13:$E$22,3,0)</f>
        <v>145000</v>
      </c>
      <c r="E7">
        <v>0</v>
      </c>
      <c r="F7">
        <v>130000</v>
      </c>
      <c r="G7" s="9">
        <f t="shared" si="0"/>
        <v>65250000</v>
      </c>
      <c r="H7" s="9">
        <f t="shared" si="1"/>
        <v>-58500000</v>
      </c>
      <c r="I7" s="11">
        <f t="shared" si="2"/>
        <v>6750000</v>
      </c>
    </row>
    <row r="8" spans="1:9" x14ac:dyDescent="0.25">
      <c r="A8" s="4" t="s">
        <v>6</v>
      </c>
      <c r="B8" s="6" t="s">
        <v>32</v>
      </c>
      <c r="C8">
        <f>+VLOOKUP(B8,contratos!$C$13:$E$22,2,0)</f>
        <v>480</v>
      </c>
      <c r="D8">
        <f>+VLOOKUP(B8,contratos!$C$13:$E$22,3,0)</f>
        <v>180000</v>
      </c>
      <c r="E8">
        <v>0</v>
      </c>
      <c r="F8">
        <v>130000</v>
      </c>
      <c r="G8" s="9">
        <f t="shared" si="0"/>
        <v>86400000</v>
      </c>
      <c r="H8" s="9">
        <f t="shared" si="1"/>
        <v>-62400000</v>
      </c>
      <c r="I8" s="11">
        <f t="shared" si="2"/>
        <v>24000000</v>
      </c>
    </row>
    <row r="9" spans="1:9" x14ac:dyDescent="0.25">
      <c r="A9" s="4" t="s">
        <v>20</v>
      </c>
      <c r="B9" s="6" t="s">
        <v>43</v>
      </c>
      <c r="C9">
        <f>+VLOOKUP(B9,contratos!$C$13:$E$22,2,0)</f>
        <v>300</v>
      </c>
      <c r="D9">
        <f>+VLOOKUP(B9,contratos!$C$13:$E$22,3,0)</f>
        <v>215000</v>
      </c>
      <c r="E9">
        <v>0</v>
      </c>
      <c r="F9">
        <v>130000</v>
      </c>
      <c r="G9" s="9">
        <f t="shared" si="0"/>
        <v>64500000</v>
      </c>
      <c r="H9" s="9">
        <f t="shared" si="1"/>
        <v>-39000000</v>
      </c>
      <c r="I9" s="11">
        <f t="shared" si="2"/>
        <v>25500000</v>
      </c>
    </row>
    <row r="10" spans="1:9" x14ac:dyDescent="0.25">
      <c r="A10" s="5" t="s">
        <v>21</v>
      </c>
      <c r="B10" s="6" t="s">
        <v>37</v>
      </c>
      <c r="C10">
        <f>+VLOOKUP(B10,contratos!$C$13:$E$22,2,0)</f>
        <v>380</v>
      </c>
      <c r="D10">
        <f>+VLOOKUP(B10,contratos!$C$13:$E$22,3,0)</f>
        <v>180000</v>
      </c>
      <c r="E10">
        <v>0</v>
      </c>
      <c r="F10">
        <v>130000</v>
      </c>
      <c r="G10" s="9">
        <f t="shared" si="0"/>
        <v>68400000</v>
      </c>
      <c r="H10" s="9">
        <f t="shared" si="1"/>
        <v>-49400000</v>
      </c>
      <c r="I10" s="11">
        <f t="shared" si="2"/>
        <v>19000000</v>
      </c>
    </row>
    <row r="11" spans="1:9" x14ac:dyDescent="0.25">
      <c r="A11" s="10" t="s">
        <v>8</v>
      </c>
      <c r="B11" s="6" t="s">
        <v>34</v>
      </c>
      <c r="C11">
        <f>+VLOOKUP(B11,contratos!$C$13:$E$22,2,0)</f>
        <v>150</v>
      </c>
      <c r="D11">
        <f>+VLOOKUP(B11,contratos!$C$13:$E$22,3,0)</f>
        <v>175000</v>
      </c>
      <c r="E11">
        <v>0</v>
      </c>
      <c r="F11">
        <v>130000</v>
      </c>
      <c r="G11" s="9">
        <f t="shared" si="0"/>
        <v>26250000</v>
      </c>
      <c r="H11" s="9">
        <f t="shared" si="1"/>
        <v>-19500000</v>
      </c>
      <c r="I11" s="11">
        <f t="shared" si="2"/>
        <v>6750000</v>
      </c>
    </row>
    <row r="13" spans="1:9" ht="30" x14ac:dyDescent="0.25">
      <c r="A13" s="2" t="s">
        <v>1</v>
      </c>
      <c r="B13" s="13" t="s">
        <v>23</v>
      </c>
      <c r="C13" s="13" t="s">
        <v>48</v>
      </c>
      <c r="D13" s="13" t="s">
        <v>53</v>
      </c>
      <c r="E13" s="13" t="s">
        <v>46</v>
      </c>
      <c r="F13" s="14" t="s">
        <v>55</v>
      </c>
      <c r="G13" s="14" t="s">
        <v>56</v>
      </c>
      <c r="H13" s="14" t="s">
        <v>57</v>
      </c>
      <c r="I13" s="14" t="s">
        <v>58</v>
      </c>
    </row>
    <row r="14" spans="1:9" x14ac:dyDescent="0.25">
      <c r="A14" s="4" t="s">
        <v>2</v>
      </c>
      <c r="B14" s="6" t="s">
        <v>26</v>
      </c>
      <c r="C14">
        <f>+VLOOKUP(B14,contratos!$C$1:$E$22,2,0)</f>
        <v>5</v>
      </c>
      <c r="D14">
        <f>+VLOOKUP(B14,contratos!$C$1:$E$22,3,0)</f>
        <v>90000</v>
      </c>
      <c r="E14" s="8">
        <v>6</v>
      </c>
      <c r="F14">
        <v>300000</v>
      </c>
      <c r="G14" s="9">
        <f>-C14*D14</f>
        <v>-450000</v>
      </c>
      <c r="H14" s="9">
        <f>+(C14-E14)*F14</f>
        <v>-300000</v>
      </c>
      <c r="I14" s="11">
        <f>+G14+H14</f>
        <v>-750000</v>
      </c>
    </row>
    <row r="15" spans="1:9" x14ac:dyDescent="0.25">
      <c r="A15" s="4" t="s">
        <v>18</v>
      </c>
      <c r="B15" s="6" t="s">
        <v>45</v>
      </c>
      <c r="C15">
        <f>+VLOOKUP(B15,contratos!$C$1:$E$22,2,0)</f>
        <v>350</v>
      </c>
      <c r="D15">
        <f>+VLOOKUP(B15,contratos!$C$1:$E$22,3,0)</f>
        <v>150000</v>
      </c>
      <c r="E15" s="8">
        <v>377</v>
      </c>
      <c r="F15">
        <v>300000</v>
      </c>
      <c r="G15" s="9">
        <f t="shared" ref="G15:G24" si="3">-C15*D15</f>
        <v>-52500000</v>
      </c>
      <c r="H15" s="9">
        <f t="shared" ref="H15:H24" si="4">+(C15-E15)*F15</f>
        <v>-8100000</v>
      </c>
      <c r="I15" s="11">
        <f t="shared" ref="I15:I23" si="5">+G15+H15</f>
        <v>-60600000</v>
      </c>
    </row>
    <row r="16" spans="1:9" x14ac:dyDescent="0.25">
      <c r="A16" s="4" t="s">
        <v>4</v>
      </c>
      <c r="B16" s="6" t="s">
        <v>29</v>
      </c>
      <c r="C16">
        <f>+VLOOKUP(B16,contratos!$C$1:$E$22,2,0)</f>
        <v>200</v>
      </c>
      <c r="D16">
        <f>+VLOOKUP(B16,contratos!$C$1:$E$22,3,0)</f>
        <v>145000</v>
      </c>
      <c r="E16" s="8">
        <v>210</v>
      </c>
      <c r="F16">
        <v>300000</v>
      </c>
      <c r="G16" s="9">
        <f t="shared" si="3"/>
        <v>-29000000</v>
      </c>
      <c r="H16" s="9">
        <f t="shared" si="4"/>
        <v>-3000000</v>
      </c>
      <c r="I16" s="11">
        <f t="shared" si="5"/>
        <v>-32000000</v>
      </c>
    </row>
    <row r="17" spans="1:9" x14ac:dyDescent="0.25">
      <c r="A17" s="4" t="s">
        <v>7</v>
      </c>
      <c r="B17" s="6" t="s">
        <v>29</v>
      </c>
      <c r="C17">
        <f>+VLOOKUP(B17,contratos!$C$1:$E$22,2,0)</f>
        <v>200</v>
      </c>
      <c r="D17">
        <f>+VLOOKUP(B17,contratos!$C$1:$E$22,3,0)</f>
        <v>145000</v>
      </c>
      <c r="E17" s="8">
        <v>355</v>
      </c>
      <c r="F17">
        <v>300000</v>
      </c>
      <c r="G17" s="9">
        <f t="shared" si="3"/>
        <v>-29000000</v>
      </c>
      <c r="H17" s="9">
        <f t="shared" si="4"/>
        <v>-46500000</v>
      </c>
      <c r="I17" s="11">
        <f t="shared" si="5"/>
        <v>-75500000</v>
      </c>
    </row>
    <row r="18" spans="1:9" x14ac:dyDescent="0.25">
      <c r="A18" s="4" t="s">
        <v>19</v>
      </c>
      <c r="B18" s="6" t="s">
        <v>31</v>
      </c>
      <c r="C18">
        <f>+VLOOKUP(B18,contratos!$C$1:$E$22,2,0)</f>
        <v>450</v>
      </c>
      <c r="D18">
        <f>+VLOOKUP(B18,contratos!$C$1:$E$22,3,0)</f>
        <v>145000</v>
      </c>
      <c r="E18" s="8">
        <v>545</v>
      </c>
      <c r="F18">
        <v>300000</v>
      </c>
      <c r="G18" s="9">
        <f t="shared" si="3"/>
        <v>-65250000</v>
      </c>
      <c r="H18" s="9">
        <f t="shared" si="4"/>
        <v>-28500000</v>
      </c>
      <c r="I18" s="11">
        <f t="shared" si="5"/>
        <v>-93750000</v>
      </c>
    </row>
    <row r="19" spans="1:9" x14ac:dyDescent="0.25">
      <c r="A19" s="4" t="s">
        <v>10</v>
      </c>
      <c r="B19" s="6" t="s">
        <v>33</v>
      </c>
      <c r="C19">
        <f>+VLOOKUP(B19,contratos!$C$1:$E$22,2,0)</f>
        <v>480</v>
      </c>
      <c r="D19">
        <f>+VLOOKUP(B19,contratos!$C$1:$E$22,3,0)</f>
        <v>180000</v>
      </c>
      <c r="E19" s="8">
        <v>515</v>
      </c>
      <c r="F19">
        <v>300000</v>
      </c>
      <c r="G19" s="9">
        <f t="shared" si="3"/>
        <v>-86400000</v>
      </c>
      <c r="H19" s="9">
        <f t="shared" si="4"/>
        <v>-10500000</v>
      </c>
      <c r="I19" s="11">
        <f t="shared" si="5"/>
        <v>-96900000</v>
      </c>
    </row>
    <row r="20" spans="1:9" x14ac:dyDescent="0.25">
      <c r="A20" s="4" t="s">
        <v>22</v>
      </c>
      <c r="B20" s="6" t="s">
        <v>35</v>
      </c>
      <c r="C20">
        <f>+VLOOKUP(B20,contratos!$C$1:$E$22,2,0)</f>
        <v>150</v>
      </c>
      <c r="D20">
        <f>+VLOOKUP(B20,contratos!$C$1:$E$22,3,0)</f>
        <v>175000</v>
      </c>
      <c r="E20" s="8">
        <v>179</v>
      </c>
      <c r="F20">
        <v>300000</v>
      </c>
      <c r="G20" s="9">
        <f t="shared" si="3"/>
        <v>-26250000</v>
      </c>
      <c r="H20" s="9">
        <f t="shared" si="4"/>
        <v>-8700000</v>
      </c>
      <c r="I20" s="11">
        <f t="shared" si="5"/>
        <v>-34950000</v>
      </c>
    </row>
    <row r="21" spans="1:9" x14ac:dyDescent="0.25">
      <c r="A21" s="4" t="s">
        <v>9</v>
      </c>
      <c r="B21" s="6" t="s">
        <v>36</v>
      </c>
      <c r="C21">
        <f>+VLOOKUP(B21,contratos!$C$1:$E$22,2,0)</f>
        <v>380</v>
      </c>
      <c r="D21">
        <f>+VLOOKUP(B21,contratos!$C$1:$E$22,3,0)</f>
        <v>180000</v>
      </c>
      <c r="E21" s="8">
        <v>369</v>
      </c>
      <c r="F21">
        <v>300000</v>
      </c>
      <c r="G21" s="9">
        <f t="shared" si="3"/>
        <v>-68400000</v>
      </c>
      <c r="H21" s="9">
        <f t="shared" si="4"/>
        <v>3300000</v>
      </c>
      <c r="I21" s="11">
        <f t="shared" si="5"/>
        <v>-65100000</v>
      </c>
    </row>
    <row r="22" spans="1:9" x14ac:dyDescent="0.25">
      <c r="A22" s="4" t="s">
        <v>15</v>
      </c>
      <c r="B22" s="6" t="s">
        <v>39</v>
      </c>
      <c r="C22">
        <f>+VLOOKUP(B22,contratos!$C$1:$E$22,2,0)</f>
        <v>250</v>
      </c>
      <c r="D22">
        <f>+VLOOKUP(B22,contratos!$C$1:$E$22,3,0)</f>
        <v>150000</v>
      </c>
      <c r="E22" s="8">
        <v>268</v>
      </c>
      <c r="F22">
        <v>300000</v>
      </c>
      <c r="G22" s="9">
        <f t="shared" si="3"/>
        <v>-37500000</v>
      </c>
      <c r="H22" s="9">
        <f t="shared" si="4"/>
        <v>-5400000</v>
      </c>
      <c r="I22" s="11">
        <f t="shared" si="5"/>
        <v>-42900000</v>
      </c>
    </row>
    <row r="23" spans="1:9" x14ac:dyDescent="0.25">
      <c r="A23" s="4" t="s">
        <v>16</v>
      </c>
      <c r="B23" s="6" t="s">
        <v>41</v>
      </c>
      <c r="C23">
        <f>+VLOOKUP(B23,contratos!$C$1:$E$22,2,0)</f>
        <v>250</v>
      </c>
      <c r="D23">
        <f>+VLOOKUP(B23,contratos!$C$1:$E$22,3,0)</f>
        <v>175000</v>
      </c>
      <c r="E23" s="8">
        <v>272</v>
      </c>
      <c r="F23">
        <v>300000</v>
      </c>
      <c r="G23" s="9">
        <f t="shared" si="3"/>
        <v>-43750000</v>
      </c>
      <c r="H23" s="9">
        <f t="shared" si="4"/>
        <v>-6600000</v>
      </c>
      <c r="I23" s="11">
        <f t="shared" si="5"/>
        <v>-50350000</v>
      </c>
    </row>
    <row r="24" spans="1:9" x14ac:dyDescent="0.25">
      <c r="A24" s="4" t="s">
        <v>13</v>
      </c>
      <c r="B24" s="6" t="s">
        <v>42</v>
      </c>
      <c r="C24">
        <f>+VLOOKUP(B24,contratos!$C$1:$E$22,2,0)</f>
        <v>300</v>
      </c>
      <c r="D24">
        <f>+VLOOKUP(B24,contratos!$C$1:$E$22,3,0)</f>
        <v>215000</v>
      </c>
      <c r="E24" s="8">
        <v>280</v>
      </c>
      <c r="F24">
        <v>300000</v>
      </c>
      <c r="G24" s="9">
        <f t="shared" si="3"/>
        <v>-64500000</v>
      </c>
      <c r="H24" s="9">
        <f t="shared" si="4"/>
        <v>6000000</v>
      </c>
      <c r="I24" s="11">
        <f t="shared" ref="I24" si="6">+G24+H24</f>
        <v>-58500000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contratos</vt:lpstr>
      <vt:lpstr>DEMANDA_REAL</vt:lpstr>
      <vt:lpstr>DESPACHO_IDEAL</vt:lpstr>
      <vt:lpstr>LIQUIDACION_GENERADOR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Carreno</dc:creator>
  <cp:lastModifiedBy>Oscar Carreno</cp:lastModifiedBy>
  <dcterms:created xsi:type="dcterms:W3CDTF">2020-11-03T18:54:22Z</dcterms:created>
  <dcterms:modified xsi:type="dcterms:W3CDTF">2020-11-03T20:42:54Z</dcterms:modified>
</cp:coreProperties>
</file>