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xr:revisionPtr revIDLastSave="0" documentId="8_{4270786A-FC41-4DEF-A70F-31B3D4B20A80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Raw Data" sheetId="1" r:id="rId1"/>
    <sheet name="Pipeline Model" sheetId="2" r:id="rId2"/>
    <sheet name="Raw Data Trucks" sheetId="3" r:id="rId3"/>
    <sheet name="Trucks Model" sheetId="4" r:id="rId4"/>
    <sheet name="Collected_Data_trucks" sheetId="7" r:id="rId5"/>
    <sheet name="Compressor position" sheetId="6" r:id="rId6"/>
    <sheet name="Methane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85" i="2" l="1"/>
  <c r="BW84" i="2"/>
  <c r="BW83" i="2"/>
  <c r="BW77" i="2"/>
  <c r="BW76" i="2"/>
  <c r="BW75" i="2"/>
  <c r="BW69" i="2"/>
  <c r="BW68" i="2"/>
  <c r="BW67" i="2"/>
  <c r="BW60" i="2"/>
  <c r="BW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59" i="2"/>
  <c r="BB62" i="2"/>
  <c r="BB63" i="2"/>
  <c r="BB64" i="2"/>
  <c r="BB65" i="2"/>
  <c r="BB66" i="2"/>
  <c r="BB67" i="2"/>
  <c r="AP63" i="2"/>
  <c r="AP62" i="2"/>
  <c r="AP59" i="2"/>
  <c r="AP60" i="2"/>
  <c r="AP61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D19" i="4"/>
  <c r="AF19" i="4"/>
  <c r="AG19" i="4"/>
  <c r="AH19" i="4"/>
  <c r="AT19" i="4"/>
  <c r="AD20" i="4"/>
  <c r="AF20" i="4"/>
  <c r="AG20" i="4"/>
  <c r="AH20" i="4"/>
  <c r="AT20" i="4"/>
  <c r="AD21" i="4"/>
  <c r="AF21" i="4"/>
  <c r="AG21" i="4"/>
  <c r="AH21" i="4"/>
  <c r="AT21" i="4"/>
  <c r="AD22" i="4"/>
  <c r="AF22" i="4"/>
  <c r="AG22" i="4"/>
  <c r="AH22" i="4"/>
  <c r="AT22" i="4"/>
  <c r="AD23" i="4"/>
  <c r="AF23" i="4"/>
  <c r="AG23" i="4"/>
  <c r="AH23" i="4"/>
  <c r="AT23" i="4"/>
  <c r="AD24" i="4"/>
  <c r="AF24" i="4"/>
  <c r="AG24" i="4"/>
  <c r="AH24" i="4"/>
  <c r="AT24" i="4"/>
  <c r="AD25" i="4"/>
  <c r="AF25" i="4"/>
  <c r="AG25" i="4"/>
  <c r="AH25" i="4"/>
  <c r="AT25" i="4"/>
  <c r="AD26" i="4"/>
  <c r="AF26" i="4"/>
  <c r="AG26" i="4"/>
  <c r="AH26" i="4"/>
  <c r="AT26" i="4"/>
  <c r="AD27" i="4"/>
  <c r="AF27" i="4"/>
  <c r="AG27" i="4"/>
  <c r="AH27" i="4"/>
  <c r="AT27" i="4"/>
  <c r="AD28" i="4"/>
  <c r="AF28" i="4"/>
  <c r="AG28" i="4"/>
  <c r="AH28" i="4"/>
  <c r="AT28" i="4"/>
  <c r="AD29" i="4"/>
  <c r="AF29" i="4"/>
  <c r="AG29" i="4"/>
  <c r="AH29" i="4"/>
  <c r="AT29" i="4"/>
  <c r="AD30" i="4"/>
  <c r="AF30" i="4"/>
  <c r="AG30" i="4"/>
  <c r="AH30" i="4"/>
  <c r="AT30" i="4"/>
  <c r="AD31" i="4"/>
  <c r="AF31" i="4"/>
  <c r="AG31" i="4"/>
  <c r="AH31" i="4"/>
  <c r="AT31" i="4"/>
  <c r="AD32" i="4"/>
  <c r="AF32" i="4"/>
  <c r="AG32" i="4"/>
  <c r="AH32" i="4"/>
  <c r="AT32" i="4"/>
  <c r="AD33" i="4"/>
  <c r="AF33" i="4"/>
  <c r="AG33" i="4"/>
  <c r="AH33" i="4"/>
  <c r="AT33" i="4"/>
  <c r="AD34" i="4"/>
  <c r="AF34" i="4"/>
  <c r="AG34" i="4"/>
  <c r="AH34" i="4"/>
  <c r="AT34" i="4"/>
  <c r="AD35" i="4"/>
  <c r="AF35" i="4"/>
  <c r="AG35" i="4"/>
  <c r="AH35" i="4"/>
  <c r="AT35" i="4"/>
  <c r="AD36" i="4"/>
  <c r="AF36" i="4"/>
  <c r="AG36" i="4"/>
  <c r="AH36" i="4"/>
  <c r="AT36" i="4"/>
  <c r="AD37" i="4"/>
  <c r="AF37" i="4"/>
  <c r="AG37" i="4"/>
  <c r="AH37" i="4"/>
  <c r="AT37" i="4"/>
  <c r="AD38" i="4"/>
  <c r="AF38" i="4"/>
  <c r="AG38" i="4"/>
  <c r="AH38" i="4"/>
  <c r="AT38" i="4"/>
  <c r="AD39" i="4"/>
  <c r="AF39" i="4"/>
  <c r="AG39" i="4"/>
  <c r="AH39" i="4"/>
  <c r="AT39" i="4"/>
  <c r="AD40" i="4"/>
  <c r="AF40" i="4"/>
  <c r="AG40" i="4"/>
  <c r="AH40" i="4"/>
  <c r="AT40" i="4"/>
  <c r="AD41" i="4"/>
  <c r="AF41" i="4"/>
  <c r="AG41" i="4"/>
  <c r="AH41" i="4"/>
  <c r="AT41" i="4"/>
  <c r="AD42" i="4"/>
  <c r="AF42" i="4"/>
  <c r="AG42" i="4"/>
  <c r="AH42" i="4"/>
  <c r="AT42" i="4"/>
  <c r="AO19" i="4"/>
  <c r="AM19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J19" i="4"/>
  <c r="AK19" i="4"/>
  <c r="AL19" i="4"/>
  <c r="G3" i="3"/>
  <c r="BN90" i="2"/>
  <c r="BN89" i="2"/>
  <c r="BN88" i="2"/>
  <c r="BN87" i="2"/>
  <c r="BN86" i="2"/>
  <c r="BN85" i="2"/>
  <c r="BN84" i="2"/>
  <c r="BN83" i="2"/>
  <c r="BN82" i="2"/>
  <c r="BN81" i="2"/>
  <c r="BN80" i="2"/>
  <c r="BN79" i="2"/>
  <c r="BN78" i="2"/>
  <c r="BN77" i="2"/>
  <c r="BN76" i="2"/>
  <c r="BN75" i="2"/>
  <c r="BN74" i="2"/>
  <c r="BN73" i="2"/>
  <c r="BN72" i="2"/>
  <c r="BN71" i="2"/>
  <c r="BN70" i="2"/>
  <c r="BN69" i="2"/>
  <c r="BN68" i="2"/>
  <c r="BN67" i="2"/>
  <c r="BN66" i="2"/>
  <c r="BN65" i="2"/>
  <c r="BN64" i="2"/>
  <c r="BN63" i="2"/>
  <c r="BN62" i="2"/>
  <c r="BN61" i="2"/>
  <c r="BN60" i="2"/>
  <c r="BN59" i="2"/>
  <c r="BB70" i="2"/>
  <c r="BB73" i="2"/>
  <c r="BB74" i="2"/>
  <c r="BB78" i="2"/>
  <c r="BB81" i="2"/>
  <c r="BB82" i="2"/>
  <c r="BB86" i="2"/>
  <c r="BB89" i="2"/>
  <c r="BB90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V59" i="2"/>
  <c r="W59" i="2" s="1"/>
  <c r="X59" i="2" s="1"/>
  <c r="V60" i="2"/>
  <c r="W60" i="2" s="1"/>
  <c r="X60" i="2" s="1"/>
  <c r="V61" i="2"/>
  <c r="W61" i="2" s="1"/>
  <c r="X61" i="2" s="1"/>
  <c r="V62" i="2"/>
  <c r="W62" i="2" s="1"/>
  <c r="X62" i="2" s="1"/>
  <c r="V63" i="2"/>
  <c r="W63" i="2" s="1"/>
  <c r="X63" i="2" s="1"/>
  <c r="V64" i="2"/>
  <c r="W64" i="2" s="1"/>
  <c r="X64" i="2" s="1"/>
  <c r="V65" i="2"/>
  <c r="W65" i="2" s="1"/>
  <c r="X65" i="2" s="1"/>
  <c r="V66" i="2"/>
  <c r="W66" i="2" s="1"/>
  <c r="X66" i="2" s="1"/>
  <c r="V67" i="2"/>
  <c r="W67" i="2" s="1"/>
  <c r="X67" i="2" s="1"/>
  <c r="V68" i="2"/>
  <c r="W68" i="2" s="1"/>
  <c r="X68" i="2" s="1"/>
  <c r="V69" i="2"/>
  <c r="W69" i="2" s="1"/>
  <c r="X69" i="2" s="1"/>
  <c r="V70" i="2"/>
  <c r="W70" i="2" s="1"/>
  <c r="X70" i="2" s="1"/>
  <c r="V71" i="2"/>
  <c r="W71" i="2" s="1"/>
  <c r="X71" i="2" s="1"/>
  <c r="V72" i="2"/>
  <c r="W72" i="2" s="1"/>
  <c r="X72" i="2" s="1"/>
  <c r="V73" i="2"/>
  <c r="W73" i="2" s="1"/>
  <c r="X73" i="2" s="1"/>
  <c r="V74" i="2"/>
  <c r="W74" i="2" s="1"/>
  <c r="X74" i="2" s="1"/>
  <c r="V75" i="2"/>
  <c r="W75" i="2" s="1"/>
  <c r="X75" i="2" s="1"/>
  <c r="V76" i="2"/>
  <c r="W76" i="2" s="1"/>
  <c r="X76" i="2" s="1"/>
  <c r="V77" i="2"/>
  <c r="W77" i="2" s="1"/>
  <c r="X77" i="2" s="1"/>
  <c r="V78" i="2"/>
  <c r="W78" i="2" s="1"/>
  <c r="X78" i="2" s="1"/>
  <c r="V79" i="2"/>
  <c r="W79" i="2" s="1"/>
  <c r="X79" i="2" s="1"/>
  <c r="V80" i="2"/>
  <c r="W80" i="2" s="1"/>
  <c r="X80" i="2" s="1"/>
  <c r="V81" i="2"/>
  <c r="W81" i="2" s="1"/>
  <c r="X81" i="2" s="1"/>
  <c r="V82" i="2"/>
  <c r="W82" i="2" s="1"/>
  <c r="X82" i="2" s="1"/>
  <c r="V83" i="2"/>
  <c r="W83" i="2" s="1"/>
  <c r="X83" i="2" s="1"/>
  <c r="V84" i="2"/>
  <c r="W84" i="2" s="1"/>
  <c r="X84" i="2" s="1"/>
  <c r="V85" i="2"/>
  <c r="W85" i="2" s="1"/>
  <c r="X85" i="2" s="1"/>
  <c r="V86" i="2"/>
  <c r="W86" i="2" s="1"/>
  <c r="X86" i="2" s="1"/>
  <c r="V87" i="2"/>
  <c r="W87" i="2" s="1"/>
  <c r="X87" i="2" s="1"/>
  <c r="V88" i="2"/>
  <c r="W88" i="2" s="1"/>
  <c r="X88" i="2" s="1"/>
  <c r="V89" i="2"/>
  <c r="W89" i="2" s="1"/>
  <c r="X89" i="2" s="1"/>
  <c r="V90" i="2"/>
  <c r="W90" i="2" s="1"/>
  <c r="X90" i="2" s="1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G59" i="2"/>
  <c r="G60" i="2"/>
  <c r="G61" i="2"/>
  <c r="G62" i="2"/>
  <c r="G63" i="2"/>
  <c r="G64" i="2"/>
  <c r="G65" i="2"/>
  <c r="G66" i="2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5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B34" i="5"/>
  <c r="B33" i="5"/>
  <c r="B31" i="5"/>
  <c r="B30" i="5"/>
  <c r="B29" i="5"/>
  <c r="B26" i="5"/>
  <c r="B25" i="5"/>
  <c r="B23" i="5"/>
  <c r="B22" i="5"/>
  <c r="B21" i="5"/>
  <c r="B18" i="5"/>
  <c r="B17" i="5"/>
  <c r="B15" i="5"/>
  <c r="B14" i="5"/>
  <c r="B13" i="5"/>
  <c r="B10" i="5"/>
  <c r="B9" i="5"/>
  <c r="B7" i="5"/>
  <c r="B6" i="5"/>
  <c r="B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5" i="5"/>
  <c r="G68" i="2"/>
  <c r="G69" i="2"/>
  <c r="G70" i="2"/>
  <c r="G71" i="2"/>
  <c r="G72" i="2"/>
  <c r="G73" i="2"/>
  <c r="G74" i="2"/>
  <c r="G67" i="2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AE20" i="4"/>
  <c r="AE29" i="4"/>
  <c r="AE21" i="4"/>
  <c r="AE23" i="4"/>
  <c r="AE19" i="4"/>
  <c r="AE22" i="4"/>
  <c r="AE26" i="4"/>
  <c r="AE30" i="4"/>
  <c r="AE25" i="4"/>
  <c r="AE28" i="4"/>
  <c r="AE24" i="4"/>
  <c r="AE27" i="4"/>
  <c r="AE33" i="4"/>
  <c r="AE39" i="4"/>
  <c r="AE32" i="4"/>
  <c r="AE35" i="4"/>
  <c r="AE31" i="4"/>
  <c r="AE34" i="4"/>
  <c r="AE38" i="4"/>
  <c r="AE42" i="4"/>
  <c r="AE37" i="4"/>
  <c r="AE41" i="4"/>
  <c r="AE36" i="4"/>
  <c r="AE40" i="4"/>
  <c r="AE59" i="2"/>
  <c r="AC59" i="2"/>
  <c r="AD59" i="2"/>
  <c r="AE60" i="2"/>
  <c r="AC60" i="2"/>
  <c r="AD60" i="2"/>
  <c r="AE61" i="2"/>
  <c r="AC61" i="2"/>
  <c r="AD61" i="2"/>
  <c r="AE62" i="2"/>
  <c r="AC62" i="2"/>
  <c r="AD62" i="2"/>
  <c r="AE63" i="2"/>
  <c r="AC63" i="2"/>
  <c r="AD63" i="2"/>
  <c r="AE64" i="2"/>
  <c r="AC64" i="2"/>
  <c r="AD64" i="2"/>
  <c r="AE65" i="2"/>
  <c r="AC65" i="2"/>
  <c r="AD65" i="2"/>
  <c r="AE66" i="2"/>
  <c r="AC66" i="2"/>
  <c r="AD66" i="2"/>
  <c r="AE67" i="2"/>
  <c r="AC67" i="2"/>
  <c r="AD67" i="2"/>
  <c r="AE68" i="2"/>
  <c r="AC68" i="2"/>
  <c r="AD68" i="2"/>
  <c r="AE69" i="2"/>
  <c r="AC69" i="2"/>
  <c r="AD69" i="2"/>
  <c r="AE70" i="2"/>
  <c r="AC70" i="2"/>
  <c r="AD70" i="2"/>
  <c r="AE71" i="2"/>
  <c r="AC71" i="2"/>
  <c r="AD71" i="2"/>
  <c r="AE72" i="2"/>
  <c r="AC72" i="2"/>
  <c r="AD72" i="2"/>
  <c r="AE73" i="2"/>
  <c r="AC73" i="2"/>
  <c r="AD73" i="2"/>
  <c r="AE74" i="2"/>
  <c r="AC74" i="2"/>
  <c r="AD74" i="2"/>
  <c r="AE75" i="2"/>
  <c r="AC75" i="2"/>
  <c r="AD75" i="2"/>
  <c r="AE76" i="2"/>
  <c r="AC76" i="2"/>
  <c r="AD76" i="2"/>
  <c r="AE77" i="2"/>
  <c r="AC77" i="2"/>
  <c r="AD77" i="2"/>
  <c r="AE78" i="2"/>
  <c r="AC78" i="2"/>
  <c r="AD78" i="2"/>
  <c r="AE79" i="2"/>
  <c r="AC79" i="2"/>
  <c r="AD79" i="2"/>
  <c r="AE80" i="2"/>
  <c r="AC80" i="2"/>
  <c r="AD80" i="2"/>
  <c r="AE81" i="2"/>
  <c r="AC81" i="2"/>
  <c r="AD81" i="2"/>
  <c r="AE82" i="2"/>
  <c r="AC82" i="2"/>
  <c r="AD82" i="2"/>
  <c r="AE83" i="2"/>
  <c r="AC83" i="2"/>
  <c r="AD83" i="2"/>
  <c r="AE84" i="2"/>
  <c r="AC84" i="2"/>
  <c r="AD84" i="2"/>
  <c r="AE85" i="2"/>
  <c r="AC85" i="2"/>
  <c r="AD85" i="2"/>
  <c r="AE86" i="2"/>
  <c r="AC86" i="2"/>
  <c r="AD86" i="2"/>
  <c r="AE87" i="2"/>
  <c r="AC87" i="2"/>
  <c r="AD87" i="2"/>
  <c r="AE88" i="2"/>
  <c r="AC88" i="2"/>
  <c r="AD88" i="2"/>
  <c r="AE89" i="2"/>
  <c r="AC89" i="2"/>
  <c r="AD89" i="2"/>
  <c r="AE90" i="2"/>
  <c r="AC90" i="2"/>
  <c r="AD90" i="2"/>
  <c r="AO20" i="4"/>
  <c r="AO29" i="4"/>
  <c r="AM29" i="4"/>
  <c r="AN29" i="4"/>
  <c r="AO21" i="4"/>
  <c r="AM21" i="4"/>
  <c r="AN21" i="4"/>
  <c r="AO23" i="4"/>
  <c r="AM23" i="4"/>
  <c r="AN23" i="4"/>
  <c r="AN19" i="4"/>
  <c r="AO22" i="4"/>
  <c r="AM22" i="4"/>
  <c r="AN22" i="4"/>
  <c r="AO26" i="4"/>
  <c r="AM26" i="4"/>
  <c r="AN26" i="4"/>
  <c r="AO30" i="4"/>
  <c r="AM30" i="4"/>
  <c r="AN30" i="4"/>
  <c r="AO25" i="4"/>
  <c r="AM25" i="4"/>
  <c r="AN25" i="4"/>
  <c r="AO28" i="4"/>
  <c r="AM28" i="4"/>
  <c r="AN28" i="4"/>
  <c r="AO24" i="4"/>
  <c r="AM24" i="4"/>
  <c r="AN24" i="4"/>
  <c r="AO27" i="4"/>
  <c r="AM27" i="4"/>
  <c r="AN27" i="4"/>
  <c r="AO33" i="4"/>
  <c r="AM33" i="4"/>
  <c r="AN33" i="4"/>
  <c r="AO39" i="4"/>
  <c r="AM39" i="4"/>
  <c r="AN39" i="4"/>
  <c r="AO32" i="4"/>
  <c r="AM32" i="4"/>
  <c r="AN32" i="4"/>
  <c r="AO35" i="4"/>
  <c r="AM35" i="4"/>
  <c r="AN35" i="4"/>
  <c r="AO31" i="4"/>
  <c r="AM31" i="4"/>
  <c r="AN31" i="4"/>
  <c r="AO34" i="4"/>
  <c r="AM34" i="4"/>
  <c r="AN34" i="4"/>
  <c r="AO38" i="4"/>
  <c r="AM38" i="4"/>
  <c r="AN38" i="4"/>
  <c r="AO42" i="4"/>
  <c r="AM42" i="4"/>
  <c r="AN42" i="4"/>
  <c r="AO37" i="4"/>
  <c r="AM37" i="4"/>
  <c r="AN37" i="4"/>
  <c r="AO41" i="4"/>
  <c r="AM41" i="4"/>
  <c r="AN41" i="4"/>
  <c r="AO36" i="4"/>
  <c r="AM36" i="4"/>
  <c r="AN36" i="4"/>
  <c r="AO40" i="4"/>
  <c r="AM40" i="4"/>
  <c r="AN40" i="4"/>
  <c r="K59" i="2"/>
  <c r="V20" i="4"/>
  <c r="D20" i="4"/>
  <c r="A88" i="2"/>
  <c r="A87" i="2"/>
  <c r="A85" i="2"/>
  <c r="A84" i="2"/>
  <c r="A83" i="2"/>
  <c r="A80" i="2"/>
  <c r="A79" i="2"/>
  <c r="A77" i="2"/>
  <c r="A76" i="2"/>
  <c r="A75" i="2"/>
  <c r="A72" i="2"/>
  <c r="A71" i="2"/>
  <c r="A69" i="2"/>
  <c r="A68" i="2"/>
  <c r="A67" i="2"/>
  <c r="K84" i="2"/>
  <c r="I84" i="2"/>
  <c r="K85" i="2"/>
  <c r="I85" i="2"/>
  <c r="K86" i="2"/>
  <c r="I86" i="2"/>
  <c r="K87" i="2"/>
  <c r="I87" i="2"/>
  <c r="K88" i="2"/>
  <c r="I88" i="2"/>
  <c r="K89" i="2"/>
  <c r="I89" i="2"/>
  <c r="K90" i="2"/>
  <c r="I90" i="2"/>
  <c r="O84" i="2"/>
  <c r="O85" i="2"/>
  <c r="O86" i="2"/>
  <c r="O87" i="2"/>
  <c r="O88" i="2"/>
  <c r="O89" i="2"/>
  <c r="O90" i="2"/>
  <c r="K83" i="2"/>
  <c r="I83" i="2"/>
  <c r="O83" i="2"/>
  <c r="K76" i="2"/>
  <c r="I76" i="2"/>
  <c r="K77" i="2"/>
  <c r="I77" i="2"/>
  <c r="K78" i="2"/>
  <c r="I78" i="2"/>
  <c r="K79" i="2"/>
  <c r="I79" i="2"/>
  <c r="K80" i="2"/>
  <c r="I80" i="2"/>
  <c r="K81" i="2"/>
  <c r="I81" i="2"/>
  <c r="K82" i="2"/>
  <c r="I82" i="2"/>
  <c r="O76" i="2"/>
  <c r="O77" i="2"/>
  <c r="O78" i="2"/>
  <c r="O79" i="2"/>
  <c r="O80" i="2"/>
  <c r="O81" i="2"/>
  <c r="O82" i="2"/>
  <c r="K75" i="2"/>
  <c r="I75" i="2"/>
  <c r="O75" i="2"/>
  <c r="K71" i="2"/>
  <c r="I71" i="2"/>
  <c r="K72" i="2"/>
  <c r="I72" i="2"/>
  <c r="K73" i="2"/>
  <c r="I73" i="2"/>
  <c r="K74" i="2"/>
  <c r="I74" i="2"/>
  <c r="O71" i="2"/>
  <c r="O72" i="2"/>
  <c r="O73" i="2"/>
  <c r="O74" i="2"/>
  <c r="K62" i="2"/>
  <c r="I62" i="2"/>
  <c r="O62" i="2"/>
  <c r="A63" i="2"/>
  <c r="A64" i="2"/>
  <c r="K68" i="2"/>
  <c r="I68" i="2"/>
  <c r="K69" i="2"/>
  <c r="I69" i="2"/>
  <c r="K70" i="2"/>
  <c r="I70" i="2"/>
  <c r="O68" i="2"/>
  <c r="O69" i="2"/>
  <c r="O70" i="2"/>
  <c r="A61" i="2"/>
  <c r="A60" i="2"/>
  <c r="A59" i="2"/>
  <c r="K67" i="2"/>
  <c r="I67" i="2"/>
  <c r="O67" i="2"/>
  <c r="K66" i="2"/>
  <c r="I66" i="2"/>
  <c r="O66" i="2"/>
  <c r="K65" i="2"/>
  <c r="I65" i="2"/>
  <c r="O65" i="2"/>
  <c r="K64" i="2"/>
  <c r="I64" i="2"/>
  <c r="O64" i="2"/>
  <c r="K63" i="2"/>
  <c r="I63" i="2"/>
  <c r="O63" i="2"/>
  <c r="D42" i="4"/>
  <c r="D37" i="4"/>
  <c r="D41" i="4"/>
  <c r="D36" i="4"/>
  <c r="D40" i="4"/>
  <c r="I42" i="4"/>
  <c r="K42" i="4"/>
  <c r="I37" i="4"/>
  <c r="K37" i="4"/>
  <c r="I41" i="4"/>
  <c r="K41" i="4"/>
  <c r="I36" i="4"/>
  <c r="K36" i="4"/>
  <c r="I40" i="4"/>
  <c r="K40" i="4"/>
  <c r="N42" i="4"/>
  <c r="N37" i="4"/>
  <c r="N41" i="4"/>
  <c r="N36" i="4"/>
  <c r="N40" i="4"/>
  <c r="O42" i="4"/>
  <c r="O37" i="4"/>
  <c r="O41" i="4"/>
  <c r="O36" i="4"/>
  <c r="O40" i="4"/>
  <c r="U42" i="4"/>
  <c r="U37" i="4"/>
  <c r="U41" i="4"/>
  <c r="U36" i="4"/>
  <c r="U40" i="4"/>
  <c r="V42" i="4"/>
  <c r="V37" i="4"/>
  <c r="V41" i="4"/>
  <c r="V36" i="4"/>
  <c r="V40" i="4"/>
  <c r="Y42" i="4"/>
  <c r="Y37" i="4"/>
  <c r="Y41" i="4"/>
  <c r="Y36" i="4"/>
  <c r="Y40" i="4"/>
  <c r="AB42" i="4"/>
  <c r="AB37" i="4"/>
  <c r="AB41" i="4"/>
  <c r="AB36" i="4"/>
  <c r="AB40" i="4"/>
  <c r="D38" i="4"/>
  <c r="I38" i="4"/>
  <c r="K38" i="4"/>
  <c r="N38" i="4"/>
  <c r="O38" i="4"/>
  <c r="U38" i="4"/>
  <c r="V38" i="4"/>
  <c r="Y38" i="4"/>
  <c r="AB38" i="4"/>
  <c r="D30" i="4"/>
  <c r="D25" i="4"/>
  <c r="D28" i="4"/>
  <c r="D24" i="4"/>
  <c r="D27" i="4"/>
  <c r="I30" i="4"/>
  <c r="K30" i="4"/>
  <c r="I25" i="4"/>
  <c r="K25" i="4"/>
  <c r="I28" i="4"/>
  <c r="K28" i="4"/>
  <c r="I24" i="4"/>
  <c r="K24" i="4"/>
  <c r="I27" i="4"/>
  <c r="K27" i="4"/>
  <c r="M30" i="4"/>
  <c r="N30" i="4"/>
  <c r="N25" i="4"/>
  <c r="N28" i="4"/>
  <c r="N24" i="4"/>
  <c r="N27" i="4"/>
  <c r="O30" i="4"/>
  <c r="O25" i="4"/>
  <c r="O28" i="4"/>
  <c r="O24" i="4"/>
  <c r="O27" i="4"/>
  <c r="U30" i="4"/>
  <c r="U25" i="4"/>
  <c r="U28" i="4"/>
  <c r="U24" i="4"/>
  <c r="U27" i="4"/>
  <c r="V30" i="4"/>
  <c r="V25" i="4"/>
  <c r="V28" i="4"/>
  <c r="V24" i="4"/>
  <c r="V27" i="4"/>
  <c r="Y30" i="4"/>
  <c r="Y25" i="4"/>
  <c r="Y28" i="4"/>
  <c r="Y24" i="4"/>
  <c r="Y27" i="4"/>
  <c r="AB30" i="4"/>
  <c r="AB25" i="4"/>
  <c r="AB28" i="4"/>
  <c r="AB24" i="4"/>
  <c r="AB27" i="4"/>
  <c r="D26" i="4"/>
  <c r="I26" i="4"/>
  <c r="K26" i="4"/>
  <c r="N26" i="4"/>
  <c r="O26" i="4"/>
  <c r="U26" i="4"/>
  <c r="V26" i="4"/>
  <c r="Y26" i="4"/>
  <c r="AB26" i="4"/>
  <c r="D22" i="4"/>
  <c r="I22" i="4"/>
  <c r="K22" i="4"/>
  <c r="O22" i="4"/>
  <c r="V22" i="4"/>
  <c r="Y22" i="4"/>
  <c r="AB22" i="4"/>
  <c r="D19" i="4"/>
  <c r="I19" i="4"/>
  <c r="K19" i="4"/>
  <c r="O19" i="4"/>
  <c r="V19" i="4"/>
  <c r="AB19" i="4"/>
  <c r="D23" i="4"/>
  <c r="I23" i="4"/>
  <c r="K23" i="4"/>
  <c r="N23" i="4"/>
  <c r="O23" i="4"/>
  <c r="U23" i="4"/>
  <c r="V23" i="4"/>
  <c r="Y23" i="4"/>
  <c r="AB23" i="4"/>
  <c r="D21" i="4"/>
  <c r="I21" i="4"/>
  <c r="K21" i="4"/>
  <c r="N21" i="4"/>
  <c r="O21" i="4"/>
  <c r="U21" i="4"/>
  <c r="V21" i="4"/>
  <c r="Y21" i="4"/>
  <c r="AB21" i="4"/>
  <c r="D29" i="4"/>
  <c r="I29" i="4"/>
  <c r="K29" i="4"/>
  <c r="M29" i="4"/>
  <c r="N29" i="4"/>
  <c r="O29" i="4"/>
  <c r="U29" i="4"/>
  <c r="V29" i="4"/>
  <c r="Y29" i="4"/>
  <c r="AB29" i="4"/>
  <c r="I20" i="4"/>
  <c r="K20" i="4"/>
  <c r="Y20" i="4"/>
  <c r="M20" i="4"/>
  <c r="N20" i="4"/>
  <c r="O20" i="4"/>
  <c r="U20" i="4"/>
  <c r="W20" i="4"/>
  <c r="AB20" i="4"/>
  <c r="D34" i="4"/>
  <c r="I34" i="4"/>
  <c r="K34" i="4"/>
  <c r="N34" i="4"/>
  <c r="O34" i="4"/>
  <c r="U34" i="4"/>
  <c r="V34" i="4"/>
  <c r="Y34" i="4"/>
  <c r="AB34" i="4"/>
  <c r="D31" i="4"/>
  <c r="I31" i="4"/>
  <c r="K31" i="4"/>
  <c r="N31" i="4"/>
  <c r="O31" i="4"/>
  <c r="U31" i="4"/>
  <c r="V31" i="4"/>
  <c r="Y31" i="4"/>
  <c r="AB31" i="4"/>
  <c r="D35" i="4"/>
  <c r="I35" i="4"/>
  <c r="K35" i="4"/>
  <c r="N35" i="4"/>
  <c r="O35" i="4"/>
  <c r="U35" i="4"/>
  <c r="V35" i="4"/>
  <c r="Y35" i="4"/>
  <c r="AB35" i="4"/>
  <c r="D32" i="4"/>
  <c r="I32" i="4"/>
  <c r="K32" i="4"/>
  <c r="N32" i="4"/>
  <c r="O32" i="4"/>
  <c r="U32" i="4"/>
  <c r="V32" i="4"/>
  <c r="Y32" i="4"/>
  <c r="AB32" i="4"/>
  <c r="AB33" i="4"/>
  <c r="AB39" i="4"/>
  <c r="V33" i="4"/>
  <c r="V39" i="4"/>
  <c r="O39" i="4"/>
  <c r="O33" i="4"/>
  <c r="I33" i="4"/>
  <c r="K33" i="4"/>
  <c r="I39" i="4"/>
  <c r="K39" i="4"/>
  <c r="D39" i="4"/>
  <c r="D33" i="4"/>
  <c r="O60" i="2"/>
  <c r="O61" i="2"/>
  <c r="K60" i="2"/>
  <c r="K61" i="2"/>
  <c r="I60" i="2"/>
  <c r="J60" i="2"/>
  <c r="I61" i="2"/>
  <c r="J61" i="2"/>
  <c r="H60" i="2"/>
  <c r="H61" i="2"/>
  <c r="E60" i="2"/>
  <c r="C60" i="2"/>
  <c r="Q60" i="2"/>
  <c r="O59" i="2"/>
  <c r="I59" i="2"/>
  <c r="J59" i="2"/>
  <c r="H59" i="2"/>
  <c r="E59" i="2"/>
  <c r="C59" i="2"/>
  <c r="Q59" i="2"/>
  <c r="N4" i="3"/>
  <c r="N5" i="3"/>
  <c r="N6" i="3"/>
  <c r="N7" i="3"/>
  <c r="N8" i="3"/>
  <c r="N9" i="3"/>
  <c r="N10" i="3"/>
  <c r="N3" i="3"/>
  <c r="K3" i="1"/>
  <c r="B6" i="4"/>
  <c r="B26" i="2"/>
  <c r="E10" i="3"/>
  <c r="F10" i="3"/>
  <c r="G10" i="3"/>
  <c r="H10" i="3"/>
  <c r="I10" i="3"/>
  <c r="J10" i="3"/>
  <c r="E9" i="3"/>
  <c r="F9" i="3"/>
  <c r="G9" i="3"/>
  <c r="H9" i="3"/>
  <c r="I9" i="3"/>
  <c r="J9" i="3"/>
  <c r="E8" i="3"/>
  <c r="F8" i="3"/>
  <c r="G8" i="3"/>
  <c r="H8" i="3"/>
  <c r="I8" i="3"/>
  <c r="J8" i="3"/>
  <c r="E7" i="3"/>
  <c r="F7" i="3"/>
  <c r="G7" i="3"/>
  <c r="H7" i="3"/>
  <c r="I7" i="3"/>
  <c r="J7" i="3"/>
  <c r="E6" i="3"/>
  <c r="F6" i="3"/>
  <c r="G6" i="3"/>
  <c r="H6" i="3"/>
  <c r="I6" i="3"/>
  <c r="J6" i="3"/>
  <c r="E5" i="3"/>
  <c r="F5" i="3"/>
  <c r="G5" i="3"/>
  <c r="H5" i="3"/>
  <c r="I5" i="3"/>
  <c r="J5" i="3"/>
  <c r="E4" i="3"/>
  <c r="F4" i="3"/>
  <c r="G4" i="3"/>
  <c r="H4" i="3"/>
  <c r="I4" i="3"/>
  <c r="J4" i="3"/>
  <c r="E3" i="3"/>
  <c r="F3" i="3"/>
  <c r="H3" i="3"/>
  <c r="I3" i="3"/>
  <c r="J3" i="3"/>
  <c r="B42" i="2"/>
  <c r="E139" i="1"/>
  <c r="K138" i="1"/>
  <c r="E138" i="1"/>
  <c r="K137" i="1"/>
  <c r="K136" i="1"/>
  <c r="K135" i="1"/>
  <c r="K134" i="1"/>
  <c r="C134" i="1"/>
  <c r="K133" i="1"/>
  <c r="K132" i="1"/>
  <c r="F132" i="1"/>
  <c r="K71" i="1"/>
  <c r="H71" i="1"/>
  <c r="K70" i="1"/>
  <c r="K69" i="1"/>
  <c r="K68" i="1"/>
  <c r="F68" i="1"/>
  <c r="K67" i="1"/>
  <c r="K66" i="1"/>
  <c r="K65" i="1"/>
  <c r="H65" i="1"/>
  <c r="K64" i="1"/>
  <c r="K63" i="1"/>
  <c r="H63" i="1"/>
  <c r="K62" i="1"/>
  <c r="K61" i="1"/>
  <c r="K60" i="1"/>
  <c r="K14" i="1"/>
  <c r="F14" i="1"/>
  <c r="Y13" i="1"/>
  <c r="K13" i="1"/>
  <c r="G13" i="1"/>
  <c r="Z12" i="1"/>
  <c r="K12" i="1"/>
  <c r="K11" i="1"/>
  <c r="K10" i="1"/>
  <c r="K9" i="1"/>
  <c r="K8" i="1"/>
  <c r="F8" i="1"/>
  <c r="Y7" i="1"/>
  <c r="K7" i="1"/>
  <c r="K6" i="1"/>
  <c r="G6" i="1"/>
  <c r="K5" i="1"/>
  <c r="K4" i="1"/>
  <c r="B27" i="2"/>
  <c r="F4" i="1"/>
  <c r="Y3" i="1"/>
  <c r="K139" i="1"/>
  <c r="G139" i="1"/>
  <c r="G132" i="1"/>
  <c r="H132" i="1"/>
  <c r="F133" i="1"/>
  <c r="G133" i="1"/>
  <c r="H133" i="1"/>
  <c r="C139" i="1"/>
  <c r="F139" i="1"/>
  <c r="H139" i="1"/>
  <c r="C138" i="1"/>
  <c r="F138" i="1"/>
  <c r="G138" i="1"/>
  <c r="H138" i="1"/>
  <c r="F137" i="1"/>
  <c r="G137" i="1"/>
  <c r="H137" i="1"/>
  <c r="C136" i="1"/>
  <c r="E136" i="1"/>
  <c r="F136" i="1"/>
  <c r="G136" i="1"/>
  <c r="H136" i="1"/>
  <c r="F135" i="1"/>
  <c r="G135" i="1"/>
  <c r="H135" i="1"/>
  <c r="E134" i="1"/>
  <c r="F134" i="1"/>
  <c r="G134" i="1"/>
  <c r="H134" i="1"/>
  <c r="B7" i="2"/>
  <c r="F71" i="1"/>
  <c r="F70" i="1"/>
  <c r="H70" i="1"/>
  <c r="C69" i="1"/>
  <c r="D69" i="1"/>
  <c r="E69" i="1"/>
  <c r="F69" i="1"/>
  <c r="H69" i="1"/>
  <c r="H68" i="1"/>
  <c r="F67" i="1"/>
  <c r="H67" i="1"/>
  <c r="C66" i="1"/>
  <c r="H66" i="1"/>
  <c r="D66" i="1"/>
  <c r="F66" i="1"/>
  <c r="F65" i="1"/>
  <c r="F64" i="1"/>
  <c r="H64" i="1"/>
  <c r="F63" i="1"/>
  <c r="F62" i="1"/>
  <c r="H62" i="1"/>
  <c r="F61" i="1"/>
  <c r="H61" i="1"/>
  <c r="F60" i="1"/>
  <c r="H60" i="1"/>
  <c r="G14" i="1"/>
  <c r="F13" i="1"/>
  <c r="G12" i="1"/>
  <c r="F12" i="1"/>
  <c r="G11" i="1"/>
  <c r="F11" i="1"/>
  <c r="G10" i="1"/>
  <c r="F10" i="1"/>
  <c r="G9" i="1"/>
  <c r="F9" i="1"/>
  <c r="G8" i="1"/>
  <c r="G7" i="1"/>
  <c r="F7" i="1"/>
  <c r="F6" i="1"/>
  <c r="G5" i="1"/>
  <c r="F5" i="1"/>
  <c r="G4" i="1"/>
  <c r="G3" i="1"/>
  <c r="F3" i="1"/>
  <c r="Z13" i="1"/>
  <c r="Y12" i="1"/>
  <c r="Y10" i="1"/>
  <c r="Z10" i="1"/>
  <c r="Y9" i="1"/>
  <c r="Z9" i="1"/>
  <c r="Z7" i="1"/>
  <c r="Y6" i="1"/>
  <c r="Z6" i="1"/>
  <c r="Y4" i="1"/>
  <c r="Z4" i="1"/>
  <c r="Z3" i="1"/>
  <c r="BL67" i="2"/>
  <c r="BM67" i="2"/>
  <c r="BB68" i="2"/>
  <c r="BB69" i="2"/>
  <c r="BB71" i="2"/>
  <c r="BB72" i="2"/>
  <c r="BB75" i="2"/>
  <c r="BB76" i="2"/>
  <c r="BB77" i="2"/>
  <c r="BB79" i="2"/>
  <c r="BB80" i="2"/>
  <c r="BB83" i="2"/>
  <c r="BB84" i="2"/>
  <c r="BB85" i="2"/>
  <c r="BB87" i="2"/>
  <c r="BB88" i="2"/>
  <c r="BL74" i="2"/>
  <c r="BM74" i="2"/>
  <c r="BL73" i="2"/>
  <c r="BM73" i="2"/>
  <c r="BL70" i="2"/>
  <c r="BM70" i="2"/>
  <c r="BL82" i="2"/>
  <c r="BM82" i="2"/>
  <c r="BL81" i="2"/>
  <c r="BM81" i="2"/>
  <c r="BL78" i="2"/>
  <c r="BM78" i="2"/>
  <c r="BL90" i="2"/>
  <c r="BM90" i="2"/>
  <c r="BL89" i="2"/>
  <c r="BM89" i="2"/>
  <c r="BL86" i="2"/>
  <c r="BM86" i="2"/>
  <c r="BL66" i="2"/>
  <c r="BM66" i="2"/>
  <c r="BL65" i="2"/>
  <c r="BM65" i="2"/>
  <c r="BL62" i="2"/>
  <c r="BM62" i="2"/>
  <c r="J5" i="5"/>
  <c r="K5" i="5"/>
  <c r="J36" i="5"/>
  <c r="K36" i="5"/>
  <c r="J35" i="5"/>
  <c r="K35" i="5"/>
  <c r="J34" i="5"/>
  <c r="K34" i="5"/>
  <c r="J33" i="5"/>
  <c r="K33" i="5"/>
  <c r="J32" i="5"/>
  <c r="K32" i="5"/>
  <c r="J31" i="5"/>
  <c r="K31" i="5"/>
  <c r="J30" i="5"/>
  <c r="K30" i="5"/>
  <c r="J29" i="5"/>
  <c r="K29" i="5"/>
  <c r="J28" i="5"/>
  <c r="K28" i="5"/>
  <c r="J27" i="5"/>
  <c r="K27" i="5"/>
  <c r="J26" i="5"/>
  <c r="K26" i="5"/>
  <c r="J25" i="5"/>
  <c r="K25" i="5"/>
  <c r="J24" i="5"/>
  <c r="K24" i="5"/>
  <c r="J23" i="5"/>
  <c r="K23" i="5"/>
  <c r="J22" i="5"/>
  <c r="K22" i="5"/>
  <c r="J21" i="5"/>
  <c r="K21" i="5"/>
  <c r="J20" i="5"/>
  <c r="K20" i="5"/>
  <c r="J19" i="5"/>
  <c r="K19" i="5"/>
  <c r="J18" i="5"/>
  <c r="K18" i="5"/>
  <c r="J17" i="5"/>
  <c r="K17" i="5"/>
  <c r="J16" i="5"/>
  <c r="K16" i="5"/>
  <c r="J15" i="5"/>
  <c r="K15" i="5"/>
  <c r="J14" i="5"/>
  <c r="K14" i="5"/>
  <c r="J13" i="5"/>
  <c r="K13" i="5"/>
  <c r="J12" i="5"/>
  <c r="K12" i="5"/>
  <c r="J11" i="5"/>
  <c r="K11" i="5"/>
  <c r="J10" i="5"/>
  <c r="K10" i="5"/>
  <c r="J9" i="5"/>
  <c r="K9" i="5"/>
  <c r="J8" i="5"/>
  <c r="K8" i="5"/>
  <c r="J7" i="5"/>
  <c r="K7" i="5"/>
  <c r="J6" i="5"/>
  <c r="K6" i="5"/>
  <c r="AM20" i="4"/>
  <c r="AN20" i="4"/>
  <c r="E66" i="2"/>
  <c r="C66" i="2"/>
  <c r="E65" i="2"/>
  <c r="C65" i="2"/>
  <c r="E64" i="2"/>
  <c r="C64" i="2"/>
  <c r="E63" i="2"/>
  <c r="C63" i="2"/>
  <c r="E62" i="2"/>
  <c r="C62" i="2"/>
  <c r="E61" i="2"/>
  <c r="C61" i="2"/>
  <c r="E67" i="2"/>
  <c r="C67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75" i="2"/>
  <c r="C75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83" i="2"/>
  <c r="C83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M59" i="2"/>
  <c r="N59" i="2"/>
  <c r="R59" i="2"/>
  <c r="M60" i="2"/>
  <c r="N60" i="2"/>
  <c r="R60" i="2"/>
  <c r="J90" i="2"/>
  <c r="H90" i="2"/>
  <c r="J89" i="2"/>
  <c r="H89" i="2"/>
  <c r="J88" i="2"/>
  <c r="H88" i="2"/>
  <c r="J87" i="2"/>
  <c r="H87" i="2"/>
  <c r="J86" i="2"/>
  <c r="H86" i="2"/>
  <c r="J85" i="2"/>
  <c r="H85" i="2"/>
  <c r="J84" i="2"/>
  <c r="H84" i="2"/>
  <c r="J83" i="2"/>
  <c r="J82" i="2"/>
  <c r="H82" i="2"/>
  <c r="J81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62" i="2"/>
  <c r="H62" i="2"/>
  <c r="J70" i="2"/>
  <c r="H70" i="2"/>
  <c r="J69" i="2"/>
  <c r="H69" i="2"/>
  <c r="J68" i="2"/>
  <c r="H68" i="2"/>
  <c r="J67" i="2"/>
  <c r="H67" i="2"/>
  <c r="J66" i="2"/>
  <c r="H66" i="2"/>
  <c r="J65" i="2"/>
  <c r="H65" i="2"/>
  <c r="J64" i="2"/>
  <c r="H64" i="2"/>
  <c r="J63" i="2"/>
  <c r="H63" i="2"/>
  <c r="Y39" i="4"/>
  <c r="Y33" i="4"/>
  <c r="U33" i="4"/>
  <c r="U39" i="4"/>
  <c r="N33" i="4"/>
  <c r="W33" i="4"/>
  <c r="N39" i="4"/>
  <c r="W39" i="4"/>
  <c r="B15" i="4"/>
  <c r="B7" i="4"/>
  <c r="B9" i="4"/>
  <c r="B8" i="4"/>
  <c r="S59" i="2"/>
  <c r="S60" i="2"/>
  <c r="B14" i="4"/>
  <c r="B13" i="4"/>
  <c r="B12" i="4"/>
  <c r="B11" i="4"/>
  <c r="B10" i="4"/>
  <c r="B50" i="2"/>
  <c r="B49" i="2"/>
  <c r="B48" i="2"/>
  <c r="B29" i="2"/>
  <c r="B47" i="2"/>
  <c r="B46" i="2"/>
  <c r="B45" i="2"/>
  <c r="B44" i="2"/>
  <c r="B43" i="2"/>
  <c r="B51" i="2"/>
  <c r="B33" i="2"/>
  <c r="B32" i="2"/>
  <c r="B31" i="2"/>
  <c r="B30" i="2"/>
  <c r="B28" i="2"/>
  <c r="B34" i="2"/>
  <c r="B9" i="2"/>
  <c r="B8" i="2"/>
  <c r="B14" i="2"/>
  <c r="B13" i="2"/>
  <c r="B12" i="2"/>
  <c r="B11" i="2"/>
  <c r="B10" i="2"/>
  <c r="B15" i="2"/>
  <c r="L6" i="5"/>
  <c r="M6" i="5"/>
  <c r="O6" i="5"/>
  <c r="L7" i="5"/>
  <c r="M7" i="5"/>
  <c r="O7" i="5"/>
  <c r="L8" i="5"/>
  <c r="M8" i="5"/>
  <c r="O8" i="5"/>
  <c r="L9" i="5"/>
  <c r="M9" i="5"/>
  <c r="O9" i="5"/>
  <c r="L10" i="5"/>
  <c r="M10" i="5"/>
  <c r="O10" i="5"/>
  <c r="L11" i="5"/>
  <c r="M11" i="5"/>
  <c r="O11" i="5"/>
  <c r="L12" i="5"/>
  <c r="M12" i="5"/>
  <c r="O12" i="5"/>
  <c r="L13" i="5"/>
  <c r="M13" i="5"/>
  <c r="O13" i="5"/>
  <c r="L14" i="5"/>
  <c r="M14" i="5"/>
  <c r="O14" i="5"/>
  <c r="L15" i="5"/>
  <c r="M15" i="5"/>
  <c r="O15" i="5"/>
  <c r="L16" i="5"/>
  <c r="M16" i="5"/>
  <c r="O16" i="5"/>
  <c r="L17" i="5"/>
  <c r="M17" i="5"/>
  <c r="O17" i="5"/>
  <c r="L18" i="5"/>
  <c r="M18" i="5"/>
  <c r="O18" i="5"/>
  <c r="L19" i="5"/>
  <c r="M19" i="5"/>
  <c r="O19" i="5"/>
  <c r="L20" i="5"/>
  <c r="M20" i="5"/>
  <c r="O20" i="5"/>
  <c r="L21" i="5"/>
  <c r="M21" i="5"/>
  <c r="O21" i="5"/>
  <c r="L22" i="5"/>
  <c r="M22" i="5"/>
  <c r="O22" i="5"/>
  <c r="L23" i="5"/>
  <c r="M23" i="5"/>
  <c r="O23" i="5"/>
  <c r="L24" i="5"/>
  <c r="M24" i="5"/>
  <c r="O24" i="5"/>
  <c r="L25" i="5"/>
  <c r="M25" i="5"/>
  <c r="O25" i="5"/>
  <c r="L26" i="5"/>
  <c r="M26" i="5"/>
  <c r="O26" i="5"/>
  <c r="L27" i="5"/>
  <c r="M27" i="5"/>
  <c r="O27" i="5"/>
  <c r="L28" i="5"/>
  <c r="M28" i="5"/>
  <c r="O28" i="5"/>
  <c r="L29" i="5"/>
  <c r="M29" i="5"/>
  <c r="O29" i="5"/>
  <c r="L30" i="5"/>
  <c r="M30" i="5"/>
  <c r="O30" i="5"/>
  <c r="L31" i="5"/>
  <c r="M31" i="5"/>
  <c r="O31" i="5"/>
  <c r="L32" i="5"/>
  <c r="M32" i="5"/>
  <c r="O32" i="5"/>
  <c r="L33" i="5"/>
  <c r="M33" i="5"/>
  <c r="O33" i="5"/>
  <c r="L34" i="5"/>
  <c r="M34" i="5"/>
  <c r="O34" i="5"/>
  <c r="L35" i="5"/>
  <c r="M35" i="5"/>
  <c r="O35" i="5"/>
  <c r="L36" i="5"/>
  <c r="M36" i="5"/>
  <c r="O36" i="5"/>
  <c r="L5" i="5"/>
  <c r="M5" i="5"/>
  <c r="O5" i="5"/>
  <c r="Q84" i="2"/>
  <c r="M84" i="2"/>
  <c r="N84" i="2"/>
  <c r="Q85" i="2"/>
  <c r="M85" i="2"/>
  <c r="N85" i="2"/>
  <c r="Q86" i="2"/>
  <c r="M86" i="2"/>
  <c r="N86" i="2"/>
  <c r="Q87" i="2"/>
  <c r="M87" i="2"/>
  <c r="N87" i="2"/>
  <c r="Q88" i="2"/>
  <c r="M88" i="2"/>
  <c r="N88" i="2"/>
  <c r="Q89" i="2"/>
  <c r="M89" i="2"/>
  <c r="N89" i="2"/>
  <c r="Q90" i="2"/>
  <c r="M90" i="2"/>
  <c r="N90" i="2"/>
  <c r="Q83" i="2"/>
  <c r="M83" i="2"/>
  <c r="Q76" i="2"/>
  <c r="M76" i="2"/>
  <c r="N76" i="2"/>
  <c r="Q77" i="2"/>
  <c r="M77" i="2"/>
  <c r="N77" i="2"/>
  <c r="Q78" i="2"/>
  <c r="M78" i="2"/>
  <c r="N78" i="2"/>
  <c r="Q79" i="2"/>
  <c r="M79" i="2"/>
  <c r="N79" i="2"/>
  <c r="Q80" i="2"/>
  <c r="M80" i="2"/>
  <c r="N80" i="2"/>
  <c r="Q81" i="2"/>
  <c r="M81" i="2"/>
  <c r="N81" i="2"/>
  <c r="Q82" i="2"/>
  <c r="M82" i="2"/>
  <c r="N82" i="2"/>
  <c r="Q75" i="2"/>
  <c r="M75" i="2"/>
  <c r="N75" i="2"/>
  <c r="Q68" i="2"/>
  <c r="M68" i="2"/>
  <c r="N68" i="2"/>
  <c r="Q69" i="2"/>
  <c r="M69" i="2"/>
  <c r="N69" i="2"/>
  <c r="Q70" i="2"/>
  <c r="M70" i="2"/>
  <c r="N70" i="2"/>
  <c r="Q71" i="2"/>
  <c r="M71" i="2"/>
  <c r="N71" i="2"/>
  <c r="Q72" i="2"/>
  <c r="M72" i="2"/>
  <c r="N72" i="2"/>
  <c r="Q73" i="2"/>
  <c r="M73" i="2"/>
  <c r="N73" i="2"/>
  <c r="Q74" i="2"/>
  <c r="M74" i="2"/>
  <c r="N74" i="2"/>
  <c r="Q67" i="2"/>
  <c r="M67" i="2"/>
  <c r="N67" i="2"/>
  <c r="Q61" i="2"/>
  <c r="M61" i="2"/>
  <c r="N61" i="2"/>
  <c r="R61" i="2"/>
  <c r="Q62" i="2"/>
  <c r="M62" i="2"/>
  <c r="N62" i="2"/>
  <c r="Q63" i="2"/>
  <c r="M63" i="2"/>
  <c r="N63" i="2"/>
  <c r="Q64" i="2"/>
  <c r="M64" i="2"/>
  <c r="N64" i="2"/>
  <c r="Q65" i="2"/>
  <c r="M65" i="2"/>
  <c r="N65" i="2"/>
  <c r="Q66" i="2"/>
  <c r="M66" i="2"/>
  <c r="N66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62" i="2"/>
  <c r="S62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H83" i="2"/>
  <c r="N83" i="2"/>
  <c r="N22" i="4"/>
  <c r="U22" i="4"/>
  <c r="W22" i="4"/>
  <c r="N19" i="4"/>
  <c r="U19" i="4"/>
  <c r="W19" i="4"/>
  <c r="B16" i="4"/>
  <c r="BL60" i="2"/>
  <c r="BM60" i="2"/>
  <c r="BL61" i="2"/>
  <c r="BM61" i="2"/>
  <c r="BL64" i="2"/>
  <c r="BM64" i="2"/>
  <c r="BL63" i="2"/>
  <c r="BM63" i="2"/>
  <c r="BL68" i="2"/>
  <c r="BM68" i="2"/>
  <c r="BL69" i="2"/>
  <c r="BM69" i="2"/>
  <c r="BL71" i="2"/>
  <c r="BM71" i="2"/>
  <c r="BL72" i="2"/>
  <c r="BM72" i="2"/>
  <c r="BL75" i="2"/>
  <c r="BM75" i="2"/>
  <c r="BL76" i="2"/>
  <c r="BM76" i="2"/>
  <c r="BL77" i="2"/>
  <c r="BM77" i="2"/>
  <c r="BL79" i="2"/>
  <c r="BM79" i="2"/>
  <c r="BL80" i="2"/>
  <c r="BM80" i="2"/>
  <c r="BL83" i="2"/>
  <c r="BM83" i="2"/>
  <c r="BL84" i="2"/>
  <c r="BM84" i="2"/>
  <c r="BL85" i="2"/>
  <c r="BM85" i="2"/>
  <c r="BL87" i="2"/>
  <c r="BM87" i="2"/>
  <c r="BL88" i="2"/>
  <c r="BM88" i="2"/>
  <c r="BL59" i="2"/>
  <c r="BM59" i="2"/>
  <c r="P5" i="5"/>
  <c r="Q5" i="5"/>
  <c r="R5" i="5"/>
  <c r="P36" i="5"/>
  <c r="Q36" i="5"/>
  <c r="R36" i="5"/>
  <c r="P35" i="5"/>
  <c r="Q35" i="5"/>
  <c r="R35" i="5"/>
  <c r="P34" i="5"/>
  <c r="Q34" i="5"/>
  <c r="R34" i="5"/>
  <c r="P33" i="5"/>
  <c r="Q33" i="5"/>
  <c r="R33" i="5"/>
  <c r="P32" i="5"/>
  <c r="Q32" i="5"/>
  <c r="R32" i="5"/>
  <c r="P31" i="5"/>
  <c r="Q31" i="5"/>
  <c r="R31" i="5"/>
  <c r="P30" i="5"/>
  <c r="Q30" i="5"/>
  <c r="R30" i="5"/>
  <c r="P29" i="5"/>
  <c r="Q29" i="5"/>
  <c r="R29" i="5"/>
  <c r="P28" i="5"/>
  <c r="Q28" i="5"/>
  <c r="R28" i="5"/>
  <c r="P27" i="5"/>
  <c r="Q27" i="5"/>
  <c r="R27" i="5"/>
  <c r="P26" i="5"/>
  <c r="Q26" i="5"/>
  <c r="R26" i="5"/>
  <c r="P25" i="5"/>
  <c r="Q25" i="5"/>
  <c r="R25" i="5"/>
  <c r="P24" i="5"/>
  <c r="Q24" i="5"/>
  <c r="R24" i="5"/>
  <c r="P23" i="5"/>
  <c r="Q23" i="5"/>
  <c r="R23" i="5"/>
  <c r="P22" i="5"/>
  <c r="Q22" i="5"/>
  <c r="R22" i="5"/>
  <c r="P21" i="5"/>
  <c r="Q21" i="5"/>
  <c r="R21" i="5"/>
  <c r="P20" i="5"/>
  <c r="Q20" i="5"/>
  <c r="R20" i="5"/>
  <c r="P19" i="5"/>
  <c r="Q19" i="5"/>
  <c r="R19" i="5"/>
  <c r="P18" i="5"/>
  <c r="Q18" i="5"/>
  <c r="R18" i="5"/>
  <c r="P17" i="5"/>
  <c r="Q17" i="5"/>
  <c r="R17" i="5"/>
  <c r="P16" i="5"/>
  <c r="Q16" i="5"/>
  <c r="R16" i="5"/>
  <c r="P15" i="5"/>
  <c r="Q15" i="5"/>
  <c r="R15" i="5"/>
  <c r="P14" i="5"/>
  <c r="Q14" i="5"/>
  <c r="R14" i="5"/>
  <c r="P13" i="5"/>
  <c r="Q13" i="5"/>
  <c r="R13" i="5"/>
  <c r="P12" i="5"/>
  <c r="Q12" i="5"/>
  <c r="R12" i="5"/>
  <c r="P11" i="5"/>
  <c r="Q11" i="5"/>
  <c r="R11" i="5"/>
  <c r="P10" i="5"/>
  <c r="Q10" i="5"/>
  <c r="R10" i="5"/>
  <c r="P9" i="5"/>
  <c r="Q9" i="5"/>
  <c r="R9" i="5"/>
  <c r="P8" i="5"/>
  <c r="Q8" i="5"/>
  <c r="R8" i="5"/>
  <c r="P7" i="5"/>
  <c r="Q7" i="5"/>
  <c r="R7" i="5"/>
  <c r="P6" i="5"/>
  <c r="Q6" i="5"/>
  <c r="R6" i="5"/>
  <c r="S61" i="2"/>
  <c r="R83" i="2"/>
  <c r="S83" i="2"/>
  <c r="W32" i="4"/>
  <c r="W35" i="4"/>
  <c r="W31" i="4"/>
  <c r="W34" i="4"/>
  <c r="W29" i="4"/>
  <c r="W21" i="4"/>
  <c r="W23" i="4"/>
  <c r="W26" i="4"/>
  <c r="W27" i="4"/>
  <c r="W24" i="4"/>
  <c r="W28" i="4"/>
  <c r="W25" i="4"/>
  <c r="W30" i="4"/>
  <c r="W38" i="4"/>
  <c r="W40" i="4"/>
  <c r="W36" i="4"/>
  <c r="W41" i="4"/>
  <c r="W37" i="4"/>
  <c r="W42" i="4"/>
  <c r="AU19" i="4"/>
  <c r="AU20" i="4"/>
  <c r="AJ20" i="4"/>
  <c r="AK20" i="4"/>
  <c r="AL20" i="4"/>
  <c r="AU21" i="4"/>
  <c r="AJ21" i="4"/>
  <c r="AK21" i="4"/>
  <c r="AU22" i="4"/>
  <c r="AJ22" i="4"/>
  <c r="AK22" i="4"/>
  <c r="AU23" i="4"/>
  <c r="AJ23" i="4"/>
  <c r="AK23" i="4"/>
  <c r="AU24" i="4"/>
  <c r="AJ24" i="4"/>
  <c r="AK24" i="4"/>
  <c r="AU25" i="4"/>
  <c r="AJ25" i="4"/>
  <c r="AK25" i="4"/>
  <c r="AU26" i="4"/>
  <c r="AJ26" i="4"/>
  <c r="AK26" i="4"/>
  <c r="AU27" i="4"/>
  <c r="AJ27" i="4"/>
  <c r="AK27" i="4"/>
  <c r="AU28" i="4"/>
  <c r="AJ28" i="4"/>
  <c r="AK28" i="4"/>
  <c r="AU29" i="4"/>
  <c r="AJ29" i="4"/>
  <c r="AK29" i="4"/>
  <c r="AU30" i="4"/>
  <c r="AJ30" i="4"/>
  <c r="AK30" i="4"/>
  <c r="AU31" i="4"/>
  <c r="AJ31" i="4"/>
  <c r="AK31" i="4"/>
  <c r="AU32" i="4"/>
  <c r="AJ32" i="4"/>
  <c r="AK32" i="4"/>
  <c r="AU33" i="4"/>
  <c r="AJ33" i="4"/>
  <c r="AK33" i="4"/>
  <c r="AU34" i="4"/>
  <c r="AJ34" i="4"/>
  <c r="AK34" i="4"/>
  <c r="AU35" i="4"/>
  <c r="AJ35" i="4"/>
  <c r="AK35" i="4"/>
  <c r="AU36" i="4"/>
  <c r="AJ36" i="4"/>
  <c r="AK36" i="4"/>
  <c r="AU37" i="4"/>
  <c r="AJ37" i="4"/>
  <c r="AK37" i="4"/>
  <c r="AU38" i="4"/>
  <c r="AJ38" i="4"/>
  <c r="AK38" i="4"/>
  <c r="AU39" i="4"/>
  <c r="AJ39" i="4"/>
  <c r="AK39" i="4"/>
  <c r="AU40" i="4"/>
  <c r="AJ40" i="4"/>
  <c r="AK40" i="4"/>
  <c r="AU41" i="4"/>
  <c r="AJ41" i="4"/>
  <c r="AK41" i="4"/>
  <c r="AU42" i="4"/>
  <c r="AJ42" i="4"/>
  <c r="AK42" i="4"/>
  <c r="AL42" i="4"/>
  <c r="AQ42" i="4"/>
  <c r="AR42" i="4"/>
  <c r="AS42" i="4"/>
  <c r="AV42" i="4"/>
  <c r="AL41" i="4"/>
  <c r="AQ41" i="4"/>
  <c r="AR41" i="4"/>
  <c r="AS41" i="4"/>
  <c r="AV41" i="4"/>
  <c r="AL40" i="4"/>
  <c r="AQ40" i="4"/>
  <c r="AR40" i="4"/>
  <c r="AS40" i="4"/>
  <c r="AV40" i="4"/>
  <c r="AL39" i="4"/>
  <c r="AQ39" i="4"/>
  <c r="AR39" i="4"/>
  <c r="AS39" i="4"/>
  <c r="AV39" i="4"/>
  <c r="AL38" i="4"/>
  <c r="AQ38" i="4"/>
  <c r="AR38" i="4"/>
  <c r="AS38" i="4"/>
  <c r="AV38" i="4"/>
  <c r="AL37" i="4"/>
  <c r="AQ37" i="4"/>
  <c r="AR37" i="4"/>
  <c r="AS37" i="4"/>
  <c r="AV37" i="4"/>
  <c r="AL36" i="4"/>
  <c r="AQ36" i="4"/>
  <c r="AR36" i="4"/>
  <c r="AS36" i="4"/>
  <c r="AV36" i="4"/>
  <c r="AL35" i="4"/>
  <c r="AQ35" i="4"/>
  <c r="AR35" i="4"/>
  <c r="AS35" i="4"/>
  <c r="AV35" i="4"/>
  <c r="AL34" i="4"/>
  <c r="AQ34" i="4"/>
  <c r="AR34" i="4"/>
  <c r="AS34" i="4"/>
  <c r="AV34" i="4"/>
  <c r="AL33" i="4"/>
  <c r="AQ33" i="4"/>
  <c r="AR33" i="4"/>
  <c r="AS33" i="4"/>
  <c r="AV33" i="4"/>
  <c r="AL32" i="4"/>
  <c r="AQ32" i="4"/>
  <c r="AR32" i="4"/>
  <c r="AS32" i="4"/>
  <c r="AV32" i="4"/>
  <c r="AL31" i="4"/>
  <c r="AQ31" i="4"/>
  <c r="AR31" i="4"/>
  <c r="AS31" i="4"/>
  <c r="AV31" i="4"/>
  <c r="AL30" i="4"/>
  <c r="AQ30" i="4"/>
  <c r="AR30" i="4"/>
  <c r="AS30" i="4"/>
  <c r="AV30" i="4"/>
  <c r="AL29" i="4"/>
  <c r="AQ29" i="4"/>
  <c r="AR29" i="4"/>
  <c r="AS29" i="4"/>
  <c r="AV29" i="4"/>
  <c r="AL28" i="4"/>
  <c r="AQ28" i="4"/>
  <c r="AR28" i="4"/>
  <c r="AS28" i="4"/>
  <c r="AV28" i="4"/>
  <c r="AL27" i="4"/>
  <c r="AQ27" i="4"/>
  <c r="AR27" i="4"/>
  <c r="AS27" i="4"/>
  <c r="AV27" i="4"/>
  <c r="AL26" i="4"/>
  <c r="AQ26" i="4"/>
  <c r="AR26" i="4"/>
  <c r="AS26" i="4"/>
  <c r="AV26" i="4"/>
  <c r="AL25" i="4"/>
  <c r="AQ25" i="4"/>
  <c r="AR25" i="4"/>
  <c r="AS25" i="4"/>
  <c r="AV25" i="4"/>
  <c r="AL24" i="4"/>
  <c r="AQ24" i="4"/>
  <c r="AR24" i="4"/>
  <c r="AS24" i="4"/>
  <c r="AV24" i="4"/>
  <c r="AL23" i="4"/>
  <c r="AQ23" i="4"/>
  <c r="AR23" i="4"/>
  <c r="AS23" i="4"/>
  <c r="AV23" i="4"/>
  <c r="AL22" i="4"/>
  <c r="AQ22" i="4"/>
  <c r="AR22" i="4"/>
  <c r="AS22" i="4"/>
  <c r="AV22" i="4"/>
  <c r="AL21" i="4"/>
  <c r="AQ21" i="4"/>
  <c r="AR21" i="4"/>
  <c r="AS21" i="4"/>
  <c r="AV21" i="4"/>
  <c r="AQ20" i="4"/>
  <c r="AR20" i="4"/>
  <c r="AS20" i="4"/>
  <c r="AV20" i="4"/>
  <c r="AQ19" i="4"/>
  <c r="AR19" i="4"/>
  <c r="AS19" i="4"/>
  <c r="AV19" i="4"/>
  <c r="S20" i="4"/>
  <c r="AC20" i="4"/>
  <c r="AW20" i="4"/>
  <c r="S29" i="4"/>
  <c r="AC29" i="4"/>
  <c r="AW29" i="4"/>
  <c r="Y19" i="4"/>
  <c r="S30" i="4"/>
  <c r="AC30" i="4"/>
  <c r="AW30" i="4"/>
  <c r="S42" i="4"/>
  <c r="AC42" i="4"/>
  <c r="AW42" i="4"/>
  <c r="S41" i="4"/>
  <c r="AC41" i="4"/>
  <c r="AW41" i="4"/>
  <c r="S40" i="4"/>
  <c r="AC40" i="4"/>
  <c r="AW40" i="4"/>
  <c r="S39" i="4"/>
  <c r="AC39" i="4"/>
  <c r="AW39" i="4"/>
  <c r="S38" i="4"/>
  <c r="AC38" i="4"/>
  <c r="AW38" i="4"/>
  <c r="S37" i="4"/>
  <c r="AC37" i="4"/>
  <c r="AW37" i="4"/>
  <c r="S36" i="4"/>
  <c r="AC36" i="4"/>
  <c r="AW36" i="4"/>
  <c r="S35" i="4"/>
  <c r="AC35" i="4"/>
  <c r="AW35" i="4"/>
  <c r="S34" i="4"/>
  <c r="AC34" i="4"/>
  <c r="AW34" i="4"/>
  <c r="S33" i="4"/>
  <c r="AC33" i="4"/>
  <c r="AW33" i="4"/>
  <c r="S32" i="4"/>
  <c r="AC32" i="4"/>
  <c r="AW32" i="4"/>
  <c r="S31" i="4"/>
  <c r="AC31" i="4"/>
  <c r="AW31" i="4"/>
  <c r="S28" i="4"/>
  <c r="AC28" i="4"/>
  <c r="AW28" i="4"/>
  <c r="S27" i="4"/>
  <c r="AC27" i="4"/>
  <c r="AW27" i="4"/>
  <c r="S26" i="4"/>
  <c r="AC26" i="4"/>
  <c r="AW26" i="4"/>
  <c r="S25" i="4"/>
  <c r="AC25" i="4"/>
  <c r="AW25" i="4"/>
  <c r="S24" i="4"/>
  <c r="AC24" i="4"/>
  <c r="AW24" i="4"/>
  <c r="S23" i="4"/>
  <c r="AC23" i="4"/>
  <c r="AW23" i="4"/>
  <c r="S22" i="4"/>
  <c r="AC22" i="4"/>
  <c r="AW22" i="4"/>
  <c r="S21" i="4"/>
  <c r="AC21" i="4"/>
  <c r="AW21" i="4"/>
  <c r="S19" i="4"/>
  <c r="AC19" i="4"/>
  <c r="AW19" i="4"/>
  <c r="Y90" i="2" l="1"/>
  <c r="Z90" i="2" s="1"/>
  <c r="AA90" i="2" s="1"/>
  <c r="AJ90" i="2"/>
  <c r="AK90" i="2" s="1"/>
  <c r="Y89" i="2"/>
  <c r="Z89" i="2" s="1"/>
  <c r="AA89" i="2" s="1"/>
  <c r="AJ89" i="2"/>
  <c r="AK89" i="2" s="1"/>
  <c r="Y88" i="2"/>
  <c r="Z88" i="2" s="1"/>
  <c r="AA88" i="2" s="1"/>
  <c r="AJ88" i="2"/>
  <c r="AK88" i="2" s="1"/>
  <c r="Y87" i="2"/>
  <c r="Z87" i="2" s="1"/>
  <c r="AA87" i="2" s="1"/>
  <c r="AJ87" i="2"/>
  <c r="AK87" i="2" s="1"/>
  <c r="Y86" i="2"/>
  <c r="Z86" i="2" s="1"/>
  <c r="AA86" i="2" s="1"/>
  <c r="AJ86" i="2"/>
  <c r="AK86" i="2" s="1"/>
  <c r="Y85" i="2"/>
  <c r="Z85" i="2" s="1"/>
  <c r="AA85" i="2" s="1"/>
  <c r="AJ85" i="2"/>
  <c r="AK85" i="2" s="1"/>
  <c r="Y84" i="2"/>
  <c r="Z84" i="2" s="1"/>
  <c r="AA84" i="2" s="1"/>
  <c r="AJ84" i="2"/>
  <c r="AK84" i="2" s="1"/>
  <c r="Y83" i="2"/>
  <c r="Z83" i="2" s="1"/>
  <c r="AA83" i="2" s="1"/>
  <c r="AJ83" i="2"/>
  <c r="AK83" i="2" s="1"/>
  <c r="Y82" i="2"/>
  <c r="Z82" i="2" s="1"/>
  <c r="AA82" i="2" s="1"/>
  <c r="AJ82" i="2"/>
  <c r="AK82" i="2" s="1"/>
  <c r="Y81" i="2"/>
  <c r="Z81" i="2" s="1"/>
  <c r="AA81" i="2" s="1"/>
  <c r="AJ81" i="2"/>
  <c r="AK81" i="2" s="1"/>
  <c r="Y80" i="2"/>
  <c r="Z80" i="2" s="1"/>
  <c r="AA80" i="2" s="1"/>
  <c r="AJ80" i="2"/>
  <c r="AK80" i="2" s="1"/>
  <c r="Y79" i="2"/>
  <c r="Z79" i="2" s="1"/>
  <c r="AA79" i="2" s="1"/>
  <c r="AJ79" i="2"/>
  <c r="AK79" i="2" s="1"/>
  <c r="Y78" i="2"/>
  <c r="Z78" i="2" s="1"/>
  <c r="AA78" i="2" s="1"/>
  <c r="AJ78" i="2"/>
  <c r="AK78" i="2" s="1"/>
  <c r="Y77" i="2"/>
  <c r="Z77" i="2" s="1"/>
  <c r="AA77" i="2" s="1"/>
  <c r="AJ77" i="2"/>
  <c r="AK77" i="2" s="1"/>
  <c r="Y76" i="2"/>
  <c r="Z76" i="2" s="1"/>
  <c r="AA76" i="2" s="1"/>
  <c r="AJ76" i="2"/>
  <c r="AK76" i="2" s="1"/>
  <c r="Y75" i="2"/>
  <c r="Z75" i="2" s="1"/>
  <c r="AA75" i="2" s="1"/>
  <c r="AJ75" i="2"/>
  <c r="AK75" i="2" s="1"/>
  <c r="Y74" i="2"/>
  <c r="Z74" i="2" s="1"/>
  <c r="AA74" i="2" s="1"/>
  <c r="AJ74" i="2"/>
  <c r="AK74" i="2" s="1"/>
  <c r="Y73" i="2"/>
  <c r="Z73" i="2" s="1"/>
  <c r="AA73" i="2" s="1"/>
  <c r="AJ73" i="2"/>
  <c r="AK73" i="2" s="1"/>
  <c r="Y72" i="2"/>
  <c r="Z72" i="2" s="1"/>
  <c r="AA72" i="2" s="1"/>
  <c r="AJ72" i="2"/>
  <c r="AK72" i="2" s="1"/>
  <c r="Y71" i="2"/>
  <c r="Z71" i="2" s="1"/>
  <c r="AA71" i="2" s="1"/>
  <c r="AJ71" i="2"/>
  <c r="AK71" i="2" s="1"/>
  <c r="Y70" i="2"/>
  <c r="Z70" i="2" s="1"/>
  <c r="AA70" i="2" s="1"/>
  <c r="AJ70" i="2"/>
  <c r="AK70" i="2" s="1"/>
  <c r="Y69" i="2"/>
  <c r="Z69" i="2" s="1"/>
  <c r="AA69" i="2" s="1"/>
  <c r="AJ69" i="2"/>
  <c r="AK69" i="2" s="1"/>
  <c r="Y68" i="2"/>
  <c r="Z68" i="2" s="1"/>
  <c r="AA68" i="2" s="1"/>
  <c r="AJ68" i="2"/>
  <c r="AK68" i="2" s="1"/>
  <c r="Y67" i="2"/>
  <c r="Z67" i="2" s="1"/>
  <c r="AA67" i="2" s="1"/>
  <c r="AJ67" i="2"/>
  <c r="AK67" i="2" s="1"/>
  <c r="Y66" i="2"/>
  <c r="Z66" i="2" s="1"/>
  <c r="AA66" i="2" s="1"/>
  <c r="AJ66" i="2"/>
  <c r="AK66" i="2" s="1"/>
  <c r="Y65" i="2"/>
  <c r="Z65" i="2" s="1"/>
  <c r="AA65" i="2" s="1"/>
  <c r="AJ65" i="2"/>
  <c r="AK65" i="2" s="1"/>
  <c r="Y64" i="2"/>
  <c r="Z64" i="2" s="1"/>
  <c r="AA64" i="2" s="1"/>
  <c r="AJ64" i="2"/>
  <c r="AK64" i="2" s="1"/>
  <c r="Y63" i="2"/>
  <c r="Z63" i="2" s="1"/>
  <c r="AA63" i="2" s="1"/>
  <c r="AJ63" i="2"/>
  <c r="AK63" i="2" s="1"/>
  <c r="Y62" i="2"/>
  <c r="Z62" i="2" s="1"/>
  <c r="AA62" i="2" s="1"/>
  <c r="AJ62" i="2"/>
  <c r="AK62" i="2" s="1"/>
  <c r="Y61" i="2"/>
  <c r="Z61" i="2" s="1"/>
  <c r="AA61" i="2" s="1"/>
  <c r="AJ61" i="2"/>
  <c r="AK61" i="2" s="1"/>
  <c r="Y60" i="2"/>
  <c r="Z60" i="2" s="1"/>
  <c r="AA60" i="2" s="1"/>
  <c r="AJ60" i="2"/>
  <c r="AK60" i="2" s="1"/>
  <c r="Y59" i="2"/>
  <c r="Z59" i="2" s="1"/>
  <c r="AA59" i="2" s="1"/>
  <c r="AJ59" i="2"/>
  <c r="AK59" i="2" s="1"/>
  <c r="AQ90" i="2"/>
  <c r="AT90" i="2" s="1"/>
  <c r="AQ89" i="2"/>
  <c r="AT89" i="2" s="1"/>
  <c r="AQ88" i="2"/>
  <c r="AT88" i="2" s="1"/>
  <c r="AQ87" i="2"/>
  <c r="AT87" i="2" s="1"/>
  <c r="AQ86" i="2"/>
  <c r="AT86" i="2" s="1"/>
  <c r="AQ85" i="2"/>
  <c r="AT85" i="2" s="1"/>
  <c r="AQ84" i="2"/>
  <c r="AT84" i="2" s="1"/>
  <c r="AQ83" i="2"/>
  <c r="AT83" i="2" s="1"/>
  <c r="AQ82" i="2"/>
  <c r="AT82" i="2" s="1"/>
  <c r="AQ81" i="2"/>
  <c r="AT81" i="2" s="1"/>
  <c r="AQ80" i="2"/>
  <c r="AT80" i="2" s="1"/>
  <c r="AQ79" i="2"/>
  <c r="AT79" i="2" s="1"/>
  <c r="AQ78" i="2"/>
  <c r="AT78" i="2" s="1"/>
  <c r="AQ77" i="2"/>
  <c r="AT77" i="2" s="1"/>
  <c r="AQ76" i="2"/>
  <c r="AT76" i="2" s="1"/>
  <c r="AQ75" i="2"/>
  <c r="AT75" i="2" s="1"/>
  <c r="AQ74" i="2"/>
  <c r="AT74" i="2" s="1"/>
  <c r="AQ73" i="2"/>
  <c r="AT73" i="2" s="1"/>
  <c r="AQ72" i="2"/>
  <c r="AT72" i="2" s="1"/>
  <c r="AQ71" i="2"/>
  <c r="AT71" i="2" s="1"/>
  <c r="AQ70" i="2"/>
  <c r="AT70" i="2" s="1"/>
  <c r="AQ69" i="2"/>
  <c r="AT69" i="2" s="1"/>
  <c r="AQ68" i="2"/>
  <c r="AT68" i="2" s="1"/>
  <c r="AQ67" i="2"/>
  <c r="AT67" i="2" s="1"/>
  <c r="AQ66" i="2"/>
  <c r="AT66" i="2" s="1"/>
  <c r="AQ65" i="2"/>
  <c r="AT65" i="2" s="1"/>
  <c r="AQ64" i="2"/>
  <c r="AT64" i="2" s="1"/>
  <c r="AQ61" i="2"/>
  <c r="AT61" i="2" s="1"/>
  <c r="AQ60" i="2"/>
  <c r="AT60" i="2" s="1"/>
  <c r="AQ59" i="2"/>
  <c r="AQ62" i="2"/>
  <c r="AT62" i="2" s="1"/>
  <c r="AQ63" i="2"/>
  <c r="AX62" i="2"/>
  <c r="AV62" i="2"/>
  <c r="AR62" i="2"/>
  <c r="AS62" i="2" s="1"/>
  <c r="AB59" i="2" l="1"/>
  <c r="AG59" i="2"/>
  <c r="AB60" i="2"/>
  <c r="AG60" i="2"/>
  <c r="AH60" i="2" s="1"/>
  <c r="AI60" i="2" s="1"/>
  <c r="AL60" i="2" s="1"/>
  <c r="AB61" i="2"/>
  <c r="AG61" i="2"/>
  <c r="AH61" i="2" s="1"/>
  <c r="AI61" i="2" s="1"/>
  <c r="AL61" i="2" s="1"/>
  <c r="AB62" i="2"/>
  <c r="AG62" i="2"/>
  <c r="AH62" i="2" s="1"/>
  <c r="AI62" i="2" s="1"/>
  <c r="AL62" i="2" s="1"/>
  <c r="AB63" i="2"/>
  <c r="AG63" i="2"/>
  <c r="AH63" i="2" s="1"/>
  <c r="AI63" i="2" s="1"/>
  <c r="AL63" i="2" s="1"/>
  <c r="AB64" i="2"/>
  <c r="AG64" i="2"/>
  <c r="AH64" i="2" s="1"/>
  <c r="AI64" i="2" s="1"/>
  <c r="AL64" i="2" s="1"/>
  <c r="AB65" i="2"/>
  <c r="AG65" i="2"/>
  <c r="AH65" i="2" s="1"/>
  <c r="AI65" i="2" s="1"/>
  <c r="AL65" i="2" s="1"/>
  <c r="AB66" i="2"/>
  <c r="AG66" i="2"/>
  <c r="AH66" i="2" s="1"/>
  <c r="AI66" i="2" s="1"/>
  <c r="AL66" i="2" s="1"/>
  <c r="AB67" i="2"/>
  <c r="AG67" i="2"/>
  <c r="AH67" i="2" s="1"/>
  <c r="AI67" i="2" s="1"/>
  <c r="AL67" i="2" s="1"/>
  <c r="AB68" i="2"/>
  <c r="AG68" i="2"/>
  <c r="AH68" i="2" s="1"/>
  <c r="AI68" i="2" s="1"/>
  <c r="AL68" i="2" s="1"/>
  <c r="AB69" i="2"/>
  <c r="AG69" i="2"/>
  <c r="AH69" i="2" s="1"/>
  <c r="AI69" i="2" s="1"/>
  <c r="AL69" i="2" s="1"/>
  <c r="AB70" i="2"/>
  <c r="AG70" i="2"/>
  <c r="AH70" i="2" s="1"/>
  <c r="AI70" i="2" s="1"/>
  <c r="AL70" i="2" s="1"/>
  <c r="AB71" i="2"/>
  <c r="AG71" i="2"/>
  <c r="AH71" i="2" s="1"/>
  <c r="AI71" i="2" s="1"/>
  <c r="AL71" i="2" s="1"/>
  <c r="AB72" i="2"/>
  <c r="AG72" i="2"/>
  <c r="AH72" i="2" s="1"/>
  <c r="AI72" i="2" s="1"/>
  <c r="AL72" i="2" s="1"/>
  <c r="AB73" i="2"/>
  <c r="AG73" i="2"/>
  <c r="AH73" i="2" s="1"/>
  <c r="AI73" i="2" s="1"/>
  <c r="AL73" i="2" s="1"/>
  <c r="AB74" i="2"/>
  <c r="AG74" i="2"/>
  <c r="AH74" i="2" s="1"/>
  <c r="AI74" i="2" s="1"/>
  <c r="AL74" i="2" s="1"/>
  <c r="AB75" i="2"/>
  <c r="AG75" i="2"/>
  <c r="AH75" i="2" s="1"/>
  <c r="AI75" i="2" s="1"/>
  <c r="AL75" i="2" s="1"/>
  <c r="AB76" i="2"/>
  <c r="AG76" i="2"/>
  <c r="AH76" i="2" s="1"/>
  <c r="AI76" i="2" s="1"/>
  <c r="AL76" i="2" s="1"/>
  <c r="AB77" i="2"/>
  <c r="AG77" i="2"/>
  <c r="AH77" i="2" s="1"/>
  <c r="AI77" i="2" s="1"/>
  <c r="AL77" i="2" s="1"/>
  <c r="AB78" i="2"/>
  <c r="AG78" i="2"/>
  <c r="AH78" i="2" s="1"/>
  <c r="AI78" i="2" s="1"/>
  <c r="AL78" i="2" s="1"/>
  <c r="AB79" i="2"/>
  <c r="AG79" i="2"/>
  <c r="AH79" i="2" s="1"/>
  <c r="AI79" i="2" s="1"/>
  <c r="AL79" i="2" s="1"/>
  <c r="AB80" i="2"/>
  <c r="AG80" i="2"/>
  <c r="AH80" i="2" s="1"/>
  <c r="AI80" i="2" s="1"/>
  <c r="AL80" i="2" s="1"/>
  <c r="AB81" i="2"/>
  <c r="AG81" i="2"/>
  <c r="AH81" i="2" s="1"/>
  <c r="AI81" i="2" s="1"/>
  <c r="AL81" i="2" s="1"/>
  <c r="AB82" i="2"/>
  <c r="AG82" i="2"/>
  <c r="AH82" i="2" s="1"/>
  <c r="AI82" i="2" s="1"/>
  <c r="AL82" i="2" s="1"/>
  <c r="AB83" i="2"/>
  <c r="AG83" i="2"/>
  <c r="AH83" i="2" s="1"/>
  <c r="AI83" i="2" s="1"/>
  <c r="AL83" i="2" s="1"/>
  <c r="AB84" i="2"/>
  <c r="AG84" i="2"/>
  <c r="AH84" i="2" s="1"/>
  <c r="AI84" i="2" s="1"/>
  <c r="AL84" i="2" s="1"/>
  <c r="AB85" i="2"/>
  <c r="AG85" i="2"/>
  <c r="AH85" i="2" s="1"/>
  <c r="AI85" i="2" s="1"/>
  <c r="AL85" i="2" s="1"/>
  <c r="AB86" i="2"/>
  <c r="AG86" i="2"/>
  <c r="AH86" i="2" s="1"/>
  <c r="AI86" i="2" s="1"/>
  <c r="AL86" i="2" s="1"/>
  <c r="AB87" i="2"/>
  <c r="AG87" i="2"/>
  <c r="AH87" i="2" s="1"/>
  <c r="AI87" i="2" s="1"/>
  <c r="AL87" i="2" s="1"/>
  <c r="AB88" i="2"/>
  <c r="AG88" i="2"/>
  <c r="AH88" i="2" s="1"/>
  <c r="AI88" i="2" s="1"/>
  <c r="AL88" i="2" s="1"/>
  <c r="AB89" i="2"/>
  <c r="AG89" i="2"/>
  <c r="AH89" i="2" s="1"/>
  <c r="AI89" i="2" s="1"/>
  <c r="AL89" i="2" s="1"/>
  <c r="AB90" i="2"/>
  <c r="AG90" i="2"/>
  <c r="AH90" i="2" s="1"/>
  <c r="AI90" i="2" s="1"/>
  <c r="AL90" i="2" s="1"/>
  <c r="AZ62" i="2"/>
  <c r="BA62" i="2" s="1"/>
  <c r="AT59" i="2"/>
  <c r="AR59" i="2"/>
  <c r="AR63" i="2"/>
  <c r="AS63" i="2" s="1"/>
  <c r="AT63" i="2"/>
  <c r="AS59" i="2"/>
  <c r="AZ59" i="2" s="1"/>
  <c r="AR60" i="2"/>
  <c r="AS60" i="2" s="1"/>
  <c r="AR61" i="2"/>
  <c r="AS61" i="2" s="1"/>
  <c r="AR64" i="2"/>
  <c r="AS64" i="2" s="1"/>
  <c r="AR65" i="2"/>
  <c r="AS65" i="2" s="1"/>
  <c r="AR66" i="2"/>
  <c r="AS66" i="2" s="1"/>
  <c r="AR67" i="2"/>
  <c r="AS67" i="2" s="1"/>
  <c r="AR68" i="2"/>
  <c r="AS68" i="2" s="1"/>
  <c r="AR69" i="2"/>
  <c r="AS69" i="2" s="1"/>
  <c r="AR70" i="2"/>
  <c r="AS70" i="2" s="1"/>
  <c r="AR71" i="2"/>
  <c r="AS71" i="2" s="1"/>
  <c r="AR72" i="2"/>
  <c r="AS72" i="2" s="1"/>
  <c r="AR73" i="2"/>
  <c r="AS73" i="2" s="1"/>
  <c r="AR74" i="2"/>
  <c r="AS74" i="2" s="1"/>
  <c r="AR75" i="2"/>
  <c r="AS75" i="2" s="1"/>
  <c r="AR76" i="2"/>
  <c r="AS76" i="2" s="1"/>
  <c r="AR77" i="2"/>
  <c r="AS77" i="2" s="1"/>
  <c r="AR78" i="2"/>
  <c r="AS78" i="2" s="1"/>
  <c r="AR79" i="2"/>
  <c r="AS79" i="2" s="1"/>
  <c r="AR80" i="2"/>
  <c r="AS80" i="2" s="1"/>
  <c r="AR81" i="2"/>
  <c r="AS81" i="2" s="1"/>
  <c r="AR82" i="2"/>
  <c r="AS82" i="2" s="1"/>
  <c r="AR83" i="2"/>
  <c r="AS83" i="2" s="1"/>
  <c r="AR84" i="2"/>
  <c r="AS84" i="2" s="1"/>
  <c r="AR85" i="2"/>
  <c r="AS85" i="2" s="1"/>
  <c r="AR86" i="2"/>
  <c r="AS86" i="2" s="1"/>
  <c r="AR87" i="2"/>
  <c r="AS87" i="2" s="1"/>
  <c r="AR88" i="2"/>
  <c r="AS88" i="2" s="1"/>
  <c r="AR89" i="2"/>
  <c r="AS89" i="2" s="1"/>
  <c r="AR90" i="2"/>
  <c r="AS90" i="2" s="1"/>
  <c r="AY62" i="2"/>
  <c r="AH59" i="2" l="1"/>
  <c r="AI59" i="2" s="1"/>
  <c r="AL59" i="2" s="1"/>
  <c r="AH59" i="4"/>
  <c r="BE62" i="2"/>
  <c r="BF62" i="2" s="1"/>
  <c r="AZ90" i="2"/>
  <c r="BA90" i="2" s="1"/>
  <c r="AZ89" i="2"/>
  <c r="BA89" i="2" s="1"/>
  <c r="AZ88" i="2"/>
  <c r="BA88" i="2" s="1"/>
  <c r="AZ87" i="2"/>
  <c r="BA87" i="2" s="1"/>
  <c r="AZ86" i="2"/>
  <c r="BA86" i="2" s="1"/>
  <c r="AZ85" i="2"/>
  <c r="BA85" i="2" s="1"/>
  <c r="AZ84" i="2"/>
  <c r="BA84" i="2" s="1"/>
  <c r="AZ83" i="2"/>
  <c r="BA83" i="2" s="1"/>
  <c r="AZ82" i="2"/>
  <c r="BA82" i="2" s="1"/>
  <c r="AZ81" i="2"/>
  <c r="BA81" i="2" s="1"/>
  <c r="AZ80" i="2"/>
  <c r="BA80" i="2" s="1"/>
  <c r="AZ79" i="2"/>
  <c r="BA79" i="2" s="1"/>
  <c r="AZ78" i="2"/>
  <c r="BA78" i="2" s="1"/>
  <c r="AZ77" i="2"/>
  <c r="BA77" i="2" s="1"/>
  <c r="AZ76" i="2"/>
  <c r="BA76" i="2" s="1"/>
  <c r="AZ75" i="2"/>
  <c r="BA75" i="2" s="1"/>
  <c r="AZ74" i="2"/>
  <c r="BA74" i="2" s="1"/>
  <c r="AZ73" i="2"/>
  <c r="BA73" i="2" s="1"/>
  <c r="AZ72" i="2"/>
  <c r="BA72" i="2" s="1"/>
  <c r="AZ71" i="2"/>
  <c r="BA71" i="2" s="1"/>
  <c r="AZ70" i="2"/>
  <c r="BA70" i="2" s="1"/>
  <c r="AZ69" i="2"/>
  <c r="BA69" i="2" s="1"/>
  <c r="AZ68" i="2"/>
  <c r="BA68" i="2" s="1"/>
  <c r="AZ67" i="2"/>
  <c r="BA67" i="2" s="1"/>
  <c r="AZ66" i="2"/>
  <c r="BA66" i="2" s="1"/>
  <c r="AZ65" i="2"/>
  <c r="BA65" i="2" s="1"/>
  <c r="AZ64" i="2"/>
  <c r="BA64" i="2" s="1"/>
  <c r="AZ61" i="2"/>
  <c r="BA61" i="2" s="1"/>
  <c r="AZ60" i="2"/>
  <c r="BA60" i="2" s="1"/>
  <c r="AZ63" i="2"/>
  <c r="BA63" i="2" s="1"/>
  <c r="BA59" i="2"/>
  <c r="AX63" i="2"/>
  <c r="AY63" i="2" s="1"/>
  <c r="AV63" i="2"/>
  <c r="BD59" i="2"/>
  <c r="AX90" i="2"/>
  <c r="AY90" i="2" s="1"/>
  <c r="AV90" i="2"/>
  <c r="AX89" i="2"/>
  <c r="AY89" i="2" s="1"/>
  <c r="AV89" i="2"/>
  <c r="AX88" i="2"/>
  <c r="AY88" i="2" s="1"/>
  <c r="AV88" i="2"/>
  <c r="AX87" i="2"/>
  <c r="AY87" i="2" s="1"/>
  <c r="AV87" i="2"/>
  <c r="AX86" i="2"/>
  <c r="AY86" i="2" s="1"/>
  <c r="AV86" i="2"/>
  <c r="AX85" i="2"/>
  <c r="AY85" i="2" s="1"/>
  <c r="AV85" i="2"/>
  <c r="AX84" i="2"/>
  <c r="AY84" i="2" s="1"/>
  <c r="AV84" i="2"/>
  <c r="AX83" i="2"/>
  <c r="AY83" i="2" s="1"/>
  <c r="AV83" i="2"/>
  <c r="AX82" i="2"/>
  <c r="AY82" i="2" s="1"/>
  <c r="AV82" i="2"/>
  <c r="AX81" i="2"/>
  <c r="AY81" i="2" s="1"/>
  <c r="AV81" i="2"/>
  <c r="AX80" i="2"/>
  <c r="AY80" i="2" s="1"/>
  <c r="AV80" i="2"/>
  <c r="AX79" i="2"/>
  <c r="AY79" i="2" s="1"/>
  <c r="AV79" i="2"/>
  <c r="AX78" i="2"/>
  <c r="AY78" i="2" s="1"/>
  <c r="AV78" i="2"/>
  <c r="AX77" i="2"/>
  <c r="AY77" i="2" s="1"/>
  <c r="AV77" i="2"/>
  <c r="AX76" i="2"/>
  <c r="AY76" i="2" s="1"/>
  <c r="AV76" i="2"/>
  <c r="AX75" i="2"/>
  <c r="AY75" i="2" s="1"/>
  <c r="AV75" i="2"/>
  <c r="AX74" i="2"/>
  <c r="AY74" i="2" s="1"/>
  <c r="AV74" i="2"/>
  <c r="AX73" i="2"/>
  <c r="AY73" i="2" s="1"/>
  <c r="AV73" i="2"/>
  <c r="AX72" i="2"/>
  <c r="AY72" i="2" s="1"/>
  <c r="AV72" i="2"/>
  <c r="AX71" i="2"/>
  <c r="AY71" i="2" s="1"/>
  <c r="AV71" i="2"/>
  <c r="AX70" i="2"/>
  <c r="AY70" i="2" s="1"/>
  <c r="AV70" i="2"/>
  <c r="AX69" i="2"/>
  <c r="AY69" i="2" s="1"/>
  <c r="AV69" i="2"/>
  <c r="AX68" i="2"/>
  <c r="AY68" i="2" s="1"/>
  <c r="AV68" i="2"/>
  <c r="AX67" i="2"/>
  <c r="AY67" i="2" s="1"/>
  <c r="AV67" i="2"/>
  <c r="AX66" i="2"/>
  <c r="AY66" i="2" s="1"/>
  <c r="AV66" i="2"/>
  <c r="AX65" i="2"/>
  <c r="AY65" i="2" s="1"/>
  <c r="AV65" i="2"/>
  <c r="AX64" i="2"/>
  <c r="AY64" i="2" s="1"/>
  <c r="AV64" i="2"/>
  <c r="AX61" i="2"/>
  <c r="AY61" i="2" s="1"/>
  <c r="AV61" i="2"/>
  <c r="AX60" i="2"/>
  <c r="AY60" i="2" s="1"/>
  <c r="AV60" i="2"/>
  <c r="AX59" i="2"/>
  <c r="AY59" i="2" s="1"/>
  <c r="AV59" i="2"/>
  <c r="BG62" i="2"/>
  <c r="BH62" i="2" s="1"/>
  <c r="BD62" i="2"/>
  <c r="BS62" i="2" s="1"/>
  <c r="BT62" i="2" s="1"/>
  <c r="BE59" i="2" l="1"/>
  <c r="BF59" i="2" s="1"/>
  <c r="BE63" i="2"/>
  <c r="BF63" i="2" s="1"/>
  <c r="BE60" i="2"/>
  <c r="BF60" i="2" s="1"/>
  <c r="BE61" i="2"/>
  <c r="BF61" i="2" s="1"/>
  <c r="BE64" i="2"/>
  <c r="BF64" i="2" s="1"/>
  <c r="BE65" i="2"/>
  <c r="BF65" i="2" s="1"/>
  <c r="BE66" i="2"/>
  <c r="BF66" i="2" s="1"/>
  <c r="BE67" i="2"/>
  <c r="BF67" i="2" s="1"/>
  <c r="BE68" i="2"/>
  <c r="BF68" i="2" s="1"/>
  <c r="BE69" i="2"/>
  <c r="BF69" i="2" s="1"/>
  <c r="BE70" i="2"/>
  <c r="BF70" i="2" s="1"/>
  <c r="BE71" i="2"/>
  <c r="BF71" i="2" s="1"/>
  <c r="BE72" i="2"/>
  <c r="BF72" i="2" s="1"/>
  <c r="BE73" i="2"/>
  <c r="BF73" i="2" s="1"/>
  <c r="BE74" i="2"/>
  <c r="BF74" i="2" s="1"/>
  <c r="BE75" i="2"/>
  <c r="BF75" i="2" s="1"/>
  <c r="BE76" i="2"/>
  <c r="BF76" i="2" s="1"/>
  <c r="BE77" i="2"/>
  <c r="BF77" i="2" s="1"/>
  <c r="BE78" i="2"/>
  <c r="BF78" i="2" s="1"/>
  <c r="BE79" i="2"/>
  <c r="BF79" i="2" s="1"/>
  <c r="BE80" i="2"/>
  <c r="BF80" i="2" s="1"/>
  <c r="BE81" i="2"/>
  <c r="BF81" i="2" s="1"/>
  <c r="BE82" i="2"/>
  <c r="BF82" i="2" s="1"/>
  <c r="BE83" i="2"/>
  <c r="BF83" i="2" s="1"/>
  <c r="BE84" i="2"/>
  <c r="BF84" i="2" s="1"/>
  <c r="BE85" i="2"/>
  <c r="BF85" i="2" s="1"/>
  <c r="BE86" i="2"/>
  <c r="BF86" i="2" s="1"/>
  <c r="BE87" i="2"/>
  <c r="BF87" i="2" s="1"/>
  <c r="BE88" i="2"/>
  <c r="BF88" i="2" s="1"/>
  <c r="BE89" i="2"/>
  <c r="BF89" i="2" s="1"/>
  <c r="BE90" i="2"/>
  <c r="BF90" i="2" s="1"/>
  <c r="BG63" i="2"/>
  <c r="BH63" i="2" s="1"/>
  <c r="BD63" i="2"/>
  <c r="BS63" i="2" s="1"/>
  <c r="BT63" i="2" s="1"/>
  <c r="BG59" i="2"/>
  <c r="BH59" i="2" s="1"/>
  <c r="BS59" i="2"/>
  <c r="BT59" i="2" s="1"/>
  <c r="BG60" i="2"/>
  <c r="BH60" i="2" s="1"/>
  <c r="BD60" i="2"/>
  <c r="BS60" i="2" s="1"/>
  <c r="BT60" i="2" s="1"/>
  <c r="BG61" i="2"/>
  <c r="BH61" i="2" s="1"/>
  <c r="BD61" i="2"/>
  <c r="BS61" i="2" s="1"/>
  <c r="BT61" i="2" s="1"/>
  <c r="BG64" i="2"/>
  <c r="BH64" i="2" s="1"/>
  <c r="BD64" i="2"/>
  <c r="BS64" i="2" s="1"/>
  <c r="BT64" i="2" s="1"/>
  <c r="BG65" i="2"/>
  <c r="BH65" i="2" s="1"/>
  <c r="BD65" i="2"/>
  <c r="BS65" i="2" s="1"/>
  <c r="BT65" i="2" s="1"/>
  <c r="BG66" i="2"/>
  <c r="BH66" i="2" s="1"/>
  <c r="BD66" i="2"/>
  <c r="BS66" i="2" s="1"/>
  <c r="BT66" i="2" s="1"/>
  <c r="BG67" i="2"/>
  <c r="BH67" i="2" s="1"/>
  <c r="BD67" i="2"/>
  <c r="BS67" i="2" s="1"/>
  <c r="BT67" i="2" s="1"/>
  <c r="BG68" i="2"/>
  <c r="BH68" i="2" s="1"/>
  <c r="BD68" i="2"/>
  <c r="BS68" i="2" s="1"/>
  <c r="BT68" i="2" s="1"/>
  <c r="BG69" i="2"/>
  <c r="BH69" i="2" s="1"/>
  <c r="BD69" i="2"/>
  <c r="BS69" i="2" s="1"/>
  <c r="BT69" i="2" s="1"/>
  <c r="BG70" i="2"/>
  <c r="BH70" i="2" s="1"/>
  <c r="BD70" i="2"/>
  <c r="BS70" i="2" s="1"/>
  <c r="BT70" i="2" s="1"/>
  <c r="BG71" i="2"/>
  <c r="BH71" i="2" s="1"/>
  <c r="BD71" i="2"/>
  <c r="BS71" i="2" s="1"/>
  <c r="BT71" i="2" s="1"/>
  <c r="BG72" i="2"/>
  <c r="BH72" i="2" s="1"/>
  <c r="BD72" i="2"/>
  <c r="BS72" i="2" s="1"/>
  <c r="BT72" i="2" s="1"/>
  <c r="BG73" i="2"/>
  <c r="BH73" i="2" s="1"/>
  <c r="BD73" i="2"/>
  <c r="BS73" i="2" s="1"/>
  <c r="BT73" i="2" s="1"/>
  <c r="BG74" i="2"/>
  <c r="BH74" i="2" s="1"/>
  <c r="BD74" i="2"/>
  <c r="BS74" i="2" s="1"/>
  <c r="BT74" i="2" s="1"/>
  <c r="BG75" i="2"/>
  <c r="BH75" i="2" s="1"/>
  <c r="BD75" i="2"/>
  <c r="BS75" i="2" s="1"/>
  <c r="BT75" i="2" s="1"/>
  <c r="BG76" i="2"/>
  <c r="BH76" i="2" s="1"/>
  <c r="BD76" i="2"/>
  <c r="BS76" i="2" s="1"/>
  <c r="BT76" i="2" s="1"/>
  <c r="BG77" i="2"/>
  <c r="BH77" i="2" s="1"/>
  <c r="BD77" i="2"/>
  <c r="BS77" i="2" s="1"/>
  <c r="BT77" i="2" s="1"/>
  <c r="BG78" i="2"/>
  <c r="BH78" i="2" s="1"/>
  <c r="BD78" i="2"/>
  <c r="BS78" i="2" s="1"/>
  <c r="BT78" i="2" s="1"/>
  <c r="BG79" i="2"/>
  <c r="BH79" i="2" s="1"/>
  <c r="BD79" i="2"/>
  <c r="BS79" i="2" s="1"/>
  <c r="BT79" i="2" s="1"/>
  <c r="BG80" i="2"/>
  <c r="BH80" i="2" s="1"/>
  <c r="BD80" i="2"/>
  <c r="BS80" i="2" s="1"/>
  <c r="BT80" i="2" s="1"/>
  <c r="BG81" i="2"/>
  <c r="BH81" i="2" s="1"/>
  <c r="BD81" i="2"/>
  <c r="BS81" i="2" s="1"/>
  <c r="BT81" i="2" s="1"/>
  <c r="BG82" i="2"/>
  <c r="BH82" i="2" s="1"/>
  <c r="BD82" i="2"/>
  <c r="BS82" i="2" s="1"/>
  <c r="BT82" i="2" s="1"/>
  <c r="BG83" i="2"/>
  <c r="BH83" i="2" s="1"/>
  <c r="BD83" i="2"/>
  <c r="BS83" i="2" s="1"/>
  <c r="BT83" i="2" s="1"/>
  <c r="BG84" i="2"/>
  <c r="BH84" i="2" s="1"/>
  <c r="BD84" i="2"/>
  <c r="BS84" i="2" s="1"/>
  <c r="BT84" i="2" s="1"/>
  <c r="BG85" i="2"/>
  <c r="BH85" i="2" s="1"/>
  <c r="BD85" i="2"/>
  <c r="BS85" i="2" s="1"/>
  <c r="BT85" i="2" s="1"/>
  <c r="BG86" i="2"/>
  <c r="BH86" i="2" s="1"/>
  <c r="BD86" i="2"/>
  <c r="BS86" i="2" s="1"/>
  <c r="BT86" i="2" s="1"/>
  <c r="BG87" i="2"/>
  <c r="BH87" i="2" s="1"/>
  <c r="BD87" i="2"/>
  <c r="BS87" i="2" s="1"/>
  <c r="BT87" i="2" s="1"/>
  <c r="BG88" i="2"/>
  <c r="BH88" i="2" s="1"/>
  <c r="BD88" i="2"/>
  <c r="BS88" i="2" s="1"/>
  <c r="BT88" i="2" s="1"/>
  <c r="BG89" i="2"/>
  <c r="BH89" i="2" s="1"/>
  <c r="BD89" i="2"/>
  <c r="BS89" i="2" s="1"/>
  <c r="BT89" i="2" s="1"/>
  <c r="BG90" i="2"/>
  <c r="BH90" i="2" s="1"/>
  <c r="BD90" i="2"/>
  <c r="BS90" i="2" s="1"/>
  <c r="BT90" i="2" s="1"/>
  <c r="BI62" i="2"/>
  <c r="BJ62" i="2"/>
  <c r="BI63" i="2" l="1"/>
  <c r="BJ63" i="2"/>
  <c r="BI90" i="2"/>
  <c r="BJ90" i="2"/>
  <c r="BI89" i="2"/>
  <c r="BJ89" i="2"/>
  <c r="BI88" i="2"/>
  <c r="BJ88" i="2"/>
  <c r="BI87" i="2"/>
  <c r="BJ87" i="2"/>
  <c r="BI86" i="2"/>
  <c r="BJ86" i="2"/>
  <c r="BI85" i="2"/>
  <c r="BJ85" i="2"/>
  <c r="BI84" i="2"/>
  <c r="BJ84" i="2"/>
  <c r="BI83" i="2"/>
  <c r="BJ83" i="2"/>
  <c r="BI82" i="2"/>
  <c r="BJ82" i="2"/>
  <c r="BI81" i="2"/>
  <c r="BJ81" i="2"/>
  <c r="BI80" i="2"/>
  <c r="BJ80" i="2"/>
  <c r="BI79" i="2"/>
  <c r="BJ79" i="2"/>
  <c r="BI78" i="2"/>
  <c r="BJ78" i="2"/>
  <c r="BI77" i="2"/>
  <c r="BJ77" i="2"/>
  <c r="BI76" i="2"/>
  <c r="BJ76" i="2"/>
  <c r="BI75" i="2"/>
  <c r="BJ75" i="2"/>
  <c r="BI74" i="2"/>
  <c r="BJ74" i="2"/>
  <c r="BI73" i="2"/>
  <c r="BJ73" i="2"/>
  <c r="BI72" i="2"/>
  <c r="BJ72" i="2"/>
  <c r="BI71" i="2"/>
  <c r="BJ71" i="2"/>
  <c r="BI70" i="2"/>
  <c r="BJ70" i="2"/>
  <c r="BI69" i="2"/>
  <c r="BJ69" i="2"/>
  <c r="BI68" i="2"/>
  <c r="BJ68" i="2"/>
  <c r="BI67" i="2"/>
  <c r="BJ67" i="2"/>
  <c r="BI66" i="2"/>
  <c r="BJ66" i="2"/>
  <c r="BI65" i="2"/>
  <c r="BJ65" i="2"/>
  <c r="BI64" i="2"/>
  <c r="BJ64" i="2"/>
  <c r="BI61" i="2"/>
  <c r="BJ61" i="2"/>
  <c r="BI60" i="2"/>
  <c r="BJ60" i="2"/>
  <c r="BI59" i="2"/>
  <c r="BJ59" i="2"/>
  <c r="BK62" i="2"/>
  <c r="BP62" i="2"/>
  <c r="BQ62" i="2" s="1"/>
  <c r="BR62" i="2" s="1"/>
  <c r="BU62" i="2" s="1"/>
  <c r="BV62" i="2" s="1"/>
  <c r="BW62" i="2" s="1"/>
  <c r="BK63" i="2" l="1"/>
  <c r="BP63" i="2"/>
  <c r="BQ63" i="2" s="1"/>
  <c r="BR63" i="2" s="1"/>
  <c r="BU63" i="2" s="1"/>
  <c r="BV63" i="2" s="1"/>
  <c r="BW63" i="2" s="1"/>
  <c r="BK59" i="2"/>
  <c r="BP59" i="2"/>
  <c r="BQ59" i="2" s="1"/>
  <c r="BR59" i="2" s="1"/>
  <c r="BU59" i="2" s="1"/>
  <c r="BV59" i="2" s="1"/>
  <c r="BK60" i="2"/>
  <c r="BP60" i="2"/>
  <c r="BQ60" i="2" s="1"/>
  <c r="BR60" i="2" s="1"/>
  <c r="BU60" i="2" s="1"/>
  <c r="BV60" i="2" s="1"/>
  <c r="BK61" i="2"/>
  <c r="BP61" i="2"/>
  <c r="BQ61" i="2" s="1"/>
  <c r="BR61" i="2" s="1"/>
  <c r="BU61" i="2" s="1"/>
  <c r="BV61" i="2" s="1"/>
  <c r="BW61" i="2" s="1"/>
  <c r="BK64" i="2"/>
  <c r="BP64" i="2"/>
  <c r="BQ64" i="2" s="1"/>
  <c r="BR64" i="2" s="1"/>
  <c r="BU64" i="2" s="1"/>
  <c r="BV64" i="2" s="1"/>
  <c r="BW64" i="2" s="1"/>
  <c r="BK65" i="2"/>
  <c r="BP65" i="2"/>
  <c r="BQ65" i="2" s="1"/>
  <c r="BR65" i="2" s="1"/>
  <c r="BU65" i="2" s="1"/>
  <c r="BV65" i="2" s="1"/>
  <c r="BW65" i="2" s="1"/>
  <c r="BK66" i="2"/>
  <c r="BP66" i="2"/>
  <c r="BQ66" i="2" s="1"/>
  <c r="BR66" i="2" s="1"/>
  <c r="BU66" i="2" s="1"/>
  <c r="BV66" i="2" s="1"/>
  <c r="BW66" i="2" s="1"/>
  <c r="BK67" i="2"/>
  <c r="BP67" i="2"/>
  <c r="BQ67" i="2" s="1"/>
  <c r="BR67" i="2" s="1"/>
  <c r="BU67" i="2" s="1"/>
  <c r="BV67" i="2" s="1"/>
  <c r="BK68" i="2"/>
  <c r="BP68" i="2"/>
  <c r="BQ68" i="2" s="1"/>
  <c r="BR68" i="2" s="1"/>
  <c r="BU68" i="2" s="1"/>
  <c r="BV68" i="2" s="1"/>
  <c r="BK69" i="2"/>
  <c r="BP69" i="2"/>
  <c r="BQ69" i="2" s="1"/>
  <c r="BR69" i="2" s="1"/>
  <c r="BU69" i="2" s="1"/>
  <c r="BV69" i="2" s="1"/>
  <c r="BK70" i="2"/>
  <c r="BP70" i="2"/>
  <c r="BQ70" i="2" s="1"/>
  <c r="BR70" i="2" s="1"/>
  <c r="BU70" i="2" s="1"/>
  <c r="BV70" i="2" s="1"/>
  <c r="BW70" i="2" s="1"/>
  <c r="BK71" i="2"/>
  <c r="BP71" i="2"/>
  <c r="BQ71" i="2" s="1"/>
  <c r="BR71" i="2" s="1"/>
  <c r="BU71" i="2" s="1"/>
  <c r="BV71" i="2" s="1"/>
  <c r="BW71" i="2" s="1"/>
  <c r="BK72" i="2"/>
  <c r="BP72" i="2"/>
  <c r="BQ72" i="2" s="1"/>
  <c r="BR72" i="2" s="1"/>
  <c r="BU72" i="2" s="1"/>
  <c r="BV72" i="2" s="1"/>
  <c r="BW72" i="2" s="1"/>
  <c r="BK73" i="2"/>
  <c r="BP73" i="2"/>
  <c r="BQ73" i="2" s="1"/>
  <c r="BR73" i="2" s="1"/>
  <c r="BU73" i="2" s="1"/>
  <c r="BV73" i="2" s="1"/>
  <c r="BW73" i="2" s="1"/>
  <c r="BK74" i="2"/>
  <c r="BP74" i="2"/>
  <c r="BQ74" i="2" s="1"/>
  <c r="BR74" i="2" s="1"/>
  <c r="BU74" i="2" s="1"/>
  <c r="BV74" i="2" s="1"/>
  <c r="BW74" i="2" s="1"/>
  <c r="BK75" i="2"/>
  <c r="BP75" i="2"/>
  <c r="BQ75" i="2" s="1"/>
  <c r="BR75" i="2" s="1"/>
  <c r="BU75" i="2" s="1"/>
  <c r="BV75" i="2" s="1"/>
  <c r="BK76" i="2"/>
  <c r="BP76" i="2"/>
  <c r="BQ76" i="2" s="1"/>
  <c r="BR76" i="2" s="1"/>
  <c r="BU76" i="2" s="1"/>
  <c r="BV76" i="2" s="1"/>
  <c r="BK77" i="2"/>
  <c r="BP77" i="2"/>
  <c r="BQ77" i="2" s="1"/>
  <c r="BR77" i="2" s="1"/>
  <c r="BU77" i="2" s="1"/>
  <c r="BV77" i="2" s="1"/>
  <c r="BK78" i="2"/>
  <c r="BP78" i="2"/>
  <c r="BQ78" i="2" s="1"/>
  <c r="BR78" i="2" s="1"/>
  <c r="BU78" i="2" s="1"/>
  <c r="BV78" i="2" s="1"/>
  <c r="BW78" i="2" s="1"/>
  <c r="BK79" i="2"/>
  <c r="BP79" i="2"/>
  <c r="BQ79" i="2" s="1"/>
  <c r="BR79" i="2" s="1"/>
  <c r="BU79" i="2" s="1"/>
  <c r="BV79" i="2" s="1"/>
  <c r="BW79" i="2" s="1"/>
  <c r="BK80" i="2"/>
  <c r="BP80" i="2"/>
  <c r="BQ80" i="2" s="1"/>
  <c r="BR80" i="2" s="1"/>
  <c r="BU80" i="2" s="1"/>
  <c r="BV80" i="2" s="1"/>
  <c r="BW80" i="2" s="1"/>
  <c r="BK81" i="2"/>
  <c r="BP81" i="2"/>
  <c r="BQ81" i="2" s="1"/>
  <c r="BR81" i="2" s="1"/>
  <c r="BU81" i="2" s="1"/>
  <c r="BV81" i="2" s="1"/>
  <c r="BW81" i="2" s="1"/>
  <c r="BK82" i="2"/>
  <c r="BP82" i="2"/>
  <c r="BQ82" i="2" s="1"/>
  <c r="BR82" i="2" s="1"/>
  <c r="BU82" i="2" s="1"/>
  <c r="BV82" i="2" s="1"/>
  <c r="BW82" i="2" s="1"/>
  <c r="BK83" i="2"/>
  <c r="BP83" i="2"/>
  <c r="BQ83" i="2" s="1"/>
  <c r="BR83" i="2" s="1"/>
  <c r="BU83" i="2" s="1"/>
  <c r="BV83" i="2" s="1"/>
  <c r="BK84" i="2"/>
  <c r="BP84" i="2"/>
  <c r="BQ84" i="2" s="1"/>
  <c r="BR84" i="2" s="1"/>
  <c r="BU84" i="2" s="1"/>
  <c r="BV84" i="2" s="1"/>
  <c r="BK85" i="2"/>
  <c r="BP85" i="2"/>
  <c r="BQ85" i="2" s="1"/>
  <c r="BR85" i="2" s="1"/>
  <c r="BU85" i="2" s="1"/>
  <c r="BV85" i="2" s="1"/>
  <c r="BK86" i="2"/>
  <c r="BP86" i="2"/>
  <c r="BQ86" i="2" s="1"/>
  <c r="BR86" i="2" s="1"/>
  <c r="BU86" i="2" s="1"/>
  <c r="BV86" i="2" s="1"/>
  <c r="BW86" i="2" s="1"/>
  <c r="BK87" i="2"/>
  <c r="BP87" i="2"/>
  <c r="BQ87" i="2" s="1"/>
  <c r="BR87" i="2" s="1"/>
  <c r="BU87" i="2" s="1"/>
  <c r="BV87" i="2" s="1"/>
  <c r="BW87" i="2" s="1"/>
  <c r="BK88" i="2"/>
  <c r="BP88" i="2"/>
  <c r="BQ88" i="2" s="1"/>
  <c r="BR88" i="2" s="1"/>
  <c r="BU88" i="2" s="1"/>
  <c r="BV88" i="2" s="1"/>
  <c r="BW88" i="2" s="1"/>
  <c r="BK89" i="2"/>
  <c r="BP89" i="2"/>
  <c r="BQ89" i="2" s="1"/>
  <c r="BR89" i="2" s="1"/>
  <c r="BU89" i="2" s="1"/>
  <c r="BV89" i="2" s="1"/>
  <c r="BW89" i="2" s="1"/>
  <c r="BK90" i="2"/>
  <c r="BP90" i="2"/>
  <c r="BQ90" i="2" s="1"/>
  <c r="BR90" i="2" s="1"/>
  <c r="BU90" i="2" s="1"/>
  <c r="BV90" i="2" s="1"/>
  <c r="BW90" i="2" s="1"/>
</calcChain>
</file>

<file path=xl/sharedStrings.xml><?xml version="1.0" encoding="utf-8"?>
<sst xmlns="http://schemas.openxmlformats.org/spreadsheetml/2006/main" count="640" uniqueCount="519">
  <si>
    <t>10K kg/day</t>
  </si>
  <si>
    <t>Distance(km)</t>
  </si>
  <si>
    <t>Dia.</t>
  </si>
  <si>
    <t>Demand</t>
  </si>
  <si>
    <t>En route compressor, non energy</t>
  </si>
  <si>
    <t>En route compressor, energy</t>
  </si>
  <si>
    <t>Inlet Comp. Energy(€/kg)</t>
  </si>
  <si>
    <t>Pipeline Op.(€/kg)</t>
  </si>
  <si>
    <t>Pipeline Investment(€/kg)</t>
  </si>
  <si>
    <t>LCOHT(Total)</t>
  </si>
  <si>
    <t>En route compressor(Investment)</t>
  </si>
  <si>
    <t>Key</t>
  </si>
  <si>
    <t>Distance</t>
  </si>
  <si>
    <t>Inlet Comp. Inv.</t>
  </si>
  <si>
    <t>Inlet Comp. Non-E</t>
  </si>
  <si>
    <t>En Route Comp. Inv.</t>
  </si>
  <si>
    <t>En Route Comp. Non-E</t>
  </si>
  <si>
    <t>En Route Comp. Energy</t>
  </si>
  <si>
    <t>Dataset</t>
  </si>
  <si>
    <t>100, 0.7388535031847141</t>
  </si>
  <si>
    <t>100, 0.5350318471337587</t>
  </si>
  <si>
    <t>100, 0.33121019108280336</t>
  </si>
  <si>
    <t>100, 0.8407643312101918</t>
  </si>
  <si>
    <t>100, 0.6369426751592364</t>
  </si>
  <si>
    <t>100, 0.38216560509554043</t>
  </si>
  <si>
    <t>100, 0.9426751592356695</t>
  </si>
  <si>
    <t>100, 0.6878980891719735</t>
  </si>
  <si>
    <t>100, 0.48407643312102167</t>
  </si>
  <si>
    <t>100, 2.2165605095541405</t>
  </si>
  <si>
    <t>100, 2.012738853503187</t>
  </si>
  <si>
    <t>100, 1.452229299363058</t>
  </si>
  <si>
    <t>100, 2.5732484076433124</t>
  </si>
  <si>
    <t>100, 2.31847133757962</t>
  </si>
  <si>
    <t>100, 1.7070063694267539</t>
  </si>
  <si>
    <t>100, 2.929936305732486</t>
  </si>
  <si>
    <t>100, 2.67515923566879</t>
  </si>
  <si>
    <t>100, 1.9617834394904463</t>
  </si>
  <si>
    <t>100, 5.222929936305732</t>
  </si>
  <si>
    <t>100, 5.019108280254779</t>
  </si>
  <si>
    <t>100, 3.7452229299363076</t>
  </si>
  <si>
    <t>100, 6.089171974522294</t>
  </si>
  <si>
    <t>100, 5.8343949044586</t>
  </si>
  <si>
    <t>100, 4.382165605095549</t>
  </si>
  <si>
    <t>100, 6.904458598726116</t>
  </si>
  <si>
    <t>100, 6.649681528662422</t>
  </si>
  <si>
    <t>100, 10.165605095541402</t>
  </si>
  <si>
    <t>100, 9.961783439490446</t>
  </si>
  <si>
    <t>100, 7.464968152866243</t>
  </si>
  <si>
    <t>100, 11.847133757961785</t>
  </si>
  <si>
    <t>100, 11.59235668789809</t>
  </si>
  <si>
    <t>100, 8.738853503184714</t>
  </si>
  <si>
    <t>100, 13.528662420382167</t>
  </si>
  <si>
    <t>100, 13.273885350318473</t>
  </si>
  <si>
    <t>100, 10.012738853503185</t>
  </si>
  <si>
    <t>30K kg/day</t>
  </si>
  <si>
    <t>En route compressor,energy</t>
  </si>
  <si>
    <t>En route compressor,investment</t>
  </si>
  <si>
    <t>Inlet Comp, Investment</t>
  </si>
  <si>
    <t>200, 0.4326241134751774</t>
  </si>
  <si>
    <t>200, 0.2340425531914887</t>
  </si>
  <si>
    <t>200, 0.1914893617021276</t>
  </si>
  <si>
    <t>200, 0.13475177304964525</t>
  </si>
  <si>
    <t>200, 0.4609929078014181</t>
  </si>
  <si>
    <t>200, 0.2624113475177303</t>
  </si>
  <si>
    <t>200, 0.16312056737588598</t>
  </si>
  <si>
    <t>200, 0.4893617021276597</t>
  </si>
  <si>
    <t>200, 0.29078014184397105</t>
  </si>
  <si>
    <t>200, 0.24822695035460995</t>
  </si>
  <si>
    <t>200, 0.17730496453900635</t>
  </si>
  <si>
    <t>200, 0.9290780141843973</t>
  </si>
  <si>
    <t>200, 0.7163120567375882</t>
  </si>
  <si>
    <t>200, 0.6879432624113475</t>
  </si>
  <si>
    <t>200, 0.5177304964539005</t>
  </si>
  <si>
    <t>200, 1.0283687943262407</t>
  </si>
  <si>
    <t>200, 0.8156028368794326</t>
  </si>
  <si>
    <t>200, 0.8014184397163113</t>
  </si>
  <si>
    <t>200, 0.6028368794326235</t>
  </si>
  <si>
    <t>200, 1.1418439716312054</t>
  </si>
  <si>
    <t>200, 0.9432624113475176</t>
  </si>
  <si>
    <t>200, 0.914893617021276</t>
  </si>
  <si>
    <t>200, 0.6737588652482263</t>
  </si>
  <si>
    <t>200, 2.177304964539007</t>
  </si>
  <si>
    <t>200, 1.9503546099290778</t>
  </si>
  <si>
    <t>200, 1.921985815602837</t>
  </si>
  <si>
    <t>200, 1.6950354609929068</t>
  </si>
  <si>
    <t>200, 1.666666666666666</t>
  </si>
  <si>
    <t>200, 1.9787234042553186</t>
  </si>
  <si>
    <t>200, 1.4680851063829783</t>
  </si>
  <si>
    <t>200, 2.460992907801418</t>
  </si>
  <si>
    <t>200, 2.2624113475177303</t>
  </si>
  <si>
    <t>200, 2.2198581560283683</t>
  </si>
  <si>
    <t>200, 1.6808510638297873</t>
  </si>
  <si>
    <t>200, 4.078014184397163</t>
  </si>
  <si>
    <t>200, 3.638297872340425</t>
  </si>
  <si>
    <t>200, 3.5957446808510634</t>
  </si>
  <si>
    <t>200, 3.553191489361702</t>
  </si>
  <si>
    <t>200, 3.340425531914893</t>
  </si>
  <si>
    <t>200, 3.312056737588652</t>
  </si>
  <si>
    <t>200, 2.5035460992907796</t>
  </si>
  <si>
    <t>200, 3.8794326241134747</t>
  </si>
  <si>
    <t>200, 3.8652482269503543</t>
  </si>
  <si>
    <t>200, 2.914893617021276</t>
  </si>
  <si>
    <t>200, 4.6453900709219855</t>
  </si>
  <si>
    <t>200, 4.446808510638297</t>
  </si>
  <si>
    <t>200, 4.404255319148936</t>
  </si>
  <si>
    <t>200, 3.326241134751773</t>
  </si>
  <si>
    <t>100K kg/day</t>
  </si>
  <si>
    <t>Inlet Comp. Investment</t>
  </si>
  <si>
    <t>LCOHT</t>
  </si>
  <si>
    <t>150, 0.3027850761954811</t>
  </si>
  <si>
    <t>150, 0.092800840777719</t>
  </si>
  <si>
    <t>150, 0.07498686284813427</t>
  </si>
  <si>
    <t>150, 0.0520493956910153</t>
  </si>
  <si>
    <t>150, 0.3160273252758805</t>
  </si>
  <si>
    <t>150, 0.1158696794534948</t>
  </si>
  <si>
    <t>150, 0.07945349448239591</t>
  </si>
  <si>
    <t>150, 0.061114030478192305</t>
  </si>
  <si>
    <t>150, 0.6156857593273779</t>
  </si>
  <si>
    <t>150, 0.5114030478192326</t>
  </si>
  <si>
    <t>150, 0.4927482921702575</t>
  </si>
  <si>
    <t>150, 0.2748292170257485</t>
  </si>
  <si>
    <t>150, 0.2517341040462431</t>
  </si>
  <si>
    <t>150, 0.19322122963741428</t>
  </si>
  <si>
    <t>150, 0.5249080399369417</t>
  </si>
  <si>
    <t>150, 0.315712033631109</t>
  </si>
  <si>
    <t>150, 0.2932475039411453</t>
  </si>
  <si>
    <t>150, 0.21581713084603305</t>
  </si>
  <si>
    <t>150, 1.224829217025749</t>
  </si>
  <si>
    <t>150, 0.8931161324224908</t>
  </si>
  <si>
    <t>150, 0.8747241198108253</t>
  </si>
  <si>
    <t>150, 0.8386757750919598</t>
  </si>
  <si>
    <t>150, 0.6295848660010512</t>
  </si>
  <si>
    <t>150, 0.6072254335260117</t>
  </si>
  <si>
    <t>150, 0.4662637940094583</t>
  </si>
  <si>
    <t>150, 0.9339989490278504</t>
  </si>
  <si>
    <t>150, 0.7249605885444037</t>
  </si>
  <si>
    <t>150, 0.6976353126642141</t>
  </si>
  <si>
    <t>150, 0.5249080399369412</t>
  </si>
  <si>
    <t>150, 2.1931161324224906</t>
  </si>
  <si>
    <t>150, 1.5293221229637413</t>
  </si>
  <si>
    <t>150, 1.4975039411455593</t>
  </si>
  <si>
    <t>150, 1.4295323173935888</t>
  </si>
  <si>
    <t>150, 1.2111403047819227</t>
  </si>
  <si>
    <t>150, 1.1933788754598003</t>
  </si>
  <si>
    <t>150, 0.9112454019968474</t>
  </si>
  <si>
    <t>150, 1.752128218602207</t>
  </si>
  <si>
    <t>150, 1.6158696794534941</t>
  </si>
  <si>
    <t>150, 1.5973725696269045</t>
  </si>
  <si>
    <t>150, 1.3931424067262212</t>
  </si>
  <si>
    <t>150, 1.365659485023647</t>
  </si>
  <si>
    <t>150, 1.0339464004203887</t>
  </si>
  <si>
    <t>Input Parameter</t>
  </si>
  <si>
    <t>Hydrogen Demand(kg/day)</t>
  </si>
  <si>
    <t>Transport Distance(km)</t>
  </si>
  <si>
    <t>Pipeline Diameter(mm)</t>
  </si>
  <si>
    <t>Pipeline Operation(€/kg)</t>
  </si>
  <si>
    <t>Inlet Compressor(€/kg)</t>
  </si>
  <si>
    <t>En route compressor(Non energy)(€/kg)</t>
  </si>
  <si>
    <t>En route compressor(Energy) (€/kg)</t>
  </si>
  <si>
    <t>En route compressor(Investment)t(€/kg)</t>
  </si>
  <si>
    <t>LCOHT(Total)(€/kg)</t>
  </si>
  <si>
    <t>Sum(Not LCOHT)</t>
  </si>
  <si>
    <t>Inlet Comp Investment€/kg)</t>
  </si>
  <si>
    <t>Inlet Comp Energy(€/kg)</t>
  </si>
  <si>
    <t>En route compressor(Investment)(€/kg)</t>
  </si>
  <si>
    <t>En route compressor(Non Energy) (€/kg)</t>
  </si>
  <si>
    <t>En route compressor(Energy)(€/kg)</t>
  </si>
  <si>
    <t>Z at Tb and Pb= 1.0006043620884 for velocity caluclations</t>
  </si>
  <si>
    <t>N=2     T2=381.354 K     Pavg=49.62 bar     Tavg= 342.5K     Z=1.024</t>
  </si>
  <si>
    <t>CRF=0.1668295449</t>
  </si>
  <si>
    <t>pg40 of case study</t>
  </si>
  <si>
    <t>Pavg=49 bar   Tavg=319.2588248K  Z=1.02776828999228</t>
  </si>
  <si>
    <t>ρ=0.0849318059972404 kg/m^3 at base temperature and base pressure for Qb calculation</t>
  </si>
  <si>
    <t>ρ=4.58 kg/m^3 at flowing temperature and inlet pressure for Re calculation</t>
  </si>
  <si>
    <t>viscosity= 8.76730507414507* 10^{-6} kg/(m*s)</t>
  </si>
  <si>
    <t>Z=1.02776828999228</t>
  </si>
  <si>
    <t>(70/20)= 3.5</t>
  </si>
  <si>
    <t>COMPRESSORS</t>
  </si>
  <si>
    <t>Diameter of pipeline(mm)</t>
  </si>
  <si>
    <r>
      <rPr>
        <b/>
        <sz val="11"/>
        <color rgb="FF000000"/>
        <rFont val="Aptos Narrow"/>
        <scheme val="minor"/>
      </rPr>
      <t>Daily Hydrogen Demand{</t>
    </r>
    <r>
      <rPr>
        <b/>
        <sz val="11"/>
        <color rgb="FFFF0000"/>
        <rFont val="Aptos Narrow"/>
        <scheme val="minor"/>
      </rPr>
      <t>mH2</t>
    </r>
    <r>
      <rPr>
        <b/>
        <sz val="11"/>
        <color rgb="FF000000"/>
        <rFont val="Aptos Narrow"/>
        <scheme val="minor"/>
      </rPr>
      <t>}(kg/day)</t>
    </r>
  </si>
  <si>
    <t>Investment cost for pipeline{Invest}</t>
  </si>
  <si>
    <r>
      <rPr>
        <b/>
        <sz val="11"/>
        <color rgb="FF000000"/>
        <rFont val="Aptos Narrow"/>
      </rPr>
      <t>Total Installation Costs{</t>
    </r>
    <r>
      <rPr>
        <b/>
        <sz val="11"/>
        <color rgb="FFFF0000"/>
        <rFont val="Aptos Narrow"/>
      </rPr>
      <t>TIC</t>
    </r>
    <r>
      <rPr>
        <b/>
        <sz val="11"/>
        <color rgb="FF000000"/>
        <rFont val="Aptos Narrow"/>
      </rPr>
      <t>}(€)</t>
    </r>
  </si>
  <si>
    <r>
      <rPr>
        <b/>
        <sz val="11"/>
        <color rgb="FF000000"/>
        <rFont val="Aptos Narrow"/>
        <scheme val="minor"/>
      </rPr>
      <t>Indirect Costs{</t>
    </r>
    <r>
      <rPr>
        <b/>
        <sz val="11"/>
        <color rgb="FFFF0000"/>
        <rFont val="Aptos Narrow"/>
        <scheme val="minor"/>
      </rPr>
      <t>Id</t>
    </r>
    <r>
      <rPr>
        <b/>
        <sz val="11"/>
        <color rgb="FF000000"/>
        <rFont val="Aptos Narrow"/>
        <scheme val="minor"/>
      </rPr>
      <t>}</t>
    </r>
  </si>
  <si>
    <r>
      <rPr>
        <b/>
        <sz val="11"/>
        <color rgb="FF000000"/>
        <rFont val="Aptos Narrow"/>
      </rPr>
      <t>Specific Installation costs{</t>
    </r>
    <r>
      <rPr>
        <b/>
        <sz val="11"/>
        <color rgb="FFFF0000"/>
        <rFont val="Aptos Narrow"/>
      </rPr>
      <t>SC</t>
    </r>
    <r>
      <rPr>
        <b/>
        <sz val="11"/>
        <color rgb="FF000000"/>
        <rFont val="Aptos Narrow"/>
      </rPr>
      <t>}(€/m)</t>
    </r>
  </si>
  <si>
    <r>
      <rPr>
        <b/>
        <sz val="11"/>
        <color rgb="FF000000"/>
        <rFont val="Aptos Narrow"/>
      </rPr>
      <t>Length of pipeline {</t>
    </r>
    <r>
      <rPr>
        <b/>
        <sz val="11"/>
        <color rgb="FFFF0000"/>
        <rFont val="Aptos Narrow"/>
      </rPr>
      <t>L</t>
    </r>
    <r>
      <rPr>
        <b/>
        <sz val="11"/>
        <color rgb="FF000000"/>
        <rFont val="Aptos Narrow"/>
      </rPr>
      <t>}(km)</t>
    </r>
  </si>
  <si>
    <r>
      <rPr>
        <b/>
        <sz val="11"/>
        <color rgb="FF000000"/>
        <rFont val="Aptos Narrow"/>
        <scheme val="minor"/>
      </rPr>
      <t>Labor costs{</t>
    </r>
    <r>
      <rPr>
        <b/>
        <sz val="11"/>
        <color rgb="FFFF0000"/>
        <rFont val="Aptos Narrow"/>
        <scheme val="minor"/>
      </rPr>
      <t>Labor</t>
    </r>
    <r>
      <rPr>
        <b/>
        <sz val="11"/>
        <color rgb="FF000000"/>
        <rFont val="Aptos Narrow"/>
        <scheme val="minor"/>
      </rPr>
      <t>}</t>
    </r>
  </si>
  <si>
    <r>
      <rPr>
        <b/>
        <sz val="11"/>
        <color rgb="FF000000"/>
        <rFont val="Aptos Narrow"/>
        <scheme val="minor"/>
      </rPr>
      <t>Direct labor costs{</t>
    </r>
    <r>
      <rPr>
        <b/>
        <sz val="11"/>
        <color rgb="FFFF0000"/>
        <rFont val="Aptos Narrow"/>
        <scheme val="minor"/>
      </rPr>
      <t>dL</t>
    </r>
    <r>
      <rPr>
        <b/>
        <sz val="11"/>
        <color rgb="FF000000"/>
        <rFont val="Aptos Narrow"/>
        <scheme val="minor"/>
      </rPr>
      <t>}</t>
    </r>
  </si>
  <si>
    <r>
      <rPr>
        <b/>
        <sz val="11"/>
        <color rgb="FF000000"/>
        <rFont val="Aptos Narrow"/>
        <scheme val="minor"/>
      </rPr>
      <t>Indirect labor costs{</t>
    </r>
    <r>
      <rPr>
        <b/>
        <sz val="11"/>
        <color rgb="FFFF0000"/>
        <rFont val="Aptos Narrow"/>
        <scheme val="minor"/>
      </rPr>
      <t>IdL</t>
    </r>
    <r>
      <rPr>
        <b/>
        <sz val="11"/>
        <color rgb="FF000000"/>
        <rFont val="Aptos Narrow"/>
        <scheme val="minor"/>
      </rPr>
      <t>}</t>
    </r>
  </si>
  <si>
    <r>
      <rPr>
        <b/>
        <sz val="11"/>
        <color rgb="FF000000"/>
        <rFont val="Aptos Narrow"/>
        <scheme val="minor"/>
      </rPr>
      <t>No of annual hours{</t>
    </r>
    <r>
      <rPr>
        <b/>
        <sz val="11"/>
        <color rgb="FFFF0000"/>
        <rFont val="Aptos Narrow"/>
        <scheme val="minor"/>
      </rPr>
      <t>Ann</t>
    </r>
    <r>
      <rPr>
        <b/>
        <sz val="11"/>
        <color rgb="FF000000"/>
        <rFont val="Aptos Narrow"/>
        <scheme val="minor"/>
      </rPr>
      <t>}</t>
    </r>
  </si>
  <si>
    <r>
      <rPr>
        <b/>
        <sz val="11"/>
        <color rgb="FF000000"/>
        <rFont val="Aptos Narrow"/>
        <scheme val="minor"/>
      </rPr>
      <t>Hourly salary {</t>
    </r>
    <r>
      <rPr>
        <b/>
        <sz val="11"/>
        <color rgb="FFFF0000"/>
        <rFont val="Aptos Narrow"/>
        <scheme val="minor"/>
      </rPr>
      <t>S</t>
    </r>
    <r>
      <rPr>
        <b/>
        <sz val="11"/>
        <color rgb="FF000000"/>
        <rFont val="Aptos Narrow"/>
        <scheme val="minor"/>
      </rPr>
      <t>}(€/h)</t>
    </r>
  </si>
  <si>
    <r>
      <rPr>
        <b/>
        <sz val="11"/>
        <color rgb="FF000000"/>
        <rFont val="Aptos Narrow"/>
        <scheme val="minor"/>
      </rPr>
      <t>O&amp;M Costs{</t>
    </r>
    <r>
      <rPr>
        <b/>
        <sz val="11"/>
        <color rgb="FFFF0000"/>
        <rFont val="Aptos Narrow"/>
        <scheme val="minor"/>
      </rPr>
      <t>O&amp;M</t>
    </r>
    <r>
      <rPr>
        <b/>
        <sz val="11"/>
        <color rgb="FF000000"/>
        <rFont val="Aptos Narrow"/>
        <scheme val="minor"/>
      </rPr>
      <t>}</t>
    </r>
  </si>
  <si>
    <r>
      <rPr>
        <b/>
        <sz val="11"/>
        <color rgb="FF000000"/>
        <rFont val="Aptos Narrow"/>
        <scheme val="minor"/>
      </rPr>
      <t>Operation cost for pipeline{</t>
    </r>
    <r>
      <rPr>
        <b/>
        <sz val="11"/>
        <color rgb="FFFF0000"/>
        <rFont val="Aptos Narrow"/>
        <scheme val="minor"/>
      </rPr>
      <t>OC</t>
    </r>
    <r>
      <rPr>
        <b/>
        <sz val="11"/>
        <color rgb="FF000000"/>
        <rFont val="Aptos Narrow"/>
        <scheme val="minor"/>
      </rPr>
      <t>}</t>
    </r>
  </si>
  <si>
    <t>CRF</t>
  </si>
  <si>
    <t>AF</t>
  </si>
  <si>
    <t>LCOHT,i(€/kg)</t>
  </si>
  <si>
    <t>LCOHT,OC(€/kg)</t>
  </si>
  <si>
    <t>LCOHT,pipe(€/kg)</t>
  </si>
  <si>
    <t>No of compressor stages{N}</t>
  </si>
  <si>
    <t>T2(K)</t>
  </si>
  <si>
    <t>Molar flow{qM}(moles/sec)</t>
  </si>
  <si>
    <t>Compressor Power{P}</t>
  </si>
  <si>
    <t>Rated compressor power{Pc}</t>
  </si>
  <si>
    <r>
      <rPr>
        <b/>
        <sz val="11"/>
        <color rgb="FF000000"/>
        <rFont val="Aptos Narrow"/>
        <scheme val="minor"/>
      </rPr>
      <t>Total Installation cost for pipeline compressor {</t>
    </r>
    <r>
      <rPr>
        <b/>
        <sz val="11"/>
        <color rgb="FFFF0000"/>
        <rFont val="Aptos Narrow"/>
        <scheme val="minor"/>
      </rPr>
      <t>TIC</t>
    </r>
    <r>
      <rPr>
        <b/>
        <sz val="11"/>
        <color rgb="FF000000"/>
        <rFont val="Aptos Narrow"/>
        <scheme val="minor"/>
      </rPr>
      <t>}</t>
    </r>
  </si>
  <si>
    <t>Indirect costs associated with installation{Id}</t>
  </si>
  <si>
    <t>Investment cost for inlet compressor(Invest)</t>
  </si>
  <si>
    <t>LCOHT,invest,(for inlet compressor)</t>
  </si>
  <si>
    <t>Direct labor costs{dL}2</t>
  </si>
  <si>
    <t>Indirect labor costs{Idl}3</t>
  </si>
  <si>
    <t>No of annual hours{Ann}4</t>
  </si>
  <si>
    <t>Hourly salary {S}(€/h)5</t>
  </si>
  <si>
    <t>O&amp;Mc</t>
  </si>
  <si>
    <t>Non energy cost for compressor(NE)</t>
  </si>
  <si>
    <t>LCOHT,NE</t>
  </si>
  <si>
    <t>Annual energy cost for compression(Ec)(€)</t>
  </si>
  <si>
    <t>LCOHT,E</t>
  </si>
  <si>
    <t>LOCHT,pipe,C1(Inlet compressor)</t>
  </si>
  <si>
    <t>N</t>
  </si>
  <si>
    <t>Tdisc(K)</t>
  </si>
  <si>
    <t>qM(moles/sec)</t>
  </si>
  <si>
    <t>Mass flow rate{Qb} (m3/day)</t>
  </si>
  <si>
    <t>Mass flow rate(Sm3/day)</t>
  </si>
  <si>
    <t>Capacity,pipe2</t>
  </si>
  <si>
    <t>qM**</t>
  </si>
  <si>
    <t>Velocity of hydrogen{v}(m/sec)</t>
  </si>
  <si>
    <t>μ</t>
  </si>
  <si>
    <t>Re</t>
  </si>
  <si>
    <t>Friction factor {f}**</t>
  </si>
  <si>
    <t>Pressure drop (Δp) (bar)</t>
  </si>
  <si>
    <t>Pipe outlet pressure(Pout)(bar)</t>
  </si>
  <si>
    <t>Compressor Power</t>
  </si>
  <si>
    <t>Rated compressor power for single station</t>
  </si>
  <si>
    <t>Distance between compressors</t>
  </si>
  <si>
    <t>No of enroute compressor stations</t>
  </si>
  <si>
    <t>Total rated compressor power of all enroute stations(W)</t>
  </si>
  <si>
    <t>No of compressors at single enroute station</t>
  </si>
  <si>
    <t>UC for single enroute station</t>
  </si>
  <si>
    <t>TIC for single enroute station</t>
  </si>
  <si>
    <t>TIC for all enroute stations</t>
  </si>
  <si>
    <t>Indirect costs for all enroute stations</t>
  </si>
  <si>
    <t>Investment cost for all enroute stations</t>
  </si>
  <si>
    <t>LCOHT,invest for all enroute stations</t>
  </si>
  <si>
    <t>Direct labor costs{dL}22</t>
  </si>
  <si>
    <t>Indirect labor costs{Idl}33</t>
  </si>
  <si>
    <t>No of annual hours{Ann}44</t>
  </si>
  <si>
    <t>Hourly salary {S}(€/h)55</t>
  </si>
  <si>
    <t>O&amp;Mc6</t>
  </si>
  <si>
    <t>Non energy cost for compressor(NE)7</t>
  </si>
  <si>
    <t>LCOHT,NE8</t>
  </si>
  <si>
    <t>Annual energy cost for compression for all enroute compressors(€/yr)</t>
  </si>
  <si>
    <t>LCOHT,E10</t>
  </si>
  <si>
    <t>LOCHT,pipe,C2(of all enroute stations)</t>
  </si>
  <si>
    <t>LCOHT,pipeline</t>
  </si>
  <si>
    <t>Difference</t>
  </si>
  <si>
    <t>COMPRESSOR</t>
  </si>
  <si>
    <t>Formulae for my reference</t>
  </si>
  <si>
    <t>Column1</t>
  </si>
  <si>
    <t>Assumptions(as in paper)</t>
  </si>
  <si>
    <t>Calculations</t>
  </si>
  <si>
    <t>Formulae for reference</t>
  </si>
  <si>
    <t>Invest(Investment cost of pipeline)</t>
  </si>
  <si>
    <t>TIC(Total installation costs) + Id(Indirect costs for installation)</t>
  </si>
  <si>
    <t>TIC(Total installation cost for pipeline compressor)</t>
  </si>
  <si>
    <t>UC(Uninstalled cost for compressor) * IF</t>
  </si>
  <si>
    <t>IF(Pipeline)=2</t>
  </si>
  <si>
    <t>DOUBTS</t>
  </si>
  <si>
    <t>79.79452054794518, 30.000000000000007</t>
  </si>
  <si>
    <t xml:space="preserve">TIC </t>
  </si>
  <si>
    <t>SC(Specific installation costs) * L(Length of pipeline)</t>
  </si>
  <si>
    <t>As per assumptions in paper, I multiplied by 0.001 to bring the cost to €/mm units</t>
  </si>
  <si>
    <t>SC : 100 mm=  43.035 €/mm, 150 mm= 75.426 €/mm, 200mm= 115.12 €/mm</t>
  </si>
  <si>
    <t>Id</t>
  </si>
  <si>
    <t>0.4*TIC</t>
  </si>
  <si>
    <t>108.56164383561642, 30.000000000000007</t>
  </si>
  <si>
    <t>UC</t>
  </si>
  <si>
    <t>2655.97*(Pc)^SF70</t>
  </si>
  <si>
    <t>154.4520547945205, 30.000000000000007</t>
  </si>
  <si>
    <t>OC</t>
  </si>
  <si>
    <t>Labor+ O&amp;M</t>
  </si>
  <si>
    <t>v(Velocity of hydrogen in pipeline)</t>
  </si>
  <si>
    <t>14.737*(Pb/Tb)*{(Z*Tf)/Pin}}*(Qb/D^2)</t>
  </si>
  <si>
    <t>D=diameter(in mm)  Pb=1.01 bar   Tb=288.15 K   Tf(Hydrogen flow temperature)= 288 K</t>
  </si>
  <si>
    <t>N=2     T2=381.354 K     Pavg=52 bar     Tavg= 342.5K     Z=1.031</t>
  </si>
  <si>
    <t>235.95890410958899, 30.000000000000007</t>
  </si>
  <si>
    <t>Labor</t>
  </si>
  <si>
    <t>dL+Idl</t>
  </si>
  <si>
    <t>405.82191780821915, 30.000000000000007</t>
  </si>
  <si>
    <t>dl</t>
  </si>
  <si>
    <t>S(hourly salary)= 18€/h</t>
  </si>
  <si>
    <t>Re(Reynold's number)</t>
  </si>
  <si>
    <t>ρvD/μ</t>
  </si>
  <si>
    <t>μ= v*ρ</t>
  </si>
  <si>
    <t>ρ=5.65166565634731 kg/m^3 at flowing temperature and inlet pressure for Re calculation</t>
  </si>
  <si>
    <t>Idl</t>
  </si>
  <si>
    <t>0.5*dL</t>
  </si>
  <si>
    <t>186.19402985074626, 30.1</t>
  </si>
  <si>
    <t>O&amp;M</t>
  </si>
  <si>
    <t>0.026*Invest</t>
  </si>
  <si>
    <t>250.74626865671644, 30.1</t>
  </si>
  <si>
    <t>LCOHT,Invest</t>
  </si>
  <si>
    <t>(Invest* CRF)/(AF* mH2,dem,yr)</t>
  </si>
  <si>
    <t>AF=90%</t>
  </si>
  <si>
    <t>CRF=</t>
  </si>
  <si>
    <t>355.22388059701495, 30.1</t>
  </si>
  <si>
    <t>LCOHT, OC</t>
  </si>
  <si>
    <t>OC/(AF*mH2,dem,yr)</t>
  </si>
  <si>
    <t>LCOHT, Pipe</t>
  </si>
  <si>
    <t>LCOHT,Invest+ LCOHT,OC</t>
  </si>
  <si>
    <t>2K kg/day</t>
  </si>
  <si>
    <t>Trailer Type</t>
  </si>
  <si>
    <t>Number of Trucks</t>
  </si>
  <si>
    <t>Number of trailers</t>
  </si>
  <si>
    <t>Compressor Energy</t>
  </si>
  <si>
    <t>Compressor, Non Energy</t>
  </si>
  <si>
    <t>Compressor, INvestment</t>
  </si>
  <si>
    <t>Trucking,fuel</t>
  </si>
  <si>
    <t>Trucking, labour</t>
  </si>
  <si>
    <t>Trucking, O&amp;M</t>
  </si>
  <si>
    <t>Trucking,Investment</t>
  </si>
  <si>
    <t>350, 1.1981811292156115</t>
  </si>
  <si>
    <t>350, 0.6350258936465827</t>
  </si>
  <si>
    <t>350, 0.5660603764052032</t>
  </si>
  <si>
    <t>350, 0.4109511178476697</t>
  </si>
  <si>
    <t>350, 0.38158393330807083</t>
  </si>
  <si>
    <t>350, 0.31356574460022735</t>
  </si>
  <si>
    <t>350, 0.26708349122142216</t>
  </si>
  <si>
    <t>350, 1.7096122268536051</t>
  </si>
  <si>
    <t>350, 1.0547555892383476</t>
  </si>
  <si>
    <t>350, 0.88164708854364</t>
  </si>
  <si>
    <t>350, 0.5434508020714914</t>
  </si>
  <si>
    <t>350, 0.5142730832386002</t>
  </si>
  <si>
    <t>350, 0.4687381583933301</t>
  </si>
  <si>
    <t>350, 0.39907793356069154</t>
  </si>
  <si>
    <t>350, 1.6810660603764047</t>
  </si>
  <si>
    <t>350, 1.117910824807376</t>
  </si>
  <si>
    <t>350, 1.048440065681444</t>
  </si>
  <si>
    <t>350, 0.888341543513957</t>
  </si>
  <si>
    <t>350, 0.7611468990779331</t>
  </si>
  <si>
    <t>350, 0.623973727422003</t>
  </si>
  <si>
    <t>350, 0.5431350258936458</t>
  </si>
  <si>
    <t>350, 1.8360490084628012</t>
  </si>
  <si>
    <t>350, 1.1695086522672726</t>
  </si>
  <si>
    <t>350, 1.0080207149172664</t>
  </si>
  <si>
    <t>350, 0.6640141467727672</t>
  </si>
  <si>
    <t>350, 0.571239105721864</t>
  </si>
  <si>
    <t>350, 0.49134773272704235</t>
  </si>
  <si>
    <t>350, 0.41038272072754767</t>
  </si>
  <si>
    <t>350, 2.3131236579512433</t>
  </si>
  <si>
    <t>350, 1.7497789566755078</t>
  </si>
  <si>
    <t>350, 1.6814449917898187</t>
  </si>
  <si>
    <t>350, 1.5318302387267901</t>
  </si>
  <si>
    <t>350, 1.1977390425666283</t>
  </si>
  <si>
    <t>350, 0.9799166350890487</t>
  </si>
  <si>
    <t>350, 0.818807629152456</t>
  </si>
  <si>
    <t>350, 2.525704180876594</t>
  </si>
  <si>
    <t>350, 1.8590375142099274</t>
  </si>
  <si>
    <t>350, 1.6981179739800427</t>
  </si>
  <si>
    <t>350, 1.3419224453707206</t>
  </si>
  <si>
    <t>350, 1.1233421750663122</t>
  </si>
  <si>
    <t>350, 0.9741695086522664</t>
  </si>
  <si>
    <t>350, 0.8244284451180994</t>
  </si>
  <si>
    <t>350, 3.4740431981811284</t>
  </si>
  <si>
    <t>350, 2.9225085259568013</t>
  </si>
  <si>
    <t>350, 2.8419856006062894</t>
  </si>
  <si>
    <t>350, 2.6923076923076916</t>
  </si>
  <si>
    <t>350, 2.037198433750157</t>
  </si>
  <si>
    <t>350, 1.6578880889225713</t>
  </si>
  <si>
    <t>350, 1.3476064165719333</t>
  </si>
  <si>
    <t>350, 3.82436528988253</t>
  </si>
  <si>
    <t>350, 3.1462675255778696</t>
  </si>
  <si>
    <t>350, 2.9856006062902605</t>
  </si>
  <si>
    <t>350, 2.6405203991410877</t>
  </si>
  <si>
    <t>350, 2.2038651004168237</t>
  </si>
  <si>
    <t>350, 1.9395604395604389</t>
  </si>
  <si>
    <t>350, 1.6291524567386628</t>
  </si>
  <si>
    <t>Trailer Type(bar)</t>
  </si>
  <si>
    <t>Compressor Energy(€/kg)</t>
  </si>
  <si>
    <t>Compressor, Non Energy(€/kg)</t>
  </si>
  <si>
    <t>Compressor, Investment(€/kg)</t>
  </si>
  <si>
    <t>Trucking,fuel(€/kg)</t>
  </si>
  <si>
    <t>Trucking, labour(€/kg)</t>
  </si>
  <si>
    <t>Trucking, O&amp;M(€/kg)</t>
  </si>
  <si>
    <t>Trucking,Investment(€/kg)</t>
  </si>
  <si>
    <t>Component</t>
  </si>
  <si>
    <r>
      <rPr>
        <b/>
        <sz val="11"/>
        <color rgb="FF000000"/>
        <rFont val="Aptos Narrow"/>
        <scheme val="minor"/>
      </rPr>
      <t>Max load capacity of trailer{</t>
    </r>
    <r>
      <rPr>
        <b/>
        <sz val="11"/>
        <color rgb="FFFF0000"/>
        <rFont val="Aptos Narrow"/>
        <scheme val="minor"/>
      </rPr>
      <t>HT(capacity)</t>
    </r>
    <r>
      <rPr>
        <b/>
        <sz val="11"/>
        <color rgb="FF000000"/>
        <rFont val="Aptos Narrow"/>
        <scheme val="minor"/>
      </rPr>
      <t>}[kg]</t>
    </r>
  </si>
  <si>
    <r>
      <rPr>
        <b/>
        <sz val="11"/>
        <color rgb="FF000000"/>
        <rFont val="Aptos Narrow"/>
        <scheme val="minor"/>
      </rPr>
      <t>No of delieveries per day {</t>
    </r>
    <r>
      <rPr>
        <b/>
        <sz val="11"/>
        <color rgb="FFFF0000"/>
        <rFont val="Aptos Narrow"/>
        <scheme val="minor"/>
      </rPr>
      <t>nd</t>
    </r>
    <r>
      <rPr>
        <b/>
        <sz val="11"/>
        <color rgb="FF000000"/>
        <rFont val="Aptos Narrow"/>
        <scheme val="minor"/>
      </rPr>
      <t>}</t>
    </r>
  </si>
  <si>
    <r>
      <rPr>
        <b/>
        <sz val="11"/>
        <color rgb="FF000000"/>
        <rFont val="Aptos Narrow"/>
        <scheme val="minor"/>
      </rPr>
      <t>Distance{</t>
    </r>
    <r>
      <rPr>
        <b/>
        <sz val="11"/>
        <color rgb="FFFF0000"/>
        <rFont val="Aptos Narrow"/>
        <scheme val="minor"/>
      </rPr>
      <t>d</t>
    </r>
    <r>
      <rPr>
        <b/>
        <sz val="11"/>
        <color rgb="FF000000"/>
        <rFont val="Aptos Narrow"/>
        <scheme val="minor"/>
      </rPr>
      <t>}(km)</t>
    </r>
  </si>
  <si>
    <r>
      <rPr>
        <b/>
        <sz val="11"/>
        <color rgb="FF000000"/>
        <rFont val="Aptos Narrow"/>
        <scheme val="minor"/>
      </rPr>
      <t>Average speed of truck{</t>
    </r>
    <r>
      <rPr>
        <b/>
        <sz val="11"/>
        <color rgb="FFFF0000"/>
        <rFont val="Aptos Narrow"/>
        <scheme val="minor"/>
      </rPr>
      <t>v</t>
    </r>
    <r>
      <rPr>
        <b/>
        <sz val="11"/>
        <color rgb="FF000000"/>
        <rFont val="Aptos Narrow"/>
        <scheme val="minor"/>
      </rPr>
      <t>}(km/h)</t>
    </r>
  </si>
  <si>
    <r>
      <rPr>
        <b/>
        <sz val="11"/>
        <color rgb="FF000000"/>
        <rFont val="Aptos Narrow"/>
        <scheme val="minor"/>
      </rPr>
      <t>Loading time{</t>
    </r>
    <r>
      <rPr>
        <b/>
        <sz val="11"/>
        <color rgb="FFFF0000"/>
        <rFont val="Aptos Narrow"/>
        <scheme val="minor"/>
      </rPr>
      <t>tl</t>
    </r>
    <r>
      <rPr>
        <b/>
        <sz val="11"/>
        <color rgb="FF000000"/>
        <rFont val="Aptos Narrow"/>
        <scheme val="minor"/>
      </rPr>
      <t>}(h)</t>
    </r>
  </si>
  <si>
    <r>
      <rPr>
        <b/>
        <sz val="11"/>
        <color rgb="FF000000"/>
        <rFont val="Aptos Narrow"/>
        <scheme val="minor"/>
      </rPr>
      <t>Unloading time{</t>
    </r>
    <r>
      <rPr>
        <b/>
        <sz val="11"/>
        <color rgb="FFFF0000"/>
        <rFont val="Aptos Narrow"/>
        <scheme val="minor"/>
      </rPr>
      <t>tul</t>
    </r>
    <r>
      <rPr>
        <b/>
        <sz val="11"/>
        <color rgb="FF000000"/>
        <rFont val="Aptos Narrow"/>
        <scheme val="minor"/>
      </rPr>
      <t>}(h)</t>
    </r>
  </si>
  <si>
    <r>
      <rPr>
        <b/>
        <sz val="11"/>
        <color rgb="FF000000"/>
        <rFont val="Aptos Narrow"/>
        <scheme val="minor"/>
      </rPr>
      <t>Total time for delievery{</t>
    </r>
    <r>
      <rPr>
        <b/>
        <sz val="11"/>
        <color rgb="FFFF0000"/>
        <rFont val="Aptos Narrow"/>
        <scheme val="minor"/>
      </rPr>
      <t>td</t>
    </r>
    <r>
      <rPr>
        <b/>
        <sz val="11"/>
        <color rgb="FF000000"/>
        <rFont val="Aptos Narrow"/>
        <scheme val="minor"/>
      </rPr>
      <t>}(h)</t>
    </r>
  </si>
  <si>
    <r>
      <rPr>
        <b/>
        <sz val="11"/>
        <color rgb="FF000000"/>
        <rFont val="Aptos Narrow"/>
        <scheme val="minor"/>
      </rPr>
      <t>Max no of hours per day{</t>
    </r>
    <r>
      <rPr>
        <b/>
        <sz val="11"/>
        <color rgb="FFFF0000"/>
        <rFont val="Aptos Narrow"/>
        <scheme val="minor"/>
      </rPr>
      <t>dhmax</t>
    </r>
    <r>
      <rPr>
        <b/>
        <sz val="11"/>
        <color rgb="FF000000"/>
        <rFont val="Aptos Narrow"/>
        <scheme val="minor"/>
      </rPr>
      <t>}(h)</t>
    </r>
  </si>
  <si>
    <r>
      <rPr>
        <b/>
        <sz val="11"/>
        <color rgb="FF000000"/>
        <rFont val="Aptos Narrow"/>
        <scheme val="minor"/>
      </rPr>
      <t>Max no of delieveries by each truck per day{</t>
    </r>
    <r>
      <rPr>
        <b/>
        <sz val="11"/>
        <color rgb="FFFF0000"/>
        <rFont val="Aptos Narrow"/>
        <scheme val="minor"/>
      </rPr>
      <t>Nd</t>
    </r>
    <r>
      <rPr>
        <b/>
        <sz val="11"/>
        <color rgb="FF000000"/>
        <rFont val="Aptos Narrow"/>
        <scheme val="minor"/>
      </rPr>
      <t>}</t>
    </r>
  </si>
  <si>
    <r>
      <rPr>
        <b/>
        <sz val="11"/>
        <color rgb="FF000000"/>
        <rFont val="Aptos Narrow"/>
      </rPr>
      <t>Availability factor{</t>
    </r>
    <r>
      <rPr>
        <b/>
        <sz val="11"/>
        <color rgb="FFFF0000"/>
        <rFont val="Aptos Narrow"/>
      </rPr>
      <t>AF</t>
    </r>
    <r>
      <rPr>
        <b/>
        <sz val="11"/>
        <color rgb="FF000000"/>
        <rFont val="Aptos Narrow"/>
      </rPr>
      <t>}</t>
    </r>
  </si>
  <si>
    <r>
      <rPr>
        <b/>
        <sz val="11"/>
        <color rgb="FF000000"/>
        <rFont val="Aptos Narrow"/>
      </rPr>
      <t>No of trucks{</t>
    </r>
    <r>
      <rPr>
        <b/>
        <sz val="11"/>
        <color rgb="FFFF0000"/>
        <rFont val="Aptos Narrow"/>
      </rPr>
      <t>Nt</t>
    </r>
    <r>
      <rPr>
        <b/>
        <sz val="11"/>
        <color rgb="FF000000"/>
        <rFont val="Aptos Narrow"/>
      </rPr>
      <t>}</t>
    </r>
  </si>
  <si>
    <r>
      <rPr>
        <b/>
        <sz val="11"/>
        <color rgb="FF000000"/>
        <rFont val="Aptos Narrow"/>
      </rPr>
      <t>No of trailers{</t>
    </r>
    <r>
      <rPr>
        <b/>
        <sz val="11"/>
        <color rgb="FFFF0000"/>
        <rFont val="Aptos Narrow"/>
      </rPr>
      <t>NTr</t>
    </r>
    <r>
      <rPr>
        <b/>
        <sz val="11"/>
        <color rgb="FF000000"/>
        <rFont val="Aptos Narrow"/>
      </rPr>
      <t>}</t>
    </r>
  </si>
  <si>
    <t>CRFTr</t>
  </si>
  <si>
    <r>
      <rPr>
        <b/>
        <sz val="11"/>
        <color rgb="FF242424"/>
        <rFont val="Aptos Narrow"/>
      </rPr>
      <t>Investment cost, Trailer{</t>
    </r>
    <r>
      <rPr>
        <b/>
        <sz val="11"/>
        <color rgb="FFFF0000"/>
        <rFont val="Aptos Narrow"/>
      </rPr>
      <t>ICTr</t>
    </r>
    <r>
      <rPr>
        <b/>
        <sz val="11"/>
        <color rgb="FF242424"/>
        <rFont val="Aptos Narrow"/>
      </rPr>
      <t>}(k€)</t>
    </r>
  </si>
  <si>
    <t>CRFT</t>
  </si>
  <si>
    <r>
      <rPr>
        <b/>
        <sz val="11"/>
        <color rgb="FF242424"/>
        <rFont val="Aptos Narrow"/>
      </rPr>
      <t>Investment cost, Truck{</t>
    </r>
    <r>
      <rPr>
        <b/>
        <sz val="11"/>
        <color rgb="FFFF0000"/>
        <rFont val="Aptos Narrow"/>
      </rPr>
      <t>ICT</t>
    </r>
    <r>
      <rPr>
        <b/>
        <sz val="11"/>
        <color rgb="FF000000"/>
        <rFont val="Aptos Narrow"/>
      </rPr>
      <t>}(k€)</t>
    </r>
  </si>
  <si>
    <t>LCOHT,Invest(€/kg)</t>
  </si>
  <si>
    <r>
      <rPr>
        <b/>
        <sz val="11"/>
        <color rgb="FF242424"/>
        <rFont val="Aptos Narrow"/>
      </rPr>
      <t>Variable cost for trucks{</t>
    </r>
    <r>
      <rPr>
        <b/>
        <sz val="11"/>
        <color rgb="FFFF0000"/>
        <rFont val="Aptos Narrow"/>
      </rPr>
      <t>VCT</t>
    </r>
    <r>
      <rPr>
        <b/>
        <sz val="11"/>
        <color rgb="FF242424"/>
        <rFont val="Aptos Narrow"/>
      </rPr>
      <t>}(€/km)</t>
    </r>
  </si>
  <si>
    <r>
      <rPr>
        <b/>
        <sz val="11"/>
        <color rgb="FF242424"/>
        <rFont val="Aptos Narrow"/>
      </rPr>
      <t>Annual drive distance per truck {</t>
    </r>
    <r>
      <rPr>
        <b/>
        <sz val="11"/>
        <color rgb="FFFF0000"/>
        <rFont val="Aptos Narrow"/>
      </rPr>
      <t>dT,yr</t>
    </r>
    <r>
      <rPr>
        <b/>
        <sz val="11"/>
        <color rgb="FF000000"/>
        <rFont val="Aptos Narrow"/>
      </rPr>
      <t>}(km)</t>
    </r>
  </si>
  <si>
    <r>
      <rPr>
        <b/>
        <sz val="11"/>
        <color rgb="FF242424"/>
        <rFont val="Aptos Narrow"/>
      </rPr>
      <t>Fixed O&amp;M Costs {</t>
    </r>
    <r>
      <rPr>
        <b/>
        <sz val="11"/>
        <color rgb="FFFF0000"/>
        <rFont val="Aptos Narrow"/>
      </rPr>
      <t>FCTr</t>
    </r>
    <r>
      <rPr>
        <b/>
        <sz val="11"/>
        <color rgb="FF242424"/>
        <rFont val="Aptos Narrow"/>
      </rPr>
      <t>}</t>
    </r>
  </si>
  <si>
    <t>LCOHT(O&amp;M)(€/kg)</t>
  </si>
  <si>
    <r>
      <rPr>
        <b/>
        <sz val="11"/>
        <color rgb="FF000000"/>
        <rFont val="Aptos Narrow"/>
      </rPr>
      <t>Labor cost{</t>
    </r>
    <r>
      <rPr>
        <b/>
        <sz val="11"/>
        <color rgb="FFFF0000"/>
        <rFont val="Aptos Narrow"/>
      </rPr>
      <t>ST</t>
    </r>
    <r>
      <rPr>
        <b/>
        <sz val="11"/>
        <color rgb="FF000000"/>
        <rFont val="Aptos Narrow"/>
      </rPr>
      <t>}(€/h)</t>
    </r>
  </si>
  <si>
    <t>LCOHT,Labor(€/kg)</t>
  </si>
  <si>
    <r>
      <rPr>
        <b/>
        <sz val="11"/>
        <color rgb="FF242424"/>
        <rFont val="Aptos Narrow"/>
      </rPr>
      <t>Fuel consumption{</t>
    </r>
    <r>
      <rPr>
        <b/>
        <sz val="11"/>
        <color rgb="FFFF0000"/>
        <rFont val="Aptos Narrow"/>
      </rPr>
      <t>F</t>
    </r>
    <r>
      <rPr>
        <b/>
        <sz val="11"/>
        <color rgb="FF242424"/>
        <rFont val="Aptos Narrow"/>
      </rPr>
      <t>}(L/km)</t>
    </r>
  </si>
  <si>
    <r>
      <rPr>
        <b/>
        <sz val="11"/>
        <color rgb="FF242424"/>
        <rFont val="Aptos Narrow"/>
      </rPr>
      <t>Fuel Price{</t>
    </r>
    <r>
      <rPr>
        <b/>
        <sz val="11"/>
        <color rgb="FFFF0000"/>
        <rFont val="Aptos Narrow"/>
      </rPr>
      <t>FP</t>
    </r>
    <r>
      <rPr>
        <b/>
        <sz val="11"/>
        <color rgb="FF242424"/>
        <rFont val="Aptos Narrow"/>
      </rPr>
      <t>}(€/L)</t>
    </r>
  </si>
  <si>
    <t>LCOHT,Fuel(€/kg)</t>
  </si>
  <si>
    <t>LCOHT,Trucking</t>
  </si>
  <si>
    <r>
      <rPr>
        <b/>
        <sz val="11"/>
        <color rgb="FF242424"/>
        <rFont val="Aptos Narrow"/>
      </rPr>
      <t>No of compressor stages{</t>
    </r>
    <r>
      <rPr>
        <b/>
        <sz val="11"/>
        <color rgb="FFFF0000"/>
        <rFont val="Aptos Narrow"/>
      </rPr>
      <t>N</t>
    </r>
    <r>
      <rPr>
        <b/>
        <sz val="11"/>
        <color rgb="FF242424"/>
        <rFont val="Aptos Narrow"/>
      </rPr>
      <t>}</t>
    </r>
  </si>
  <si>
    <r>
      <rPr>
        <b/>
        <sz val="11"/>
        <color rgb="FF242424"/>
        <rFont val="Aptos Narrow"/>
      </rPr>
      <t>Molar flow {</t>
    </r>
    <r>
      <rPr>
        <b/>
        <sz val="11"/>
        <color rgb="FFFF0000"/>
        <rFont val="Aptos Narrow"/>
      </rPr>
      <t>qM</t>
    </r>
    <r>
      <rPr>
        <b/>
        <sz val="11"/>
        <color rgb="FF242424"/>
        <rFont val="Aptos Narrow"/>
      </rPr>
      <t>}(moles/sec)</t>
    </r>
  </si>
  <si>
    <t>Compressor Power{P} (kW)</t>
  </si>
  <si>
    <r>
      <rPr>
        <sz val="11"/>
        <color rgb="FF000000"/>
        <rFont val="Aptos Narrow"/>
      </rPr>
      <t>Rated Power{</t>
    </r>
    <r>
      <rPr>
        <sz val="11"/>
        <color rgb="FFFF0000"/>
        <rFont val="Aptos Narrow"/>
      </rPr>
      <t>Pc</t>
    </r>
    <r>
      <rPr>
        <sz val="11"/>
        <color rgb="FF000000"/>
        <rFont val="Aptos Narrow"/>
      </rPr>
      <t>}(kW)</t>
    </r>
  </si>
  <si>
    <t>Total installation costs{TIC}</t>
  </si>
  <si>
    <t>Indirect costs{Id}</t>
  </si>
  <si>
    <t>Investment cost for truck loading compressor{Invest}</t>
  </si>
  <si>
    <t>Direct labor costs{dL}</t>
  </si>
  <si>
    <t>Indirect labor costs{Idl}</t>
  </si>
  <si>
    <t>No of annual hours{Ann}</t>
  </si>
  <si>
    <t>Hourly salary {S}(€/h)</t>
  </si>
  <si>
    <t>LOCHT For trucking compressor</t>
  </si>
  <si>
    <t>Total LCOHT for compressed hydrogen gas via trucks and trailers (€/kg)</t>
  </si>
  <si>
    <t>Trailer(350 bar)</t>
  </si>
  <si>
    <t>Trailer(540 bar)</t>
  </si>
  <si>
    <t>COMPRESSOR CALCULATIONS</t>
  </si>
  <si>
    <t>Formulae for my reference(=)</t>
  </si>
  <si>
    <t>Formulae for my reference(=)2</t>
  </si>
  <si>
    <t>Column2</t>
  </si>
  <si>
    <t>nd(no of delieveries per day)</t>
  </si>
  <si>
    <t>mH2(Daily hydrogen demand)/HT(capacity){maximum capacity of trailer}</t>
  </si>
  <si>
    <t>HT(capacity)=900kg(350 bar), =1130 kg(540 bar)</t>
  </si>
  <si>
    <t>N(No of compressor stages)</t>
  </si>
  <si>
    <t>log(P2{Outlet pressure}/P1{Inlet pressure})/log x{Compression ratio for single stage}</t>
  </si>
  <si>
    <t>P1= 20 bar     P2=350, 540 bar{for trucks} &amp; 70 bar{for pipelines}       x=2.1</t>
  </si>
  <si>
    <t>N{for truck-350 bar}= 3.8577393378   N{for truck-540 bar}=4.4422037649</t>
  </si>
  <si>
    <t>td(total time taken for delievery)</t>
  </si>
  <si>
    <t>{2*dt(distance b/w locations)/vt}(average speed of truck)+tl(time for loading)+tul(time for unloading)</t>
  </si>
  <si>
    <t>tl=tul=1 hour(for both 350 and 540 bar)      vt(km/h)= 65(dt&lt;=50 km), =72(50km&lt;dt&lt;=150 km), =77(dt&gt;150km)</t>
  </si>
  <si>
    <t>T2(outlet temp)</t>
  </si>
  <si>
    <t>T1(Inlet temperature)*[1 + {((P2/P1)^((k-1)/(N*k{Adiabatic index}))-1)/ η(isentropic efficiency)}]</t>
  </si>
  <si>
    <r>
      <rPr>
        <sz val="11"/>
        <color rgb="FF000000"/>
        <rFont val="Aptos Narrow"/>
      </rPr>
      <t xml:space="preserve"> η= 75%(Trucking) =80%(Pipeline)      k=1.41   </t>
    </r>
    <r>
      <rPr>
        <sz val="11"/>
        <color rgb="FFFF0000"/>
        <rFont val="Aptos Narrow"/>
      </rPr>
      <t xml:space="preserve">  </t>
    </r>
    <r>
      <rPr>
        <sz val="11"/>
        <color rgb="FF000000"/>
        <rFont val="Aptos Narrow"/>
      </rPr>
      <t>T1=305.15 K   T2(350 bar)= 399.2568937 K  T2(540 bar)= 415.300722807 K</t>
    </r>
  </si>
  <si>
    <t>Pavg(350 bar)=234.0540541 bar   Tavg(350 bar)= 352.20344685 K       Pavg(540 bar) = 360.4761905 bar     Tavg(540 bar)= 360.2253614035 K  R=8.314 /J *K*mol   M=0.02 kg/mol   Z(350 bar)=1.12625491476908    Z(540 bar)= 1.1924143852772</t>
  </si>
  <si>
    <t>Nd(Theoretical max no of delieveries per day)</t>
  </si>
  <si>
    <t>dhmax(max no of hours per day truck driver is allowed to drive)/td</t>
  </si>
  <si>
    <t>dhmax=9 hours</t>
  </si>
  <si>
    <t>qM(Molar flow)</t>
  </si>
  <si>
    <t>mH2/(M(Molecular mass of hydrogen)*24*60*60)</t>
  </si>
  <si>
    <t>Nt(No of trucks reqd)</t>
  </si>
  <si>
    <t>nd/(nd*AFT{Availability factor of truck and driver})</t>
  </si>
  <si>
    <t>AFT=80%</t>
  </si>
  <si>
    <t>P(actual compressor power ofor multistage compressor)</t>
  </si>
  <si>
    <t>N*(k/k-1)*(Z{compressibility factor for average temp and pressure}/ η)*T1*R{universal gas constant}*qM*((P2/P1)^((k-1)/(N*k{Adiabatic index}))-1)</t>
  </si>
  <si>
    <t>Pavg(350 bar)=233.5439934623 bar   Tavg(350 bar)= 352.20344685 K       Pavg(540 bar) = 360.1463860933 bar     Tavg(540 bar)= 360.2253614035 K  R=8.314 /J *K*mol   M=0.02 kg/mol   Z=1.126</t>
  </si>
  <si>
    <t>Ntr(No of trailers reqd)</t>
  </si>
  <si>
    <t>2*Nt</t>
  </si>
  <si>
    <t>Pc(rated compressor power)</t>
  </si>
  <si>
    <t>p/ ηm(motor efficiency)</t>
  </si>
  <si>
    <t xml:space="preserve"> ηm=95%</t>
  </si>
  <si>
    <t>LCOHT,Invest(){Levelised cost for investment}</t>
  </si>
  <si>
    <t>[(Nt*CRFt*ICt{Investment cost for trucks})+(Ntr*CRFtr*ICtr)]/mH2, per yr{hydrogen demand per yr}</t>
  </si>
  <si>
    <t>ICt Values: Truck=180k€     Trailer(350 bar)=689k€    Trailer(540 bar)=1100 k€</t>
  </si>
  <si>
    <t>Invest(Investment cost for truck loading compressor)</t>
  </si>
  <si>
    <t>TIC(Total installations costs of compressor)+Id(Indirect costs)</t>
  </si>
  <si>
    <t>Id= 0.28*TIC</t>
  </si>
  <si>
    <t>CRF(Capital Recovery Factor)</t>
  </si>
  <si>
    <t>{i(interest rate)*(1+i)^n(lifetime in yrs)}/{(1+i)^n}-1</t>
  </si>
  <si>
    <t>i=8%(for truck and both trailer), n=8 yrs(for truck) and =15 yrs(for both trailers)</t>
  </si>
  <si>
    <t>TIC</t>
  </si>
  <si>
    <t>UC(Uninstalled costs for compressor)*IF(Installation cost for compressor)</t>
  </si>
  <si>
    <t>350 bar trailer: UC= 54851.4 *(PC) ^ SF350 €/kW (Scaling factor){ 0.4603(350bar)}    540 bar trailer: UC= 554184.17 *(PC) ^ SF540 €/kW{ 0.6038(540bar)}  IF(Trucking)=1.3     {0.8335(Pipeline)}</t>
  </si>
  <si>
    <t>LCOHT, O&amp;M(Levelised cost for operation &amp; maintenance)</t>
  </si>
  <si>
    <t>(Nt*VCt{Variable cost fro trucks}*dt,yr{annual drive distance per truck})+ (Ntr*FCtr(fixed O&amp;M cost factor for trailer)*ICtr)/mH2,per yr</t>
  </si>
  <si>
    <t>VCt(€/km)=0.1 for trucks     FCtr=2%*ICtr(for both trailers)</t>
  </si>
  <si>
    <t>LCOHT, Invest</t>
  </si>
  <si>
    <t>Invest*CRF/(AF*mH2)</t>
  </si>
  <si>
    <t xml:space="preserve">AF=90%   i=8%  n=15 </t>
  </si>
  <si>
    <t>CRF=0.11682954493602004403742655559641</t>
  </si>
  <si>
    <t>dt,yr(annual drive distance per truck)</t>
  </si>
  <si>
    <t>{(2*nd*td)/Nt}*365</t>
  </si>
  <si>
    <t>NE(Non energy cost of compressor)</t>
  </si>
  <si>
    <t>dl(direct labor costs) +Idl(Indirect labor costs)+O&amp;M</t>
  </si>
  <si>
    <t>LCOHT,Labor(Levelised labor cost)</t>
  </si>
  <si>
    <t>(td{time taken for delievery}*St{hourly salary})/Ht,capacity(capacity of hydrogen per trailer}</t>
  </si>
  <si>
    <t>St= 23€/h for trucks</t>
  </si>
  <si>
    <t>LCOHT,Fuel(Levelised cost for trucking fuel)</t>
  </si>
  <si>
    <t>(2*dt*Ft{fuel consumption}*FPt(fuel price})/HT, capacity</t>
  </si>
  <si>
    <t>Ft(l/km)= 0.38 for trucks    FPt(€/l)= 1.54 for trucks</t>
  </si>
  <si>
    <t>idl</t>
  </si>
  <si>
    <t>0.5*dl</t>
  </si>
  <si>
    <t>(0.021* Invest) +(0.04*TIC)</t>
  </si>
  <si>
    <t>LCOHT,NE(Non energy)</t>
  </si>
  <si>
    <t>NE/(AF* mh2 dem, yr)</t>
  </si>
  <si>
    <t>Ec(Annual energy cost for compression)</t>
  </si>
  <si>
    <t>Pc*  ep(Electricity price in €/kWh) * 24* 365</t>
  </si>
  <si>
    <t>ep=0.306 €/kWh</t>
  </si>
  <si>
    <t>LCOHT,E(Energy)</t>
  </si>
  <si>
    <t>Ec/(AF*mH2 dem,yr)</t>
  </si>
  <si>
    <t>Pipeline diameter(mm)</t>
  </si>
  <si>
    <t>Distance to 35 bar(km)</t>
  </si>
  <si>
    <t>Assuming P1=20 bar and P2=70 bar, x=2.1</t>
  </si>
  <si>
    <t>ρ=0.677649444499187 kg/m3 at base temperature and pressure for Qb calculation</t>
  </si>
  <si>
    <t>Assuming same T1=305.15 K (as in hydrogen)</t>
  </si>
  <si>
    <t>Assuming methane flow temperature= 288K( same as hydrogen)</t>
  </si>
  <si>
    <r>
      <rPr>
        <b/>
        <sz val="11"/>
        <color rgb="FF000000"/>
        <rFont val="Aptos Narrow"/>
      </rPr>
      <t>Daily Methane Demand{</t>
    </r>
    <r>
      <rPr>
        <b/>
        <sz val="11"/>
        <color rgb="FFFF0000"/>
        <rFont val="Aptos Narrow"/>
      </rPr>
      <t>mH2</t>
    </r>
    <r>
      <rPr>
        <b/>
        <sz val="11"/>
        <color rgb="FF000000"/>
        <rFont val="Aptos Narrow"/>
      </rPr>
      <t>}(kg/day)</t>
    </r>
  </si>
  <si>
    <t>Compressor Power(P)</t>
  </si>
  <si>
    <t>Rated compressor power(Pc)</t>
  </si>
  <si>
    <t>Velocity of methane{v}(m/sec)</t>
  </si>
  <si>
    <t>Friction factor {f}</t>
  </si>
  <si>
    <t>Lsegment(mm)</t>
  </si>
  <si>
    <t>No of compressors</t>
  </si>
  <si>
    <t>Base temp Tb</t>
  </si>
  <si>
    <t>K</t>
  </si>
  <si>
    <t>Base pressure Pb</t>
  </si>
  <si>
    <t>bar</t>
  </si>
  <si>
    <t>Methane density ρ</t>
  </si>
  <si>
    <t>kg/m³</t>
  </si>
  <si>
    <t>k</t>
  </si>
  <si>
    <t>Z( at base temp and base pressure)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</si>
</sst>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  <scheme val="minor"/>
    </font>
    <font>
      <sz val="11"/>
      <color rgb="FF000000"/>
      <name val="Roboto"/>
      <family val="2"/>
      <charset val="1"/>
    </font>
    <font>
      <b/>
      <sz val="11"/>
      <color rgb="FFFF0000"/>
      <name val="Aptos Narrow"/>
      <scheme val="minor"/>
    </font>
    <font>
      <b/>
      <sz val="11"/>
      <color theme="1"/>
      <name val="Aptos Narrow"/>
      <scheme val="minor"/>
    </font>
    <font>
      <b/>
      <sz val="11"/>
      <color rgb="FF000000"/>
      <name val="Aptos Narrow"/>
    </font>
    <font>
      <b/>
      <sz val="11"/>
      <color rgb="FFFF0000"/>
      <name val="Aptos Narrow"/>
    </font>
    <font>
      <b/>
      <sz val="11"/>
      <color theme="1"/>
      <name val="Aptos Narrow"/>
    </font>
    <font>
      <b/>
      <sz val="11"/>
      <color rgb="FF242424"/>
      <name val="Aptos Narrow"/>
    </font>
    <font>
      <sz val="11"/>
      <color rgb="FF000000"/>
      <name val="Aptos Narrow"/>
    </font>
    <font>
      <sz val="11"/>
      <color rgb="FFFF0000"/>
      <name val="Aptos Narrow"/>
    </font>
    <font>
      <sz val="11"/>
      <color theme="1"/>
      <name val="Aptos Narrow"/>
    </font>
    <font>
      <sz val="11"/>
      <color rgb="FF000000"/>
      <name val="Arial"/>
      <charset val="1"/>
    </font>
    <font>
      <i/>
      <sz val="12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b/>
      <sz val="11"/>
      <color rgb="FF000000"/>
      <name val="Arial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Roboto"/>
      <family val="2"/>
      <charset val="1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b/>
      <sz val="11"/>
      <color rgb="FF242424"/>
      <name val="Aptos Narrow"/>
      <family val="2"/>
      <charset val="1"/>
    </font>
    <font>
      <sz val="11"/>
      <color rgb="FF242424"/>
      <name val="Aptos Narrow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AF2D0"/>
        <bgColor rgb="FFDAF2D0"/>
      </patternFill>
    </fill>
    <fill>
      <patternFill patternType="solid">
        <fgColor rgb="FFFBE2D5"/>
        <bgColor rgb="FF000000"/>
      </patternFill>
    </fill>
    <fill>
      <patternFill patternType="solid">
        <fgColor rgb="FFC0E4F5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114">
    <xf numFmtId="0" fontId="0" fillId="0" borderId="0" xfId="0"/>
    <xf numFmtId="0" fontId="2" fillId="0" borderId="0" xfId="0" applyFont="1" applyFill="1" applyBorder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9" xfId="0" applyFont="1" applyBorder="1"/>
    <xf numFmtId="0" fontId="5" fillId="0" borderId="10" xfId="0" applyFont="1" applyBorder="1" applyAlignment="1">
      <alignment wrapText="1"/>
    </xf>
    <xf numFmtId="0" fontId="3" fillId="0" borderId="0" xfId="0" applyFont="1" applyBorder="1"/>
    <xf numFmtId="0" fontId="3" fillId="0" borderId="4" xfId="0" applyFont="1" applyBorder="1"/>
    <xf numFmtId="0" fontId="5" fillId="0" borderId="9" xfId="0" applyFont="1" applyBorder="1" applyAlignment="1">
      <alignment wrapText="1"/>
    </xf>
    <xf numFmtId="0" fontId="0" fillId="2" borderId="7" xfId="0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3" borderId="11" xfId="0" applyFont="1" applyFill="1" applyBorder="1" applyAlignment="1"/>
    <xf numFmtId="0" fontId="6" fillId="3" borderId="12" xfId="0" applyFont="1" applyFill="1" applyBorder="1" applyAlignment="1"/>
    <xf numFmtId="0" fontId="6" fillId="3" borderId="1" xfId="0" applyFont="1" applyFill="1" applyBorder="1" applyAlignment="1"/>
    <xf numFmtId="0" fontId="6" fillId="3" borderId="2" xfId="0" applyFont="1" applyFill="1" applyBorder="1" applyAlignment="1"/>
    <xf numFmtId="0" fontId="0" fillId="4" borderId="0" xfId="0" applyFill="1" applyBorder="1"/>
    <xf numFmtId="0" fontId="6" fillId="3" borderId="5" xfId="0" applyFont="1" applyFill="1" applyBorder="1" applyAlignment="1"/>
    <xf numFmtId="0" fontId="6" fillId="3" borderId="4" xfId="0" applyFont="1" applyFill="1" applyBorder="1" applyAlignment="1"/>
    <xf numFmtId="0" fontId="6" fillId="3" borderId="6" xfId="0" applyFont="1" applyFill="1" applyBorder="1" applyAlignment="1"/>
    <xf numFmtId="0" fontId="0" fillId="4" borderId="0" xfId="0" applyFill="1" applyAlignment="1">
      <alignment wrapText="1"/>
    </xf>
    <xf numFmtId="0" fontId="3" fillId="0" borderId="0" xfId="0" applyFont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7" fillId="4" borderId="0" xfId="0" applyFont="1" applyFill="1" applyAlignment="1">
      <alignment wrapText="1"/>
    </xf>
    <xf numFmtId="0" fontId="0" fillId="4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4" fillId="4" borderId="0" xfId="0" applyFont="1" applyFill="1" applyBorder="1"/>
    <xf numFmtId="0" fontId="3" fillId="4" borderId="0" xfId="0" applyFont="1" applyFill="1" applyBorder="1"/>
    <xf numFmtId="0" fontId="0" fillId="8" borderId="0" xfId="0" applyFill="1"/>
    <xf numFmtId="0" fontId="0" fillId="2" borderId="0" xfId="0" applyFill="1"/>
    <xf numFmtId="11" fontId="0" fillId="0" borderId="0" xfId="0" applyNumberFormat="1"/>
    <xf numFmtId="0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1" fillId="0" borderId="0" xfId="0" applyFont="1"/>
    <xf numFmtId="0" fontId="0" fillId="11" borderId="0" xfId="0" applyFill="1"/>
    <xf numFmtId="0" fontId="7" fillId="0" borderId="0" xfId="0" applyFont="1"/>
    <xf numFmtId="0" fontId="0" fillId="0" borderId="0" xfId="0" applyFill="1" applyAlignment="1">
      <alignment wrapText="1"/>
    </xf>
    <xf numFmtId="0" fontId="0" fillId="12" borderId="0" xfId="0" applyFill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0" fillId="0" borderId="0" xfId="0" applyNumberFormat="1" applyAlignment="1">
      <alignment wrapText="1"/>
    </xf>
    <xf numFmtId="0" fontId="4" fillId="13" borderId="0" xfId="0" applyFont="1" applyFill="1"/>
    <xf numFmtId="0" fontId="4" fillId="14" borderId="0" xfId="0" applyFont="1" applyFill="1" applyAlignment="1">
      <alignment wrapText="1"/>
    </xf>
    <xf numFmtId="0" fontId="10" fillId="0" borderId="0" xfId="0" applyFont="1" applyAlignment="1"/>
    <xf numFmtId="0" fontId="6" fillId="4" borderId="0" xfId="0" applyFont="1" applyFill="1" applyBorder="1" applyAlignment="1">
      <alignment wrapText="1"/>
    </xf>
    <xf numFmtId="0" fontId="20" fillId="0" borderId="0" xfId="0" applyFont="1"/>
    <xf numFmtId="2" fontId="0" fillId="0" borderId="0" xfId="0" applyNumberFormat="1"/>
    <xf numFmtId="2" fontId="0" fillId="0" borderId="0" xfId="0" applyNumberFormat="1" applyAlignment="1">
      <alignment wrapText="1"/>
    </xf>
    <xf numFmtId="0" fontId="4" fillId="8" borderId="0" xfId="0" applyFont="1" applyFill="1"/>
    <xf numFmtId="0" fontId="4" fillId="15" borderId="0" xfId="0" applyFont="1" applyFill="1"/>
    <xf numFmtId="0" fontId="3" fillId="0" borderId="13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3" fillId="9" borderId="0" xfId="0" applyFont="1" applyFill="1" applyBorder="1" applyAlignment="1">
      <alignment wrapText="1"/>
    </xf>
    <xf numFmtId="0" fontId="0" fillId="16" borderId="14" xfId="0" applyFont="1" applyFill="1" applyBorder="1"/>
    <xf numFmtId="0" fontId="0" fillId="0" borderId="14" xfId="0" applyFont="1" applyBorder="1"/>
    <xf numFmtId="0" fontId="0" fillId="15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0" borderId="0" xfId="0" applyAlignment="1"/>
    <xf numFmtId="0" fontId="13" fillId="0" borderId="13" xfId="0" applyFont="1" applyBorder="1" applyAlignment="1">
      <alignment wrapText="1"/>
    </xf>
    <xf numFmtId="0" fontId="24" fillId="0" borderId="0" xfId="0" applyFont="1" applyBorder="1"/>
    <xf numFmtId="0" fontId="0" fillId="16" borderId="0" xfId="0" applyFont="1" applyFill="1" applyBorder="1"/>
    <xf numFmtId="0" fontId="24" fillId="0" borderId="15" xfId="0" applyFont="1" applyBorder="1"/>
    <xf numFmtId="0" fontId="0" fillId="16" borderId="16" xfId="0" applyFont="1" applyFill="1" applyBorder="1"/>
    <xf numFmtId="0" fontId="0" fillId="0" borderId="16" xfId="0" applyFont="1" applyBorder="1"/>
    <xf numFmtId="0" fontId="24" fillId="0" borderId="0" xfId="0" applyFont="1" applyBorder="1" applyAlignment="1">
      <alignment wrapText="1"/>
    </xf>
    <xf numFmtId="0" fontId="0" fillId="13" borderId="0" xfId="0" applyFill="1" applyAlignment="1">
      <alignment wrapText="1"/>
    </xf>
    <xf numFmtId="0" fontId="4" fillId="4" borderId="0" xfId="0" applyFont="1" applyFill="1"/>
    <xf numFmtId="0" fontId="0" fillId="17" borderId="0" xfId="0" applyFill="1"/>
    <xf numFmtId="0" fontId="0" fillId="18" borderId="0" xfId="0" applyFill="1"/>
    <xf numFmtId="0" fontId="4" fillId="4" borderId="0" xfId="0" applyFont="1" applyFill="1" applyAlignment="1">
      <alignment wrapText="1"/>
    </xf>
    <xf numFmtId="2" fontId="0" fillId="0" borderId="0" xfId="0" applyNumberFormat="1" applyAlignment="1"/>
    <xf numFmtId="0" fontId="0" fillId="14" borderId="0" xfId="0" applyFill="1"/>
    <xf numFmtId="0" fontId="18" fillId="14" borderId="0" xfId="0" applyFont="1" applyFill="1"/>
    <xf numFmtId="0" fontId="19" fillId="14" borderId="0" xfId="0" applyFont="1" applyFill="1"/>
    <xf numFmtId="0" fontId="8" fillId="14" borderId="0" xfId="0" applyFont="1" applyFill="1" applyBorder="1" applyAlignment="1">
      <alignment wrapText="1"/>
    </xf>
    <xf numFmtId="2" fontId="0" fillId="14" borderId="0" xfId="0" applyNumberFormat="1" applyFill="1"/>
    <xf numFmtId="2" fontId="0" fillId="14" borderId="0" xfId="0" applyNumberFormat="1" applyFill="1" applyAlignment="1">
      <alignment wrapText="1"/>
    </xf>
    <xf numFmtId="0" fontId="0" fillId="14" borderId="0" xfId="0" applyNumberFormat="1" applyFill="1" applyAlignment="1">
      <alignment wrapText="1"/>
    </xf>
    <xf numFmtId="0" fontId="25" fillId="0" borderId="0" xfId="0" applyFont="1" applyBorder="1" applyAlignment="1">
      <alignment wrapText="1"/>
    </xf>
    <xf numFmtId="0" fontId="6" fillId="19" borderId="0" xfId="0" applyFont="1" applyFill="1" applyBorder="1" applyAlignment="1"/>
    <xf numFmtId="2" fontId="6" fillId="19" borderId="0" xfId="0" applyNumberFormat="1" applyFont="1" applyFill="1" applyBorder="1" applyAlignment="1"/>
    <xf numFmtId="2" fontId="6" fillId="0" borderId="0" xfId="0" applyNumberFormat="1" applyFont="1" applyBorder="1" applyAlignment="1"/>
    <xf numFmtId="0" fontId="26" fillId="0" borderId="0" xfId="0" applyFont="1" applyBorder="1" applyAlignment="1"/>
    <xf numFmtId="0" fontId="26" fillId="20" borderId="0" xfId="0" applyFont="1" applyFill="1" applyBorder="1" applyAlignment="1"/>
    <xf numFmtId="0" fontId="26" fillId="0" borderId="0" xfId="0" applyFont="1" applyBorder="1" applyAlignment="1">
      <alignment wrapText="1"/>
    </xf>
    <xf numFmtId="0" fontId="26" fillId="21" borderId="0" xfId="0" applyFont="1" applyFill="1" applyBorder="1" applyAlignment="1">
      <alignment wrapText="1"/>
    </xf>
    <xf numFmtId="0" fontId="26" fillId="2" borderId="0" xfId="0" applyFont="1" applyFill="1" applyBorder="1" applyAlignment="1">
      <alignment wrapText="1"/>
    </xf>
    <xf numFmtId="0" fontId="25" fillId="13" borderId="0" xfId="0" applyFont="1" applyFill="1" applyBorder="1" applyAlignment="1">
      <alignment wrapText="1"/>
    </xf>
    <xf numFmtId="0" fontId="27" fillId="0" borderId="0" xfId="0" applyFont="1"/>
    <xf numFmtId="0" fontId="0" fillId="11" borderId="0" xfId="0" applyFill="1" applyAlignment="1">
      <alignment wrapText="1"/>
    </xf>
    <xf numFmtId="0" fontId="2" fillId="2" borderId="0" xfId="0" applyFont="1" applyFill="1" applyBorder="1" applyAlignment="1"/>
    <xf numFmtId="2" fontId="6" fillId="0" borderId="0" xfId="0" applyNumberFormat="1" applyFont="1" applyAlignment="1"/>
    <xf numFmtId="164" fontId="4" fillId="0" borderId="0" xfId="0" applyNumberFormat="1" applyFont="1"/>
    <xf numFmtId="0" fontId="0" fillId="2" borderId="0" xfId="0" applyFill="1" applyAlignment="1">
      <alignment horizontal="center"/>
    </xf>
    <xf numFmtId="0" fontId="1" fillId="2" borderId="0" xfId="1" applyFill="1" applyAlignment="1">
      <alignment horizontal="center" wrapText="1"/>
    </xf>
  </cellXfs>
  <cellStyles count="2">
    <cellStyle name="20% - Accent5" xfId="1" builtinId="46"/>
    <cellStyle name="Normal" xfId="0" builtinId="0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000000000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theme="8" tint="0.79998168889431442"/>
        </patternFill>
      </fill>
    </dxf>
    <dxf>
      <numFmt numFmtId="2" formatCode="0.00"/>
      <fill>
        <patternFill patternType="solid">
          <fgColor indexed="64"/>
          <bgColor theme="8" tint="0.79998168889431442"/>
        </patternFill>
      </fill>
    </dxf>
    <dxf>
      <font>
        <color rgb="FF000000"/>
        <name val="Calibri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</dxf>
    <dxf>
      <numFmt numFmtId="2" formatCode="0.00"/>
      <fill>
        <patternFill patternType="solid">
          <fgColor indexed="64"/>
          <bgColor theme="8" tint="0.79998168889431442"/>
        </patternFill>
      </fill>
    </dxf>
    <dxf>
      <numFmt numFmtId="2" formatCode="0.00"/>
      <fill>
        <patternFill patternType="solid">
          <fgColor indexed="64"/>
          <bgColor theme="8" tint="0.79998168889431442"/>
        </patternFill>
      </fill>
    </dxf>
    <dxf>
      <numFmt numFmtId="2" formatCode="0.00"/>
      <fill>
        <patternFill patternType="solid">
          <fgColor indexed="64"/>
          <bgColor theme="8" tint="0.79998168889431442"/>
        </patternFill>
      </fill>
    </dxf>
    <dxf>
      <numFmt numFmtId="2" formatCode="0.00"/>
      <fill>
        <patternFill patternType="solid">
          <fgColor indexed="64"/>
          <bgColor theme="8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border outline="0">
        <left style="medium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LCOHT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'Pipeline Model'!$A$8:$A$14</c:f>
              <c:strCache>
                <c:ptCount val="7"/>
                <c:pt idx="0">
                  <c:v>Pipeline Investment(€/kg)</c:v>
                </c:pt>
                <c:pt idx="1">
                  <c:v>Pipeline Operation(€/kg)</c:v>
                </c:pt>
                <c:pt idx="2">
                  <c:v>Inlet Compressor(€/kg)</c:v>
                </c:pt>
                <c:pt idx="3">
                  <c:v>En route compressor(Non energy)(€/kg)</c:v>
                </c:pt>
                <c:pt idx="4">
                  <c:v>En route compressor(Energy) (€/kg)</c:v>
                </c:pt>
                <c:pt idx="5">
                  <c:v>En route compressor(Investment)t(€/kg)</c:v>
                </c:pt>
                <c:pt idx="6">
                  <c:v>LCOHT(Total)(€/kg)</c:v>
                </c:pt>
              </c:strCache>
            </c:strRef>
          </c:cat>
          <c:val>
            <c:numRef>
              <c:f>'Pipeline Model'!$B$8:$B$14</c:f>
              <c:numCache>
                <c:formatCode>General</c:formatCode>
                <c:ptCount val="7"/>
                <c:pt idx="0">
                  <c:v>0.60283687943262299</c:v>
                </c:pt>
                <c:pt idx="1">
                  <c:v>0.19858156028368801</c:v>
                </c:pt>
                <c:pt idx="2">
                  <c:v>0.21276595744680804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1.0283687943262401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5-4C57-84AB-01934CAA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288775"/>
        <c:axId val="143213575"/>
      </c:barChart>
      <c:catAx>
        <c:axId val="1424288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3575"/>
        <c:crosses val="autoZero"/>
        <c:auto val="1"/>
        <c:lblAlgn val="ctr"/>
        <c:lblOffset val="100"/>
        <c:noMultiLvlLbl val="0"/>
      </c:catAx>
      <c:valAx>
        <c:axId val="143213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88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LCOHT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'Pipeline Model'!$A$27:$A$33</c:f>
              <c:strCache>
                <c:ptCount val="7"/>
                <c:pt idx="0">
                  <c:v>Pipeline Investment(€/kg)</c:v>
                </c:pt>
                <c:pt idx="1">
                  <c:v>Pipeline Operation(€/kg)</c:v>
                </c:pt>
                <c:pt idx="2">
                  <c:v>Inlet Compressor(€/kg)</c:v>
                </c:pt>
                <c:pt idx="3">
                  <c:v>En route compressor(Non energy)(€/kg)</c:v>
                </c:pt>
                <c:pt idx="4">
                  <c:v>En route compressor(Energy) (€/kg)</c:v>
                </c:pt>
                <c:pt idx="5">
                  <c:v>En route compressor(Investment)t(€/kg)</c:v>
                </c:pt>
                <c:pt idx="6">
                  <c:v>LCOHT(Total)(€/kg)</c:v>
                </c:pt>
              </c:strCache>
            </c:strRef>
          </c:cat>
          <c:val>
            <c:numRef>
              <c:f>'Pipeline Model'!$B$27:$B$33</c:f>
              <c:numCache>
                <c:formatCode>General</c:formatCode>
                <c:ptCount val="7"/>
                <c:pt idx="0">
                  <c:v>4.3821656050955404</c:v>
                </c:pt>
                <c:pt idx="1">
                  <c:v>1.4522292993630597</c:v>
                </c:pt>
                <c:pt idx="2">
                  <c:v>0.25477707006368977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6.0891719745222899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4-4F57-A75E-04C748B2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819400"/>
        <c:axId val="1077854216"/>
      </c:barChart>
      <c:catAx>
        <c:axId val="107781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54216"/>
        <c:crosses val="autoZero"/>
        <c:auto val="1"/>
        <c:lblAlgn val="ctr"/>
        <c:lblOffset val="100"/>
        <c:noMultiLvlLbl val="0"/>
      </c:catAx>
      <c:valAx>
        <c:axId val="10778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LCOHT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'Pipeline Model'!$A$43:$A$50</c:f>
              <c:strCache>
                <c:ptCount val="8"/>
                <c:pt idx="0">
                  <c:v>Pipeline Investment(€/kg)</c:v>
                </c:pt>
                <c:pt idx="1">
                  <c:v>Pipeline Operation(€/kg)</c:v>
                </c:pt>
                <c:pt idx="2">
                  <c:v>Inlet Comp Investment€/kg)</c:v>
                </c:pt>
                <c:pt idx="3">
                  <c:v>Inlet Comp Energy(€/kg)</c:v>
                </c:pt>
                <c:pt idx="4">
                  <c:v>En route compressor(Investment)(€/kg)</c:v>
                </c:pt>
                <c:pt idx="5">
                  <c:v>En route compressor(Non Energy) (€/kg)</c:v>
                </c:pt>
                <c:pt idx="6">
                  <c:v>En route compressor(Energy)(€/kg)</c:v>
                </c:pt>
                <c:pt idx="7">
                  <c:v>LCOHT(Total)(€/kg)</c:v>
                </c:pt>
              </c:strCache>
            </c:strRef>
          </c:cat>
          <c:val>
            <c:numRef>
              <c:f>'Pipeline Model'!$B$43:$B$50</c:f>
              <c:numCache>
                <c:formatCode>General</c:formatCode>
                <c:ptCount val="8"/>
                <c:pt idx="0">
                  <c:v>0.466263794009458</c:v>
                </c:pt>
                <c:pt idx="1">
                  <c:v>0.14096163951655299</c:v>
                </c:pt>
                <c:pt idx="2">
                  <c:v>2.235943247504002E-2</c:v>
                </c:pt>
                <c:pt idx="3">
                  <c:v>0.20909090909090799</c:v>
                </c:pt>
                <c:pt idx="4">
                  <c:v>5.4440357330530986E-2</c:v>
                </c:pt>
                <c:pt idx="5">
                  <c:v>0</c:v>
                </c:pt>
                <c:pt idx="6">
                  <c:v>0.33171308460325</c:v>
                </c:pt>
                <c:pt idx="7">
                  <c:v>1.22482921702574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4-4B16-9A59-0086D5FB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4354184"/>
        <c:axId val="957500423"/>
      </c:barChart>
      <c:catAx>
        <c:axId val="95435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00423"/>
        <c:crosses val="autoZero"/>
        <c:auto val="1"/>
        <c:lblAlgn val="ctr"/>
        <c:lblOffset val="100"/>
        <c:noMultiLvlLbl val="0"/>
      </c:catAx>
      <c:valAx>
        <c:axId val="95750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5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LCOHT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'Trucks Model'!$A$8:$A$14</c:f>
              <c:strCache>
                <c:ptCount val="7"/>
                <c:pt idx="0">
                  <c:v>Compressor Energy(€/kg)</c:v>
                </c:pt>
                <c:pt idx="1">
                  <c:v>Compressor, Non Energy(€/kg)</c:v>
                </c:pt>
                <c:pt idx="2">
                  <c:v>Compressor, Investment(€/kg)</c:v>
                </c:pt>
                <c:pt idx="3">
                  <c:v>Trucking,fuel(€/kg)</c:v>
                </c:pt>
                <c:pt idx="4">
                  <c:v>Trucking, labour(€/kg)</c:v>
                </c:pt>
                <c:pt idx="5">
                  <c:v>Trucking, O&amp;M(€/kg)</c:v>
                </c:pt>
                <c:pt idx="6">
                  <c:v>Trucking,Investment(€/kg)</c:v>
                </c:pt>
              </c:strCache>
            </c:strRef>
          </c:cat>
          <c:val>
            <c:numRef>
              <c:f>'Trucks Model'!$B$8:$B$14</c:f>
              <c:numCache>
                <c:formatCode>General</c:formatCode>
                <c:ptCount val="7"/>
                <c:pt idx="0">
                  <c:v>0.67809776430467039</c:v>
                </c:pt>
                <c:pt idx="1">
                  <c:v>0.1606669192875998</c:v>
                </c:pt>
                <c:pt idx="2">
                  <c:v>0.34508020714917986</c:v>
                </c:pt>
                <c:pt idx="3">
                  <c:v>0.43665529872426001</c:v>
                </c:pt>
                <c:pt idx="4">
                  <c:v>0.26430466085639015</c:v>
                </c:pt>
                <c:pt idx="5">
                  <c:v>0.31040798282177007</c:v>
                </c:pt>
                <c:pt idx="6">
                  <c:v>1.6291524567386599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8-47A6-B88A-02ACBDA8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5384"/>
        <c:axId val="15527432"/>
      </c:barChart>
      <c:catAx>
        <c:axId val="1552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432"/>
        <c:crosses val="autoZero"/>
        <c:auto val="1"/>
        <c:lblAlgn val="ctr"/>
        <c:lblOffset val="100"/>
        <c:noMultiLvlLbl val="0"/>
      </c:catAx>
      <c:valAx>
        <c:axId val="155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666750</xdr:colOff>
      <xdr:row>1</xdr:row>
      <xdr:rowOff>9525</xdr:rowOff>
    </xdr:from>
    <xdr:to>
      <xdr:col>18</xdr:col>
      <xdr:colOff>219075</xdr:colOff>
      <xdr:row>23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72CCF1-32B3-EC77-DB95-5F46589C3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0" y="200025"/>
          <a:ext cx="8124825" cy="430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17</xdr:col>
      <xdr:colOff>542925</xdr:colOff>
      <xdr:row>70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EFF086-CE40-E9AB-F4DE-5A48679BD556}"/>
            </a:ext>
            <a:ext uri="{147F2762-F138-4A5C-976F-8EAC2B608ADB}">
              <a16:predDERef xmlns:a16="http://schemas.microsoft.com/office/drawing/2014/main" pred="{0A72CCF1-32B3-EC77-DB95-5F46589C3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650" y="10296525"/>
          <a:ext cx="4562475" cy="27908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1933575</xdr:colOff>
      <xdr:row>142</xdr:row>
      <xdr:rowOff>142875</xdr:rowOff>
    </xdr:from>
    <xdr:to>
      <xdr:col>16</xdr:col>
      <xdr:colOff>323850</xdr:colOff>
      <xdr:row>156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01DF2B-E3DB-3984-F2F7-CC2F523BB8F9}"/>
            </a:ext>
            <a:ext uri="{147F2762-F138-4A5C-976F-8EAC2B608ADB}">
              <a16:predDERef xmlns:a16="http://schemas.microsoft.com/office/drawing/2014/main" pred="{62EFF086-CE40-E9AB-F4DE-5A48679BD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936575" y="32318325"/>
          <a:ext cx="4572000" cy="2609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11</xdr:row>
      <xdr:rowOff>95250</xdr:rowOff>
    </xdr:from>
    <xdr:to>
      <xdr:col>7</xdr:col>
      <xdr:colOff>1790700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37ECC-8ADF-B93D-45ED-A5046DB6F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25</xdr:row>
      <xdr:rowOff>0</xdr:rowOff>
    </xdr:from>
    <xdr:to>
      <xdr:col>10</xdr:col>
      <xdr:colOff>57150</xdr:colOff>
      <xdr:row>38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E50D8-35FA-F04F-56BB-DD22BA9D473D}"/>
            </a:ext>
            <a:ext uri="{147F2762-F138-4A5C-976F-8EAC2B608ADB}">
              <a16:predDERef xmlns:a16="http://schemas.microsoft.com/office/drawing/2014/main" pred="{98B37ECC-8ADF-B93D-45ED-A5046DB6F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771525</xdr:colOff>
      <xdr:row>39</xdr:row>
      <xdr:rowOff>171450</xdr:rowOff>
    </xdr:from>
    <xdr:to>
      <xdr:col>10</xdr:col>
      <xdr:colOff>495300</xdr:colOff>
      <xdr:row>54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F34C5-77D7-C0E3-FE5D-2143C4FB5AB6}"/>
            </a:ext>
            <a:ext uri="{147F2762-F138-4A5C-976F-8EAC2B608ADB}">
              <a16:predDERef xmlns:a16="http://schemas.microsoft.com/office/drawing/2014/main" pred="{2EAE50D8-35FA-F04F-56BB-DD22BA9D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76200</xdr:colOff>
      <xdr:row>94</xdr:row>
      <xdr:rowOff>19050</xdr:rowOff>
    </xdr:from>
    <xdr:to>
      <xdr:col>13</xdr:col>
      <xdr:colOff>1381125</xdr:colOff>
      <xdr:row>98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991451-9CD3-C8CF-5233-9B6A8A884838}"/>
            </a:ext>
            <a:ext uri="{147F2762-F138-4A5C-976F-8EAC2B608ADB}">
              <a16:predDERef xmlns:a16="http://schemas.microsoft.com/office/drawing/2014/main" pred="{11A975F8-5127-849A-A94D-DE3985AE1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31375" y="19554825"/>
          <a:ext cx="4572000" cy="2590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99</xdr:row>
      <xdr:rowOff>476250</xdr:rowOff>
    </xdr:from>
    <xdr:to>
      <xdr:col>13</xdr:col>
      <xdr:colOff>1333500</xdr:colOff>
      <xdr:row>112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EAE0DC-B245-D130-9F33-975C269935DC}"/>
            </a:ext>
            <a:ext uri="{147F2762-F138-4A5C-976F-8EAC2B608ADB}">
              <a16:predDERef xmlns:a16="http://schemas.microsoft.com/office/drawing/2014/main" pred="{2B991451-9CD3-C8CF-5233-9B6A8A884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83750" y="22593300"/>
          <a:ext cx="4572000" cy="2438400"/>
        </a:xfrm>
        <a:prstGeom prst="rect">
          <a:avLst/>
        </a:prstGeom>
      </xdr:spPr>
    </xdr:pic>
    <xdr:clientData/>
  </xdr:twoCellAnchor>
  <xdr:twoCellAnchor editAs="oneCell">
    <xdr:from>
      <xdr:col>42</xdr:col>
      <xdr:colOff>1524000</xdr:colOff>
      <xdr:row>52</xdr:row>
      <xdr:rowOff>161925</xdr:rowOff>
    </xdr:from>
    <xdr:to>
      <xdr:col>44</xdr:col>
      <xdr:colOff>1219200</xdr:colOff>
      <xdr:row>54</xdr:row>
      <xdr:rowOff>523875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5BBEFC-FB97-4527-87A7-71E6D3747A69}"/>
            </a:ext>
            <a:ext uri="{147F2762-F138-4A5C-976F-8EAC2B608ADB}">
              <a16:predDERef xmlns:a16="http://schemas.microsoft.com/office/drawing/2014/main" pred="{8AEAE0DC-B245-D130-9F33-975C26993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772750" y="10058400"/>
          <a:ext cx="4572000" cy="77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0</xdr:row>
      <xdr:rowOff>95250</xdr:rowOff>
    </xdr:from>
    <xdr:to>
      <xdr:col>23</xdr:col>
      <xdr:colOff>495300</xdr:colOff>
      <xdr:row>12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BBEDC7-DFC1-590C-7A3B-83FA99AD9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11575" y="95250"/>
          <a:ext cx="4572000" cy="2533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85725</xdr:rowOff>
    </xdr:from>
    <xdr:to>
      <xdr:col>11</xdr:col>
      <xdr:colOff>133350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C9E6D-1567-D0A5-49E4-58254B17F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56</xdr:row>
      <xdr:rowOff>0</xdr:rowOff>
    </xdr:from>
    <xdr:to>
      <xdr:col>10</xdr:col>
      <xdr:colOff>2333625</xdr:colOff>
      <xdr:row>65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23C018-A072-4E54-8100-C151A713F552}"/>
            </a:ext>
            <a:ext uri="{147F2762-F138-4A5C-976F-8EAC2B608ADB}">
              <a16:predDERef xmlns:a16="http://schemas.microsoft.com/office/drawing/2014/main" pred="{4595A9E2-1DF9-46FA-96C0-8C9E6DB73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22350" y="14449425"/>
          <a:ext cx="4572000" cy="1876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FCE68-8DB9-475F-B232-65EDD52935BB}" name="H2_10K" displayName="H2_10K" ref="A2:K14" totalsRowShown="0" headerRowDxfId="157" dataDxfId="156" tableBorderDxfId="155">
  <autoFilter ref="A2:K14" xr:uid="{4FBFCE68-8DB9-475F-B232-65EDD52935BB}"/>
  <tableColumns count="11">
    <tableColumn id="1" xr3:uid="{4BF525A1-2466-4238-8226-0DBF4A82D715}" name="Distance(km)"/>
    <tableColumn id="2" xr3:uid="{4F4838A5-5B52-4C48-949F-3389D418B096}" name="Dia."/>
    <tableColumn id="3" xr3:uid="{E7417550-95E0-4120-B204-755D1FCE7151}" name="Demand"/>
    <tableColumn id="4" xr3:uid="{49432BE6-CBF6-451B-952D-3BDAF9FA5ED8}" name="En route compressor, non energy"/>
    <tableColumn id="5" xr3:uid="{6FA15234-1F96-40AE-8B0D-0DF605CF7DAD}" name="En route compressor, energy"/>
    <tableColumn id="6" xr3:uid="{C6A85A71-42EE-4E07-B217-AA55C5E64F20}" name="Inlet Comp. Energy(€/kg)" dataDxfId="154"/>
    <tableColumn id="8" xr3:uid="{0549A5D8-297F-4ABC-AF2B-98075B5B93C0}" name="Pipeline Op.(€/kg)" dataDxfId="153"/>
    <tableColumn id="9" xr3:uid="{FC8E6E69-4CBE-47AF-9F89-890DBED4F910}" name="Pipeline Investment(€/kg)" dataDxfId="152"/>
    <tableColumn id="10" xr3:uid="{0B66BF9B-7DC8-42F1-8556-AA3C55B9A362}" name="LCOHT(Total)" dataDxfId="151"/>
    <tableColumn id="12" xr3:uid="{4CAC38A3-72B5-43DD-BFD7-AA23B6877CD4}" name="En route compressor(Investment)" dataDxfId="150"/>
    <tableColumn id="11" xr3:uid="{B7580942-646C-4A76-A586-3DA8D846F080}" name="Key" dataDxfId="149">
      <calculatedColumnFormula>H2_10K[[#This Row],[Demand]] &amp; "-" &amp; H2_10K[[#This Row],[Distance(km)]] &amp; "-" &amp; H2_10K[[#This Row],[Dia.]]</calculatedColumnFormula>
    </tableColumn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BF517A-A690-4D69-92BF-472B73C945C9}" name="Table9" displayName="Table9" ref="I4:R36" totalsRowShown="0" headerRowDxfId="16">
  <autoFilter ref="I4:R36" xr:uid="{95BF517A-A690-4D69-92BF-472B73C945C9}"/>
  <tableColumns count="10">
    <tableColumn id="1" xr3:uid="{87CD0D85-319C-45E9-B344-D91386BB6D5C}" name="Mass flow rate{Qb} (m3/day)">
      <calculatedColumnFormula>A5/0.677649444499187</calculatedColumnFormula>
    </tableColumn>
    <tableColumn id="2" xr3:uid="{2A536CE6-4B7B-41E0-88A6-7BE1CE853CF2}" name="Mass flow rate(Sm3/day)" dataDxfId="15">
      <calculatedColumnFormula>(Table9[[#This Row],[Mass flow rate{Qb} (m3/day)]]*1.01325*288.15)/(1.01325*273.15)</calculatedColumnFormula>
    </tableColumn>
    <tableColumn id="3" xr3:uid="{9024B494-FB5F-441D-AA3A-C60205066D7D}" name="Velocity of methane{v}(m/sec)" dataDxfId="14">
      <calculatedColumnFormula>(14.737*1.01325*0.997612687835682*288*Table9[[#This Row],[Mass flow rate(Sm3/day)]])/(273.15*70*B5*B5)</calculatedColumnFormula>
    </tableColumn>
    <tableColumn id="4" xr3:uid="{C8698071-4EF8-43D9-B934-7ACB4A44A71B}" name="μ" dataDxfId="13">
      <calculatedColumnFormula>Table9[[#This Row],[Velocity of methane{v}(m/sec)]]*0.677649444499187</calculatedColumnFormula>
    </tableColumn>
    <tableColumn id="5" xr3:uid="{D8268F1D-DF4E-4048-ACB8-B2DD0E422FCA}" name="Re" dataDxfId="12">
      <calculatedColumnFormula>(0.677649444499187*Table9[[#This Row],[Velocity of methane{v}(m/sec)]]*B5)/Table9[[#This Row],[μ]]</calculatedColumnFormula>
    </tableColumn>
    <tableColumn id="6" xr3:uid="{1E61CBEF-AD26-4B8C-8F2B-CF571638FB25}" name="Friction factor {f}"/>
    <tableColumn id="7" xr3:uid="{791C9B03-7744-414A-9280-D18FE4BA09D0}" name="Pressure drop (Δp) (bar)" dataDxfId="11">
      <calculatedColumnFormula>(Table9[[#This Row],[Friction factor {f}]]*C5*0.677649444499187*Table9[[#This Row],[Velocity of methane{v}(m/sec)]]*Table9[[#This Row],[Velocity of methane{v}(m/sec)]])/(2*B5)</calculatedColumnFormula>
    </tableColumn>
    <tableColumn id="8" xr3:uid="{C6F836EA-DC1C-4535-8BA2-5307E7FE434D}" name="Pipe outlet pressure(Pout)(bar)" dataDxfId="10">
      <calculatedColumnFormula>70-Table9[[#This Row],[Pressure drop (Δp) (bar)]]</calculatedColumnFormula>
    </tableColumn>
    <tableColumn id="9" xr3:uid="{E524BF50-CB31-44C0-8515-9991E915E05B}" name="Lsegment(mm)" dataDxfId="9">
      <calculatedColumnFormula>35/(Table9[[#This Row],[Pressure drop (Δp) (bar)]]/C5)</calculatedColumnFormula>
    </tableColumn>
    <tableColumn id="10" xr3:uid="{38E9B94D-DF42-4384-8438-E639FB4A51CA}" name="No of compressors" dataDxfId="8">
      <calculatedColumnFormula>CEILING(C5 / Table9[[#This Row],[Lsegment(mm)]], 1)</calculatedColumnFormula>
    </tableColumn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9C4703-452D-41B4-873F-61FF30667620}" name="Table10" displayName="Table10" ref="C4:H36" totalsRowShown="0" headerRowDxfId="7" tableBorderDxfId="6">
  <autoFilter ref="C4:H36" xr:uid="{E19C4703-452D-41B4-873F-61FF30667620}"/>
  <tableColumns count="6">
    <tableColumn id="1" xr3:uid="{78486AD2-FA13-477B-8A52-F4D57D5BBD69}" name="Length of pipeline {L}(km)" dataDxfId="5">
      <calculatedColumnFormula>200</calculatedColumnFormula>
    </tableColumn>
    <tableColumn id="2" xr3:uid="{818D0C85-117D-4A67-93E6-69C3DF66B871}" name="No of compressor stages{N}" dataDxfId="4"/>
    <tableColumn id="3" xr3:uid="{BCEA0B9B-A828-472D-99D6-F0B59E58FA45}" name="T2(K)" dataDxfId="3"/>
    <tableColumn id="4" xr3:uid="{1C82C5BB-036A-4E8A-8902-E250A7D1E44D}" name="Molar flow{qM}(moles/sec)" dataDxfId="2">
      <calculatedColumnFormula>A5/(0.01604*24*60*60)</calculatedColumnFormula>
    </tableColumn>
    <tableColumn id="5" xr3:uid="{900A3B5F-0F7A-4ABD-9564-04E249EBD3C1}" name="Compressor Power(P)" dataDxfId="1">
      <calculatedColumnFormula>Table10[[#This Row],[No of compressor stages{N}]]*(1.41/0.41)*(0.997612688/0.8)*305.15*Table10[[#This Row],[Molar flow{qM}(moles/sec)]]*8.314*0.19978130798</calculatedColumnFormula>
    </tableColumn>
    <tableColumn id="6" xr3:uid="{551CB692-D034-434F-9F02-B2FF2C755123}" name="Rated compressor power(Pc)" dataDxfId="0">
      <calculatedColumnFormula>Table10[[#This Row],[Compressor Power(P)]]/0.95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0A330A-9E03-43AA-84F3-D1469FCC95EE}" name="H2_30K" displayName="H2_30K" ref="A59:L71" totalsRowShown="0" headerRowDxfId="148" dataDxfId="147">
  <autoFilter ref="A59:L71" xr:uid="{300A330A-9E03-43AA-84F3-D1469FCC95EE}"/>
  <tableColumns count="12">
    <tableColumn id="1" xr3:uid="{7A8E4771-1451-471D-810B-A1F33B6801FA}" name="Distance"/>
    <tableColumn id="2" xr3:uid="{26AD98DD-D3FF-40B5-ABBA-0BC250CC26A1}" name="Dia."/>
    <tableColumn id="3" xr3:uid="{0B98106A-946A-4806-8BB2-AC5412718EC7}" name="En route compressor,energy" dataDxfId="146"/>
    <tableColumn id="4" xr3:uid="{A80F8001-D5F9-4D74-8F6D-B60035C2DEC7}" name="En route compressor, non energy" dataDxfId="145"/>
    <tableColumn id="5" xr3:uid="{EEB5B574-8BA8-46B3-986B-9E14AA0BD3B5}" name="En route compressor,investment" dataDxfId="144"/>
    <tableColumn id="6" xr3:uid="{DF9C453E-EED9-458B-AF19-02C952E8CE1C}" name="Inlet Comp. Energy(€/kg)" dataDxfId="143"/>
    <tableColumn id="7" xr3:uid="{C47BBDE1-BFD0-4691-A191-07AA66D321BA}" name="Demand" dataDxfId="142"/>
    <tableColumn id="8" xr3:uid="{D2CE65E3-AAC8-49E2-9D9E-20AFB33BF3A0}" name="Pipeline Op.(€/kg)" dataDxfId="141"/>
    <tableColumn id="9" xr3:uid="{C92595E7-ACC3-4B31-8B47-3D422D42EF6C}" name="Pipeline Investment(€/kg)" dataDxfId="140"/>
    <tableColumn id="10" xr3:uid="{DE817A2C-17E7-4CC6-8758-D0BF89C91F6A}" name="LCOHT(Total)" dataDxfId="139"/>
    <tableColumn id="11" xr3:uid="{B789573C-9362-4504-B686-0A5B3739A5F5}" name="Key" dataDxfId="138">
      <calculatedColumnFormula>H2_30K[[#This Row],[Demand]] &amp; "-" &amp; H2_30K[[#This Row],[Distance]] &amp; "-" &amp; H2_30K[[#This Row],[Dia.]]</calculatedColumnFormula>
    </tableColumn>
    <tableColumn id="12" xr3:uid="{41E5721E-E302-4777-9308-06763F596AEA}" name="Inlet Comp, Investment" dataDxfId="137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6E8213-CB48-43EB-8337-9EB118FB5F7B}" name="Table3" displayName="Table3" ref="A131:L139" totalsRowShown="0" dataDxfId="136">
  <autoFilter ref="A131:L139" xr:uid="{746E8213-CB48-43EB-8337-9EB118FB5F7B}"/>
  <tableColumns count="12">
    <tableColumn id="1" xr3:uid="{631165FC-E0DF-4795-BCD0-2E154780D08F}" name="Distance" dataDxfId="135"/>
    <tableColumn id="2" xr3:uid="{A1124BB9-9D17-464C-BB94-16FECFEEDCBD}" name="Dia."/>
    <tableColumn id="3" xr3:uid="{2EA60B3B-C5FD-427B-A57C-ABE8D0CF1C88}" name="En route compressor,energy" dataDxfId="134"/>
    <tableColumn id="4" xr3:uid="{CFFC444F-1AC9-460C-BF97-C435D9A91525}" name="En route compressor, non energy"/>
    <tableColumn id="5" xr3:uid="{2FF40BC7-0F65-4850-BADB-0AAC063B086D}" name="En route compressor,investment" dataDxfId="133"/>
    <tableColumn id="6" xr3:uid="{B89F14A8-160B-47A3-98F2-600E5E7EFA55}" name="Inlet Comp. Energy(€/kg)" dataDxfId="132"/>
    <tableColumn id="7" xr3:uid="{A823D28B-7327-48AA-99B2-FD3401D9DBE5}" name="Inlet Comp. Investment" dataDxfId="131"/>
    <tableColumn id="8" xr3:uid="{41F34E40-0FD8-408B-B884-7E0FC90D4069}" name="Pipeline Op.(€/kg)" dataDxfId="130"/>
    <tableColumn id="9" xr3:uid="{4291CA5D-DD14-457F-87B2-758623D20B33}" name="Pipeline Investment(€/kg)" dataDxfId="129"/>
    <tableColumn id="10" xr3:uid="{0E63DCEA-8240-4A96-AEA3-324B1EA8C66D}" name="Demand"/>
    <tableColumn id="11" xr3:uid="{D4A8973E-1221-4B6E-902B-02DF1141ABC1}" name="Key" dataDxfId="128">
      <calculatedColumnFormula>J132 &amp; "-" &amp; A132 &amp; "-" &amp; B132</calculatedColumnFormula>
    </tableColumn>
    <tableColumn id="12" xr3:uid="{FB3C8A02-EA5A-4A09-B04F-AE8AA1D18868}" name="LCOHT" dataDxfId="127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BD3998-03C5-4903-92EE-5BEF23D32615}" name="Table5" displayName="Table5" ref="A58:BW90" totalsRowShown="0">
  <autoFilter ref="A58:BW90" xr:uid="{E4BD3998-03C5-4903-92EE-5BEF23D32615}"/>
  <tableColumns count="75">
    <tableColumn id="1" xr3:uid="{0FE3B6F5-494F-4621-80F4-F525B884CA7C}" name="Diameter of pipeline(mm)"/>
    <tableColumn id="2" xr3:uid="{D760301B-A6E6-43A5-AA22-73E7CDE43A78}" name="Daily Hydrogen Demand{mH2}(kg/day)"/>
    <tableColumn id="3" xr3:uid="{A24184D9-9CE6-441D-ACE2-4186E66F3667}" name="Investment cost for pipeline{Invest}">
      <calculatedColumnFormula>Table5[[#This Row],[Total Installation Costs{TIC}(€)]]+Table5[[#This Row],[Indirect Costs{Id}]]</calculatedColumnFormula>
    </tableColumn>
    <tableColumn id="4" xr3:uid="{D709E393-D3D4-44A6-90CB-A44CD8BAD8BA}" name="Total Installation Costs{TIC}(€)">
      <calculatedColumnFormula>F59*G59*1000</calculatedColumnFormula>
    </tableColumn>
    <tableColumn id="5" xr3:uid="{1AB31855-D772-4E55-8BDB-1CFC8BB2595A}" name="Indirect Costs{Id}"/>
    <tableColumn id="6" xr3:uid="{A5EF9F5C-6293-4735-B96A-44D3CEA6A2AE}" name="Specific Installation costs{SC}(€/m)"/>
    <tableColumn id="7" xr3:uid="{1A396D3C-4FD9-4814-B8B7-114E83E9E749}" name="Length of pipeline {L}(km)"/>
    <tableColumn id="8" xr3:uid="{0B2FB8C8-BF39-43C5-B3E1-DC51FAF47523}" name="Labor costs{Labor}">
      <calculatedColumnFormula>I59+J59</calculatedColumnFormula>
    </tableColumn>
    <tableColumn id="9" xr3:uid="{AB6F1A86-EA8C-4CFB-B463-4BFAAF355706}" name="Direct labor costs{dL}">
      <calculatedColumnFormula>K59*L59</calculatedColumnFormula>
    </tableColumn>
    <tableColumn id="10" xr3:uid="{ABE7389E-3982-4F9A-9671-E05C2C3B4383}" name="Indirect labor costs{IdL}">
      <calculatedColumnFormula>0.5*I59</calculatedColumnFormula>
    </tableColumn>
    <tableColumn id="11" xr3:uid="{9C606675-B175-49C3-BD8B-601271BCC2D4}" name="No of annual hours{Ann}">
      <calculatedColumnFormula>POWER(B59/100000,0.25)*8320</calculatedColumnFormula>
    </tableColumn>
    <tableColumn id="12" xr3:uid="{E97B0692-56F6-47A3-B4B8-524702BF4304}" name="Hourly salary {S}(€/h)"/>
    <tableColumn id="13" xr3:uid="{7F87DD52-DCEF-4405-9350-011EB828F311}" name="O&amp;M Costs{O&amp;M}">
      <calculatedColumnFormula>0.026*C59</calculatedColumnFormula>
    </tableColumn>
    <tableColumn id="14" xr3:uid="{41249661-FEF8-4984-BDF3-AECDA1918029}" name="Operation cost for pipeline{OC}">
      <calculatedColumnFormula>H59+M59</calculatedColumnFormula>
    </tableColumn>
    <tableColumn id="15" xr3:uid="{6C070C36-3880-409A-B832-46AAD98A14DA}" name="CRF">
      <calculatedColumnFormula>((1.08^50)*0.08)/((1.08^50)-1)</calculatedColumnFormula>
    </tableColumn>
    <tableColumn id="16" xr3:uid="{12101CCB-BC43-4C05-A354-AB384588BAE3}" name="AF"/>
    <tableColumn id="17" xr3:uid="{DE685CAE-1F6D-4F99-9165-69CE9F45EA28}" name="LCOHT,i(€/kg)" dataDxfId="126">
      <calculatedColumnFormula>(C59*O59)/(P59*B59*365)</calculatedColumnFormula>
    </tableColumn>
    <tableColumn id="18" xr3:uid="{33119334-29A4-47B7-8356-500086F3D069}" name="LCOHT,OC(€/kg)" dataDxfId="125">
      <calculatedColumnFormula>N59/(P59*B59*365)</calculatedColumnFormula>
    </tableColumn>
    <tableColumn id="19" xr3:uid="{8A1293F3-49E3-4013-BF99-0FEF91AB8C42}" name="LCOHT,pipe(€/kg)">
      <calculatedColumnFormula>Q59+R59</calculatedColumnFormula>
    </tableColumn>
    <tableColumn id="20" xr3:uid="{B38438BF-FAD9-47E0-9FE4-F6244D9CEAB4}" name="No of compressor stages{N}" dataDxfId="124">
      <calculatedColumnFormula>Table5[[#This Row],[T2(K)]]*Table5[[#This Row],[Molar flow{qM}(moles/sec)]]</calculatedColumnFormula>
    </tableColumn>
    <tableColumn id="21" xr3:uid="{C59C8305-EB98-471B-BB8D-6C992512A81C}" name="T2(K)" dataDxfId="123">
      <calculatedColumnFormula>2655.97*(#REF!^Table5[[#This Row],[Rated compressor power{Pc}]])</calculatedColumnFormula>
    </tableColumn>
    <tableColumn id="22" xr3:uid="{2B81E07E-A334-419E-B2A8-1D0FEA36D99D}" name="Molar flow{qM}(moles/sec)" dataDxfId="122">
      <calculatedColumnFormula>Table5[[#This Row],[Daily Hydrogen Demand{mH2}(kg/day)]]/(0.002*24*60*60)</calculatedColumnFormula>
    </tableColumn>
    <tableColumn id="23" xr3:uid="{3A0AF067-3829-43C2-893D-39871FF218A2}" name="Compressor Power{P}" dataDxfId="121">
      <calculatedColumnFormula>Table5[[#This Row],[No of compressor stages{N}]]
* Table5[[#This Row],[Molar flow{qM}(moles/sec)]]
* 8.314
* 305.15*1.024
* (1.41 / (1.41 - 1))
* (POWER(3.5, 0.14539007 / Table5[[#This Row],[No of compressor stages{N}]]) - 1)
/ 0.8</calculatedColumnFormula>
    </tableColumn>
    <tableColumn id="25" xr3:uid="{15026686-F454-4BA6-8281-E102C869E09B}" name="Rated compressor power{Pc}" dataDxfId="120">
      <calculatedColumnFormula>(Table5[[#This Row],[Compressor Power{P}]]/(0.95*1000))</calculatedColumnFormula>
    </tableColumn>
    <tableColumn id="27" xr3:uid="{C2CDFFA1-35F2-45AD-81D7-ED37BB7D5490}" name="Total Installation cost for pipeline compressor {TIC}" dataDxfId="119">
      <calculatedColumnFormula>2655.97*POWER(Table5[[#This Row],[Rated compressor power{Pc}]],0.8335)*2</calculatedColumnFormula>
    </tableColumn>
    <tableColumn id="28" xr3:uid="{28825DDA-05B8-46A4-BE9B-106C65D7D497}" name="Indirect costs associated with installation{Id}" dataDxfId="118">
      <calculatedColumnFormula>0.4*Table5[[#This Row],[Total Installation cost for pipeline compressor {TIC}]]</calculatedColumnFormula>
    </tableColumn>
    <tableColumn id="24" xr3:uid="{A9FBB6D0-8CE9-4299-A58C-654A9B99B7C4}" name="Investment cost for inlet compressor(Invest)" dataDxfId="117">
      <calculatedColumnFormula>Table5[[#This Row],[Indirect costs associated with installation{Id}]]+Table5[[#This Row],[Total Installation cost for pipeline compressor {TIC}]]</calculatedColumnFormula>
    </tableColumn>
    <tableColumn id="26" xr3:uid="{352CCBA4-EDA9-45EC-86F5-9DF37EAEE617}" name="LCOHT,invest,(for inlet compressor)" dataDxfId="116">
      <calculatedColumnFormula>(Table5[[#This Row],[Investment cost for inlet compressor(Invest)]]*0.1668295449)/(0.9*Table5[[#This Row],[Daily Hydrogen Demand{mH2}(kg/day)]]*365)</calculatedColumnFormula>
    </tableColumn>
    <tableColumn id="45" xr3:uid="{A0CA8C0E-9031-45D9-8B7D-111FE2003D13}" name="Direct labor costs{dL}2" dataDxfId="115">
      <calculatedColumnFormula>Table5[[#This Row],[No of annual hours{Ann}4]]*Table5[[#This Row],[Hourly salary {S}(€/h)5]]</calculatedColumnFormula>
    </tableColumn>
    <tableColumn id="43" xr3:uid="{DC3C9F12-6893-4833-8445-3DC65CC8E25A}" name="Indirect labor costs{Idl}3" dataDxfId="114">
      <calculatedColumnFormula>0.5*Table5[[#This Row],[Direct labor costs{dL}2]]</calculatedColumnFormula>
    </tableColumn>
    <tableColumn id="51" xr3:uid="{42CA421A-2363-4844-92DA-1226D63F333A}" name="No of annual hours{Ann}4" dataDxfId="113">
      <calculatedColumnFormula>POWER(Table5[[#This Row],[Daily Hydrogen Demand{mH2}(kg/day)]]/100000,0.25)*288</calculatedColumnFormula>
    </tableColumn>
    <tableColumn id="50" xr3:uid="{A1597310-7492-4A8E-841B-B7D021253D53}" name="Hourly salary {S}(€/h)5" dataDxfId="112"/>
    <tableColumn id="48" xr3:uid="{3C1707D3-2E27-485A-A010-DF2AA8F8ECCD}" name="O&amp;Mc" dataDxfId="111">
      <calculatedColumnFormula>(0.021*Table5[[#This Row],[Investment cost for inlet compressor(Invest)]])+(0.04*Table5[[#This Row],[Total Installation cost for pipeline compressor {TIC}]])</calculatedColumnFormula>
    </tableColumn>
    <tableColumn id="49" xr3:uid="{0EBFA2BE-DE6C-4B25-BDB0-F6EA5E360471}" name="Non energy cost for compressor(NE)" dataDxfId="110">
      <calculatedColumnFormula>Table5[[#This Row],[O&amp;Mc]]+Table5[[#This Row],[Indirect labor costs{Idl}3]]+Table5[[#This Row],[Direct labor costs{dL}2]]</calculatedColumnFormula>
    </tableColumn>
    <tableColumn id="46" xr3:uid="{9EAB61A0-CA56-4CC9-980C-BEFC64D20B9E}" name="LCOHT,NE" dataDxfId="109">
      <calculatedColumnFormula>(Table5[[#This Row],[Non energy cost for compressor(NE)]])/(0.9*Table5[[#This Row],[Daily Hydrogen Demand{mH2}(kg/day)]]*365)</calculatedColumnFormula>
    </tableColumn>
    <tableColumn id="47" xr3:uid="{E1DBE946-63AE-432B-9A16-6AC89EAB6FCC}" name="Annual energy cost for compression(Ec)(€)" dataDxfId="108">
      <calculatedColumnFormula>Table5[[#This Row],[Rated compressor power{Pc}]] * 0.306 * 24 * 365</calculatedColumnFormula>
    </tableColumn>
    <tableColumn id="44" xr3:uid="{3F895321-3BBC-4417-85C6-18DB5596EAE3}" name="LCOHT,E" dataDxfId="107">
      <calculatedColumnFormula>(Table5[[#This Row],[Annual energy cost for compression(Ec)(€)]])/(0.9*Table5[[#This Row],[Daily Hydrogen Demand{mH2}(kg/day)]]*365*1000)</calculatedColumnFormula>
    </tableColumn>
    <tableColumn id="42" xr3:uid="{C1777891-90F4-4B3B-84BF-F1BF9512D92E}" name="LOCHT,pipe,C1(Inlet compressor)" dataDxfId="106">
      <calculatedColumnFormula>Table5[[#This Row],[LCOHT,E]]+Table5[[#This Row],[LCOHT,NE]]+Table5[[#This Row],[LCOHT,invest,(for inlet compressor)]]</calculatedColumnFormula>
    </tableColumn>
    <tableColumn id="40" xr3:uid="{E0C2B886-B8C9-4E1F-875A-3B6B9ED5F109}" name="N" dataDxfId="105"/>
    <tableColumn id="41" xr3:uid="{15D1C3CC-CD86-440A-AA5F-31792DC3E713}" name="Tdisc(K)" dataDxfId="104"/>
    <tableColumn id="53" xr3:uid="{22678AD6-BDB0-4284-A19E-C208048DBB4B}" name="qM(moles/sec)" dataDxfId="103">
      <calculatedColumnFormula>Table5[[#This Row],[Daily Hydrogen Demand{mH2}(kg/day)]]/(0.002*24*60*60)</calculatedColumnFormula>
    </tableColumn>
    <tableColumn id="76" xr3:uid="{DB48C08F-F637-486E-968E-C24804D16D79}" name="Mass flow rate{Qb} (m3/day)" dataDxfId="102">
      <calculatedColumnFormula>Table5[[#This Row],[Daily Hydrogen Demand{mH2}(kg/day)]]/0.0849318059972404</calculatedColumnFormula>
    </tableColumn>
    <tableColumn id="80" xr3:uid="{F668A87A-CA5D-43B7-979B-44AF51FA9F20}" name="Mass flow rate(Sm3/day)" dataDxfId="101">
      <calculatedColumnFormula>Table5[[#This Row],[Mass flow rate{Qb} (m3/day)]] * (20 / 1.01) *(288.15 / 288)</calculatedColumnFormula>
    </tableColumn>
    <tableColumn id="79" xr3:uid="{5C30724C-9521-4DA6-B8A8-6F35E65E7B3B}" name="Capacity,pipe2" dataDxfId="100">
      <calculatedColumnFormula>Table5[[#This Row],[Mass flow rate(Sm3/day)]]*0.0834</calculatedColumnFormula>
    </tableColumn>
    <tableColumn id="29" xr3:uid="{4A99168A-410E-4641-BAAF-93AA290FCEF4}" name="qM**" dataDxfId="99">
      <calculatedColumnFormula>Table5[[#This Row],[Capacity,pipe2]]/(0.002*24*60*60)</calculatedColumnFormula>
    </tableColumn>
    <tableColumn id="78" xr3:uid="{C0160715-04E7-4EA2-B7D2-491DA3018673}" name="Velocity of hydrogen{v}(m/sec)" dataDxfId="98">
      <calculatedColumnFormula>(14.737*1.01*1.0006043620884*288*Table5[[#This Row],[Mass flow rate(Sm3/day)]])/(288.15*70*Table5[[#This Row],[Diameter of pipeline(mm)]]*Table5[[#This Row],[Diameter of pipeline(mm)]]*0.001*0.001*24*60*60)</calculatedColumnFormula>
    </tableColumn>
    <tableColumn id="77" xr3:uid="{A9FC74A9-9227-4CD3-B746-3CD261CBA30A}" name="μ" dataDxfId="97">
      <calculatedColumnFormula>8.76730507414507 * POWER(10,-6) * 4.58</calculatedColumnFormula>
    </tableColumn>
    <tableColumn id="74" xr3:uid="{0740D77A-671B-4004-838F-16D731370C71}" name="Re" dataDxfId="96">
      <calculatedColumnFormula>(4.58*Table5[[#This Row],[Velocity of hydrogen{v}(m/sec)]]*Table5[[#This Row],[Diameter of pipeline(mm)]]*0.001)/Table5[[#This Row],[μ]]</calculatedColumnFormula>
    </tableColumn>
    <tableColumn id="82" xr3:uid="{91F42E89-F7C3-41A2-83F2-477DCF408173}" name="Friction factor {f}**" dataDxfId="95"/>
    <tableColumn id="81" xr3:uid="{DADE95B9-1CD5-484B-A8C6-6FBA4E3C0AC6}" name="Pressure drop (Δp) (bar)" dataDxfId="94">
      <calculatedColumnFormula>Table5[[#This Row],[Friction factor {f}**]]*(Table5[[#This Row],[Length of pipeline {L}(km)]]*1000*4.58*Table5[[#This Row],[Velocity of hydrogen{v}(m/sec)]]*Table5[[#This Row],[Velocity of hydrogen{v}(m/sec)]])/(2*Table5[[#This Row],[Diameter of pipeline(mm)]]*0.001)/1000000</calculatedColumnFormula>
    </tableColumn>
    <tableColumn id="38" xr3:uid="{4378186A-F0FF-44D7-BBD8-D04F099F6DD7}" name="Pipe outlet pressure(Pout)(bar)" dataDxfId="93">
      <calculatedColumnFormula>70-Table5[[#This Row],[Pressure drop (Δp) (bar)]]</calculatedColumnFormula>
    </tableColumn>
    <tableColumn id="54" xr3:uid="{1004960C-DDA9-41E8-ADF3-5F1BA6EBADE7}" name="Compressor Power" dataDxfId="92">
      <calculatedColumnFormula xml:space="preserve"> (Table5[[#This Row],[N]] *Table5[[#This Row],[qM**]]* 8.314 * 293.15 * (1.02776828999228/0.8) * (1.41 / (1.41 - 1)) * (POWER(3.5, 0.14539007 / Table5[[#This Row],[N]]) - 1))</calculatedColumnFormula>
    </tableColumn>
    <tableColumn id="55" xr3:uid="{A6DBB9F6-293D-48C7-8D1C-F440DEC18AD8}" name="Rated compressor power for single station" dataDxfId="91">
      <calculatedColumnFormula>Table5[[#This Row],[Compressor Power]]/(0.95*1000)</calculatedColumnFormula>
    </tableColumn>
    <tableColumn id="56" xr3:uid="{1194AB84-02D5-4090-8747-6BC5113DBA32}" name="Distance between compressors" dataDxfId="90">
      <calculatedColumnFormula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calculatedColumnFormula>
    </tableColumn>
    <tableColumn id="57" xr3:uid="{57983716-E131-417F-ACDC-585E59777114}" name="No of enroute compressor stations" dataDxfId="89">
      <calculatedColumnFormula>CEILING((Table5[[#This Row],[Length of pipeline {L}(km)]]/Table5[[#This Row],[Distance between compressors]])-1,1)</calculatedColumnFormula>
    </tableColumn>
    <tableColumn id="58" xr3:uid="{49C19366-2E53-41FF-8EEA-6A63BF2069EE}" name="Total rated compressor power of all enroute stations(W)" dataDxfId="88">
      <calculatedColumnFormula>Table5[[#This Row],[Rated compressor power for single station]]*Table5[[#This Row],[No of enroute compressor stations]]</calculatedColumnFormula>
    </tableColumn>
    <tableColumn id="59" xr3:uid="{78D05062-0C99-4AA0-BC67-5C0F34BB083B}" name="No of compressors at single enroute station" dataDxfId="87">
      <calculatedColumnFormula>Table5[[#This Row],[Rated compressor power for single station]]/16000</calculatedColumnFormula>
    </tableColumn>
    <tableColumn id="36" xr3:uid="{A13188AE-904F-4BD5-95EB-7C950F2278B9}" name="UC for single enroute station" dataDxfId="86">
      <calculatedColumnFormula>INT(Table5[[#This Row],[No of compressors at single enroute station]])*(2655.97*POWER(16000,0.8835)) + (2655.97*POWER(16000,Table5[[#This Row],[No of compressors at single enroute station]] - INT(Table5[[#This Row],[No of compressors at single enroute station]])))</calculatedColumnFormula>
    </tableColumn>
    <tableColumn id="37" xr3:uid="{F1EB8189-0C17-4340-AFA3-5C4DEC874330}" name="TIC for single enroute station" dataDxfId="85">
      <calculatedColumnFormula>Table5[[#This Row],[UC for single enroute station]]*2</calculatedColumnFormula>
    </tableColumn>
    <tableColumn id="60" xr3:uid="{F3FF3B29-289F-4309-A3FD-1714F31E55AF}" name="TIC for all enroute stations" dataDxfId="84">
      <calculatedColumnFormula>Table5[[#This Row],[TIC for single enroute station]]*Table5[[#This Row],[No of compressors at single enroute station]]</calculatedColumnFormula>
    </tableColumn>
    <tableColumn id="61" xr3:uid="{6C869A74-C766-426F-B89D-12C0A469209E}" name="Indirect costs for all enroute stations" dataDxfId="83">
      <calculatedColumnFormula>0.4*Table5[[#This Row],[TIC for all enroute stations]]</calculatedColumnFormula>
    </tableColumn>
    <tableColumn id="62" xr3:uid="{4E07B7D0-C609-43C9-BF33-B257305F3C07}" name="Investment cost for all enroute stations" dataDxfId="82">
      <calculatedColumnFormula>Table5[[#This Row],[TIC for all enroute stations]]+Table5[[#This Row],[Indirect costs for all enroute stations]]</calculatedColumnFormula>
    </tableColumn>
    <tableColumn id="63" xr3:uid="{1CFD0464-9D8F-47C7-BDD4-DE9609882676}" name="LCOHT,invest for all enroute stations" dataDxfId="81">
      <calculatedColumnFormula>(Table5[[#This Row],[Investment cost for all enroute stations]]*0.1668295449)/(0.9*365*Table5[[#This Row],[Daily Hydrogen Demand{mH2}(kg/day)]])</calculatedColumnFormula>
    </tableColumn>
    <tableColumn id="64" xr3:uid="{465CDB3C-FFB7-4789-AFE1-27B502B979F9}" name="Direct labor costs{dL}22" dataDxfId="80">
      <calculatedColumnFormula>Table5[[#This Row],[No of enroute compressor stations]]*Table5[[#This Row],[No of annual hours{Ann}44]]*Table5[[#This Row],[Hourly salary {S}(€/h)55]]</calculatedColumnFormula>
    </tableColumn>
    <tableColumn id="66" xr3:uid="{E89299BF-9E95-44D4-BF43-0F627BB0D8DA}" name="Indirect labor costs{Idl}33" dataDxfId="79">
      <calculatedColumnFormula>0.5*Table5[[#This Row],[Direct labor costs{dL}22]]</calculatedColumnFormula>
    </tableColumn>
    <tableColumn id="67" xr3:uid="{8ECE8899-9557-4224-8885-6BC4542E492A}" name="No of annual hours{Ann}44" dataDxfId="78">
      <calculatedColumnFormula>POWER(Table5[[#This Row],[Daily Hydrogen Demand{mH2}(kg/day)]]/100000,0.25)*288</calculatedColumnFormula>
    </tableColumn>
    <tableColumn id="68" xr3:uid="{4F335782-6FD8-4160-8C51-7A5937413509}" name="Hourly salary {S}(€/h)55" dataDxfId="77"/>
    <tableColumn id="65" xr3:uid="{147AA59D-0214-479D-AF6F-BD8FBDD5F7CD}" name="O&amp;Mc6" dataDxfId="76">
      <calculatedColumnFormula>(0.021*Table5[[#This Row],[Investment cost for all enroute stations]])+(0.04*Table5[[#This Row],[TIC for all enroute stations]])</calculatedColumnFormula>
    </tableColumn>
    <tableColumn id="69" xr3:uid="{2D4B99D4-C45D-4F89-B7D6-43A521D2D99B}" name="Non energy cost for compressor(NE)7" dataDxfId="75">
      <calculatedColumnFormula>Table5[[#This Row],[Indirect labor costs{Idl}33]]+Table5[[#This Row],[Direct labor costs{dL}22]]+Table5[[#This Row],[O&amp;Mc6]]</calculatedColumnFormula>
    </tableColumn>
    <tableColumn id="70" xr3:uid="{5D6B33B7-14AD-4331-A58B-CE37DEC50195}" name="LCOHT,NE8" dataDxfId="74">
      <calculatedColumnFormula>Table5[[#This Row],[Non energy cost for compressor(NE)7]]/(0.9*365*Table5[[#This Row],[Daily Hydrogen Demand{mH2}(kg/day)]])</calculatedColumnFormula>
    </tableColumn>
    <tableColumn id="71" xr3:uid="{E04BB0E5-D008-4A87-B44E-5BC963D21121}" name="Annual energy cost for compression for all enroute compressors(€/yr)" dataDxfId="73">
      <calculatedColumnFormula>Table5[[#This Row],[Total rated compressor power of all enroute stations(W)]]*0.306*24*365</calculatedColumnFormula>
    </tableColumn>
    <tableColumn id="72" xr3:uid="{9C29D77B-D480-4226-9DCC-B427F7136535}" name="LCOHT,E10" dataDxfId="72">
      <calculatedColumnFormula>Table5[[#This Row],[Annual energy cost for compression for all enroute compressors(€/yr)]]/(0.9*365*Table5[[#This Row],[Daily Hydrogen Demand{mH2}(kg/day)]]*1000)</calculatedColumnFormula>
    </tableColumn>
    <tableColumn id="73" xr3:uid="{3F937FAA-22B2-48A3-A921-25B463492F8D}" name="LOCHT,pipe,C2(of all enroute stations)" dataDxfId="71">
      <calculatedColumnFormula>Table5[[#This Row],[LCOHT,E10]]+Table5[[#This Row],[LCOHT,NE8]]+Table5[[#This Row],[LCOHT,invest for all enroute stations]]</calculatedColumnFormula>
    </tableColumn>
    <tableColumn id="75" xr3:uid="{401815D5-038D-4B14-97E2-FB2271DE33CC}" name="LCOHT,pipeline" dataDxfId="70">
      <calculatedColumnFormula>Table5[[#This Row],[LOCHT,pipe,C2(of all enroute stations)]]+Table5[[#This Row],[LOCHT,pipe,C1(Inlet compressor)]]+Table5[[#This Row],[LCOHT,pipe(€/kg)]]</calculatedColumnFormula>
    </tableColumn>
    <tableColumn id="30" xr3:uid="{AEDC2C09-CADF-4496-95C9-D3AF8B5C3B6E}" name="Difference" dataDxfId="69">
      <calculatedColumnFormula>0.738853503184714-Table5[[#This Row],[LCOHT,pipeline]]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68D5A8-DFB7-4BA3-87FD-F68F1B556BC0}" name="Table8" displayName="Table8" ref="A94:D106" totalsRowShown="0">
  <autoFilter ref="A94:D106" xr:uid="{CE68D5A8-DFB7-4BA3-87FD-F68F1B556BC0}"/>
  <tableColumns count="4">
    <tableColumn id="1" xr3:uid="{571F2876-9E77-4AA5-AF1C-34CC173F19E1}" name="Formulae for my reference"/>
    <tableColumn id="2" xr3:uid="{10C6F1D3-4CD8-4F90-A0E8-D5D14DB86B59}" name="Column1"/>
    <tableColumn id="3" xr3:uid="{3706D2DB-2003-428C-B3C1-61562CCF3FDA}" name="Assumptions(as in paper)"/>
    <tableColumn id="4" xr3:uid="{4FD56C9D-D38C-4BFB-A52E-B9B1592A100D}" name="Calculations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0D4DF-762C-4A01-B1C5-118DF941A985}" name="Table4" displayName="Table4" ref="A2:N11" totalsRowShown="0" dataDxfId="68">
  <autoFilter ref="A2:N11" xr:uid="{0EF0D4DF-762C-4A01-B1C5-118DF941A985}"/>
  <tableColumns count="14">
    <tableColumn id="1" xr3:uid="{AE3A88E9-DD99-4BFA-8CAF-35FF3D757474}" name="Distance"/>
    <tableColumn id="2" xr3:uid="{D4B56962-2FE3-4053-8A74-587A3065A098}" name="Trailer Type"/>
    <tableColumn id="3" xr3:uid="{45C3957A-C9C0-4291-8E4B-4361AAD2D843}" name="Number of Trucks"/>
    <tableColumn id="4" xr3:uid="{0013174F-94B2-4DAC-9C8D-D0A73479B98B}" name="Number of trailers"/>
    <tableColumn id="5" xr3:uid="{78308AC3-C56A-4A7F-A87F-C7093AC1CC06}" name="Compressor Energy" dataDxfId="67"/>
    <tableColumn id="6" xr3:uid="{72DB2383-6A81-4F8D-BB90-9FF11558A234}" name="Compressor, Non Energy" dataDxfId="66"/>
    <tableColumn id="7" xr3:uid="{CF35F504-C33E-4620-942B-DE79806F1E9F}" name="Compressor, INvestment" dataDxfId="65"/>
    <tableColumn id="8" xr3:uid="{79E839AD-4D2B-430F-9F73-6A0D85B91F51}" name="Trucking,fuel" dataDxfId="64"/>
    <tableColumn id="9" xr3:uid="{7FFA3FE2-111D-4153-8006-00F536517C06}" name="Trucking, labour" dataDxfId="63"/>
    <tableColumn id="10" xr3:uid="{E9D27F6F-7DB8-42EB-B1DC-809127485F67}" name="Trucking, O&amp;M" dataDxfId="62"/>
    <tableColumn id="11" xr3:uid="{89CE3BCF-A6D8-4BFC-A174-C6023304E046}" name="Trucking,Investment" dataDxfId="61"/>
    <tableColumn id="12" xr3:uid="{86A4CC15-E22A-4459-9E18-44D97407762C}" name="Demand" dataDxfId="60"/>
    <tableColumn id="13" xr3:uid="{7FAE8250-285B-42B4-94A9-2932D50AC996}" name="LCOHT(Total)" dataDxfId="59"/>
    <tableColumn id="14" xr3:uid="{8D0EB22C-2C96-463D-9B04-34C23FC5A61C}" name="Key" dataDxfId="58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84ED9-AD3F-41E3-B4A2-EB21EA71C869}" name="Trucks" displayName="Trucks" ref="A18:AW42" totalsRowShown="0" headerRowDxfId="57">
  <autoFilter ref="A18:AW42" xr:uid="{61384ED9-AD3F-41E3-B4A2-EB21EA71C869}"/>
  <sortState xmlns:xlrd2="http://schemas.microsoft.com/office/spreadsheetml/2017/richdata2" ref="A19:AW42">
    <sortCondition ref="AW18:AW42"/>
  </sortState>
  <tableColumns count="49">
    <tableColumn id="1" xr3:uid="{8D3930B6-A584-450F-8D91-D7E79AD4DB6F}" name="Component"/>
    <tableColumn id="2" xr3:uid="{71AC1714-BAD3-46E9-B201-526299BE4619}" name="Max load capacity of trailer{HT(capacity)}[kg]"/>
    <tableColumn id="3" xr3:uid="{9361E39E-1306-48D5-8D63-8531E2A44A26}" name="Daily Hydrogen Demand{mH2}(kg/day)"/>
    <tableColumn id="4" xr3:uid="{0CB0EBE0-4BF1-44FC-A5CC-62825FEDB290}" name="No of delieveries per day {nd}">
      <calculatedColumnFormula>C19/B19</calculatedColumnFormula>
    </tableColumn>
    <tableColumn id="5" xr3:uid="{E89CAC68-19F7-4105-967D-8ED1BE8903C8}" name="Distance{d}(km)"/>
    <tableColumn id="6" xr3:uid="{6DD61763-5D83-461A-830A-3948E1C1BF5E}" name="Average speed of truck{v}(km/h)"/>
    <tableColumn id="7" xr3:uid="{73F168D0-7520-4DB4-BB83-C40278FCEF8F}" name="Loading time{tl}(h)"/>
    <tableColumn id="8" xr3:uid="{352CE061-2CDC-40A9-B3EA-3D8DC4AFD4A7}" name="Unloading time{tul}(h)"/>
    <tableColumn id="9" xr3:uid="{B267B883-5E8D-4E0F-9821-02A0E8ED975B}" name="Total time for delievery{td}(h)">
      <calculatedColumnFormula>((2*E19)/F19)+G19+H19</calculatedColumnFormula>
    </tableColumn>
    <tableColumn id="10" xr3:uid="{2370D6B8-B555-41DF-AAE4-5374D1347703}" name="Max no of hours per day{dhmax}(h)"/>
    <tableColumn id="11" xr3:uid="{064BD06C-8FBE-49C2-BC92-5543A97F61D0}" name="Max no of delieveries by each truck per day{Nd}" dataDxfId="56">
      <calculatedColumnFormula>J19/I19</calculatedColumnFormula>
    </tableColumn>
    <tableColumn id="12" xr3:uid="{B7C87DAB-B73C-4E76-B7E8-5EE54BA3471B}" name="Availability factor{AF}"/>
    <tableColumn id="13" xr3:uid="{84701841-98C1-4012-AE16-B532F02DA19C}" name="No of trucks{Nt}">
      <calculatedColumnFormula xml:space="preserve"> ROUNDUP(D19 / (K19) * (L19), 0)</calculatedColumnFormula>
    </tableColumn>
    <tableColumn id="14" xr3:uid="{3BCF5EEC-E2E2-4D3F-BB98-7EAB8525AFA8}" name="No of trailers{NTr}">
      <calculatedColumnFormula>2*M19</calculatedColumnFormula>
    </tableColumn>
    <tableColumn id="15" xr3:uid="{0F21BD49-FFF2-4046-BA62-0AC0E7781378}" name="CRFTr">
      <calculatedColumnFormula>(0.08*((1.08)^15))/((1.08^15)-1)</calculatedColumnFormula>
    </tableColumn>
    <tableColumn id="16" xr3:uid="{48753011-7F41-4F7A-8AE4-ABE61182D20C}" name="Investment cost, Trailer{ICTr}(k€)"/>
    <tableColumn id="17" xr3:uid="{51566F1B-3E38-4847-AF4B-D46BDD29897A}" name="CRFT" dataDxfId="55">
      <calculatedColumnFormula>(0.08*(1.08^8))/((1.08^8)-1)</calculatedColumnFormula>
    </tableColumn>
    <tableColumn id="18" xr3:uid="{5F47C127-F9FF-4F35-90C7-9321F8E85B51}" name="Investment cost, Truck{ICT}(k€)"/>
    <tableColumn id="19" xr3:uid="{BF08DEE6-29EC-4FE8-BF1A-1BE6930A4A42}" name="LCOHT,Invest(€/kg)" dataDxfId="54">
      <calculatedColumnFormula>((M19*Q19*R19*1000)+(N19*O19*P19*1000))/(C19*365)</calculatedColumnFormula>
    </tableColumn>
    <tableColumn id="20" xr3:uid="{EF9F89BC-34C4-4F1F-81BE-39204E90DFB3}" name="Variable cost for trucks{VCT}(€/km)"/>
    <tableColumn id="21" xr3:uid="{B4F04BFC-7FFD-45FC-AD1D-AD7A11E7C282}" name="Annual drive distance per truck {dT,yr}(km)" dataDxfId="53">
      <calculatedColumnFormula>((2*Trucks[[#This Row],[Distance{d}(km)]]*Trucks[[#This Row],[No of delieveries per day {nd}]])/Trucks[[#This Row],[No of trucks{Nt}]])*365</calculatedColumnFormula>
    </tableColumn>
    <tableColumn id="22" xr3:uid="{6ECFB5D9-D9D0-4A07-BC94-AD06F8887CD7}" name="Fixed O&amp;M Costs {FCTr}" dataDxfId="52">
      <calculatedColumnFormula>0.02*Trucks[[#This Row],[Investment cost, Trailer{ICTr}(k€)]]</calculatedColumnFormula>
    </tableColumn>
    <tableColumn id="23" xr3:uid="{D30BBA42-34DD-4828-A011-37D72CD69D3E}" name="LCOHT(O&amp;M)(€/kg)" dataDxfId="51">
      <calculatedColumnFormula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calculatedColumnFormula>
    </tableColumn>
    <tableColumn id="24" xr3:uid="{99D817A0-9E0E-4C89-9997-2A2D603F9B32}" name="Labor cost{ST}(€/h)" dataDxfId="50"/>
    <tableColumn id="25" xr3:uid="{2D4FB1F2-EFD2-411A-B500-313098037594}" name="LCOHT,Labor(€/kg)" dataDxfId="49">
      <calculatedColumnFormula>(Trucks[[#This Row],[Total time for delievery{td}(h)]]*Trucks[[#This Row],[Labor cost{ST}(€/h)]])/Trucks[[#This Row],[Max load capacity of trailer{HT(capacity)}'[kg']]]</calculatedColumnFormula>
    </tableColumn>
    <tableColumn id="26" xr3:uid="{152EA18B-1136-4607-9613-212A58D7B7F1}" name="Fuel consumption{F}(L/km)" dataDxfId="48"/>
    <tableColumn id="27" xr3:uid="{9D6DFBB0-E863-42FE-8935-504BEB3BF759}" name="Fuel Price{FP}(€/L)" dataDxfId="47"/>
    <tableColumn id="28" xr3:uid="{A2961D4C-542F-4421-9320-0373C5CCAF8E}" name="LCOHT,Fuel(€/kg)" dataDxfId="46">
      <calculatedColumnFormula>(2*Trucks[[#This Row],[Distance{d}(km)]]*Trucks[[#This Row],[Fuel consumption{F}(L/km)]]*Trucks[[#This Row],[Fuel Price{FP}(€/L)]])/Trucks[[#This Row],[Max load capacity of trailer{HT(capacity)}'[kg']]]</calculatedColumnFormula>
    </tableColumn>
    <tableColumn id="48" xr3:uid="{0F9183D1-9B63-4006-A084-93835142F69A}" name="LCOHT,Trucking" dataDxfId="45">
      <calculatedColumnFormula>Trucks[[#This Row],[LCOHT,Fuel(€/kg)]]+Trucks[[#This Row],[LCOHT,Labor(€/kg)]]+Trucks[[#This Row],[LCOHT(O&amp;M)(€/kg)]]+Trucks[[#This Row],[LCOHT,Invest(€/kg)]]</calculatedColumnFormula>
    </tableColumn>
    <tableColumn id="29" xr3:uid="{ED07555B-1E44-4DDB-B262-DB5257CB9DEA}" name="No of compressor stages{N}" dataDxfId="44"/>
    <tableColumn id="30" xr3:uid="{EFBEDAC5-2F85-4A7C-8461-5D66FDFAFBA8}" name="T2(K)" dataDxfId="43">
      <calculatedColumnFormula>IF(Trucks[[#This Row],[Component]]="Trailer(350 bar)",399.2568937,415.300722807)</calculatedColumnFormula>
    </tableColumn>
    <tableColumn id="31" xr3:uid="{EFE8556E-C7AB-46AE-A787-EEBCD110EA2C}" name="Molar flow {qM}(moles/sec)" dataDxfId="42">
      <calculatedColumnFormula>((Trucks[[#This Row],[Daily Hydrogen Demand{mH2}(kg/day)]])/(0.002*24*60*60))</calculatedColumnFormula>
    </tableColumn>
    <tableColumn id="32" xr3:uid="{888BB1DF-28F1-429D-8800-B4A043F638EF}" name="Compressor Power{P} (kW)" dataDxfId="41">
      <calculatedColumnFormula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calculatedColumnFormula>
    </tableColumn>
    <tableColumn id="33" xr3:uid="{88EA1000-0630-416D-B0D9-5F340CF03C4F}" name="Rated Power{Pc}(kW)" dataDxfId="40">
      <calculatedColumnFormula>Trucks[[#This Row],[Compressor Power{P} (kW)]]/0.95</calculatedColumnFormula>
    </tableColumn>
    <tableColumn id="34" xr3:uid="{053246FC-6B68-46E4-83E2-7596EE508879}" name="Total installation costs{TIC}" dataDxfId="39">
      <calculatedColumnFormula>IF(Trucks[[#This Row],[Component]]="Trailer(350 bar)",54851.4*POWER(0.001* Trucks[[#This Row],[Rated Power{Pc}(kW)]],0.4603)*1.3, 54184.17*POWER(0.001* Trucks[[#This Row],[Rated Power{Pc}(kW)]],0.6038)*1.3)</calculatedColumnFormula>
    </tableColumn>
    <tableColumn id="35" xr3:uid="{17CF2D2F-B669-4AA2-8F06-03B558060A18}" name="Indirect costs{Id}" dataDxfId="38">
      <calculatedColumnFormula>0.28*Trucks[[#This Row],[Total installation costs{TIC}]]</calculatedColumnFormula>
    </tableColumn>
    <tableColumn id="36" xr3:uid="{470F346E-F0BA-47B2-9D4C-CC341DBA31A1}" name="Investment cost for truck loading compressor{Invest}" dataDxfId="37">
      <calculatedColumnFormula>Trucks[[#This Row],[Indirect costs{Id}]]+Trucks[[#This Row],[Total installation costs{TIC}]]</calculatedColumnFormula>
    </tableColumn>
    <tableColumn id="37" xr3:uid="{FD4C58C5-5D75-4CC5-B0EB-02CFD2887569}" name="LCOHT,Invest" dataDxfId="36">
      <calculatedColumnFormula>(Trucks[[#This Row],[Investment cost for truck loading compressor{Invest}]]*0.11682954493602)/(0.9*Trucks[[#This Row],[Daily Hydrogen Demand{mH2}(kg/day)]]*365)</calculatedColumnFormula>
    </tableColumn>
    <tableColumn id="38" xr3:uid="{7A40A3FF-6AC6-4F08-AA44-9F3F3F679EAC}" name="Direct labor costs{dL}" dataDxfId="35">
      <calculatedColumnFormula>Trucks[[#This Row],[No of annual hours{Ann}]]*Trucks[[#This Row],[Hourly salary {S}(€/h)]]</calculatedColumnFormula>
    </tableColumn>
    <tableColumn id="39" xr3:uid="{AFD70221-AC7F-4B4E-856B-075A906726EF}" name="Indirect labor costs{Idl}" dataDxfId="34">
      <calculatedColumnFormula>0.5*Trucks[[#This Row],[Direct labor costs{dL}]]</calculatedColumnFormula>
    </tableColumn>
    <tableColumn id="40" xr3:uid="{E3E1D9C8-3E59-4AD3-BE89-C1551C2F81F0}" name="No of annual hours{Ann}" dataDxfId="33">
      <calculatedColumnFormula>POWER(Trucks[[#This Row],[Daily Hydrogen Demand{mH2}(kg/day)]]/100000,0.25)*288</calculatedColumnFormula>
    </tableColumn>
    <tableColumn id="41" xr3:uid="{51AB697C-F965-4A54-AD7D-C286400283B9}" name="Hourly salary {S}(€/h)" dataDxfId="32"/>
    <tableColumn id="42" xr3:uid="{3A470B02-835D-448A-81DE-DE43B6E811D5}" name="O&amp;Mc" dataDxfId="31">
      <calculatedColumnFormula>(0.021*Trucks[[#This Row],[Investment cost for truck loading compressor{Invest}]])+(0.04*Trucks[[#This Row],[Total installation costs{TIC}]])</calculatedColumnFormula>
    </tableColumn>
    <tableColumn id="43" xr3:uid="{C0444385-0528-4BD8-A82F-732EF669DBAA}" name="Non energy cost for compressor(NE)" dataDxfId="30">
      <calculatedColumnFormula>Trucks[[#This Row],[O&amp;Mc]]+Trucks[[#This Row],[Indirect labor costs{Idl}]]+Trucks[[#This Row],[Direct labor costs{dL}]]</calculatedColumnFormula>
    </tableColumn>
    <tableColumn id="44" xr3:uid="{98F7B9A6-82F6-44F4-A6BD-1DF5A7762D87}" name="LCOHT,NE" dataDxfId="29">
      <calculatedColumnFormula>(Trucks[[#This Row],[Non energy cost for compressor(NE)]])/(0.9*Trucks[[#This Row],[Daily Hydrogen Demand{mH2}(kg/day)]]*365)</calculatedColumnFormula>
    </tableColumn>
    <tableColumn id="45" xr3:uid="{658D30D0-D50C-4C68-8FDE-F29F0CAE618B}" name="Annual energy cost for compression(Ec)(€)" dataDxfId="28">
      <calculatedColumnFormula>(Trucks[[#This Row],[Rated Power{Pc}(kW)]])*0.001 * 0.306 * 24 * 365</calculatedColumnFormula>
    </tableColumn>
    <tableColumn id="46" xr3:uid="{A0B8889D-0B71-4BD9-B3C6-B985538487B8}" name="LCOHT,E" dataDxfId="27">
      <calculatedColumnFormula>(Trucks[[#This Row],[Annual energy cost for compression(Ec)(€)]])/(0.9*Trucks[[#This Row],[Daily Hydrogen Demand{mH2}(kg/day)]]*365)</calculatedColumnFormula>
    </tableColumn>
    <tableColumn id="47" xr3:uid="{DBF30DF0-6F37-4F33-ACA0-FF25EB56E45D}" name="LOCHT For trucking compressor" dataDxfId="26">
      <calculatedColumnFormula>Trucks[[#This Row],[LCOHT,E]]+Trucks[[#This Row],[LCOHT,NE]]+Trucks[[#This Row],[LCOHT,Invest]]</calculatedColumnFormula>
    </tableColumn>
    <tableColumn id="49" xr3:uid="{FADACFAE-723A-4862-8E0B-D9C928647F14}" name="Total LCOHT for compressed hydrogen gas via trucks and trailers (€/kg)" dataDxfId="25">
      <calculatedColumnFormula>Trucks[[#This Row],[LOCHT For trucking compressor]]+Trucks[[#This Row],[LCOHT,Trucking]]</calculatedColumnFormula>
    </tableColumn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5E800D-89AD-4A5E-BA36-D6CB0822F129}" name="Table7" displayName="Table7" ref="A2:E17" totalsRowShown="0" headerRowDxfId="24" dataDxfId="23">
  <autoFilter ref="A2:E17" xr:uid="{265E800D-89AD-4A5E-BA36-D6CB0822F129}"/>
  <tableColumns count="5">
    <tableColumn id="1" xr3:uid="{DC35B5A4-D460-495F-9763-697D2F14248A}" name="Formulae for my reference(=)" dataDxfId="22"/>
    <tableColumn id="2" xr3:uid="{7A16A910-F06E-48D3-A383-77D3E09E0A0F}" name="Column1" dataDxfId="21"/>
    <tableColumn id="3" xr3:uid="{992F8626-F14A-4D6E-89E7-9EFEB4398EF3}" name="Assumptions(as in paper)" dataDxfId="20"/>
    <tableColumn id="4" xr3:uid="{660844E6-2147-4B0F-A704-75AC5353DDB1}" name="Formulae for my reference(=)2" dataDxfId="19"/>
    <tableColumn id="5" xr3:uid="{9ACE5CD3-EE59-4829-A43E-660B89FCFF07}" name="Column2" dataDxfId="18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0DF06D-1BCE-4F04-B9F1-E2351AA4CBC8}" name="Compressorpositon" displayName="Compressorpositon" ref="A2:C5" totalsRowShown="0">
  <autoFilter ref="A2:C5" xr:uid="{B30DF06D-1BCE-4F04-B9F1-E2351AA4CBC8}"/>
  <tableColumns count="3">
    <tableColumn id="1" xr3:uid="{616F7EE2-1A3E-4D23-A58B-1ED0114362C7}" name="Hydrogen Demand(kg/day)"/>
    <tableColumn id="2" xr3:uid="{17ADDF76-83BB-4B70-8856-5B3316C2E99B}" name="Pipeline diameter(mm)"/>
    <tableColumn id="3" xr3:uid="{E06088D7-DE2A-43C2-B968-9F6AD9368E24}" name="Distance to 35 bar(km)" dataDxfId="1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2"/>
  <sheetViews>
    <sheetView topLeftCell="H1" workbookViewId="0">
      <selection activeCell="L1" sqref="L1"/>
    </sheetView>
  </sheetViews>
  <sheetFormatPr defaultRowHeight="15"/>
  <cols>
    <col min="1" max="1" width="30.140625" bestFit="1" customWidth="1"/>
    <col min="2" max="2" width="31.7109375" bestFit="1" customWidth="1"/>
    <col min="3" max="3" width="31.7109375" customWidth="1"/>
    <col min="4" max="4" width="32.140625" customWidth="1"/>
    <col min="5" max="5" width="32" customWidth="1"/>
    <col min="6" max="6" width="26.140625" bestFit="1" customWidth="1"/>
    <col min="7" max="7" width="26.140625" customWidth="1"/>
    <col min="8" max="8" width="28.140625" bestFit="1" customWidth="1"/>
    <col min="9" max="11" width="28.42578125" customWidth="1"/>
    <col min="12" max="12" width="36.5703125" bestFit="1" customWidth="1"/>
    <col min="13" max="13" width="29.140625" bestFit="1" customWidth="1"/>
    <col min="14" max="14" width="24.5703125" bestFit="1" customWidth="1"/>
    <col min="15" max="15" width="21.28515625" bestFit="1" customWidth="1"/>
    <col min="16" max="16" width="17.7109375" bestFit="1" customWidth="1"/>
    <col min="17" max="17" width="21.28515625" bestFit="1" customWidth="1"/>
    <col min="18" max="18" width="14.5703125" bestFit="1" customWidth="1"/>
    <col min="19" max="19" width="19.28515625" bestFit="1" customWidth="1"/>
    <col min="20" max="20" width="20.140625" bestFit="1" customWidth="1"/>
    <col min="21" max="21" width="10.7109375" bestFit="1" customWidth="1"/>
    <col min="22" max="22" width="36.5703125" bestFit="1" customWidth="1"/>
    <col min="23" max="23" width="16.140625" bestFit="1" customWidth="1"/>
    <col min="24" max="24" width="15.42578125" bestFit="1" customWidth="1"/>
    <col min="25" max="25" width="31.140625" customWidth="1"/>
    <col min="26" max="26" width="36.5703125" bestFit="1" customWidth="1"/>
    <col min="27" max="27" width="36.5703125" customWidth="1"/>
    <col min="28" max="28" width="19.7109375" bestFit="1" customWidth="1"/>
    <col min="29" max="29" width="28.140625" customWidth="1"/>
    <col min="30" max="30" width="28.7109375" customWidth="1"/>
    <col min="31" max="31" width="28.5703125" customWidth="1"/>
    <col min="32" max="32" width="30.85546875" customWidth="1"/>
    <col min="33" max="33" width="31.85546875" customWidth="1"/>
  </cols>
  <sheetData>
    <row r="1" spans="1:33">
      <c r="A1" t="s">
        <v>0</v>
      </c>
    </row>
    <row r="2" spans="1:33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31" t="s">
        <v>10</v>
      </c>
      <c r="K2" s="15" t="s">
        <v>11</v>
      </c>
      <c r="L2" s="26"/>
      <c r="M2" s="2"/>
      <c r="N2" s="2"/>
      <c r="O2" s="2"/>
      <c r="P2" s="2"/>
      <c r="W2" s="2" t="s">
        <v>12</v>
      </c>
      <c r="X2" s="2" t="s">
        <v>2</v>
      </c>
      <c r="Y2" s="2" t="s">
        <v>6</v>
      </c>
      <c r="Z2" s="2" t="s">
        <v>7</v>
      </c>
      <c r="AA2" s="2" t="s">
        <v>8</v>
      </c>
      <c r="AB2" s="2" t="s">
        <v>13</v>
      </c>
      <c r="AC2" s="2" t="s">
        <v>14</v>
      </c>
      <c r="AE2" s="2" t="s">
        <v>15</v>
      </c>
      <c r="AF2" s="2" t="s">
        <v>16</v>
      </c>
      <c r="AG2" s="2" t="s">
        <v>17</v>
      </c>
    </row>
    <row r="3" spans="1:33">
      <c r="A3" s="5">
        <v>25</v>
      </c>
      <c r="B3" s="5">
        <v>100</v>
      </c>
      <c r="C3" s="5">
        <v>10000</v>
      </c>
      <c r="D3" s="5">
        <v>0</v>
      </c>
      <c r="E3" s="5">
        <v>0</v>
      </c>
      <c r="F3" s="6">
        <f>0.738853503184714-0.535031847133758</f>
        <v>0.20382165605095603</v>
      </c>
      <c r="G3" s="7">
        <f>0.535031847133758-0.331210191082803</f>
        <v>0.20382165605095498</v>
      </c>
      <c r="H3" s="6">
        <v>0.33121019108280297</v>
      </c>
      <c r="I3" s="3">
        <v>0.73885350318471399</v>
      </c>
      <c r="J3" s="3">
        <v>0</v>
      </c>
      <c r="K3" s="3" t="str">
        <f>H2_10K[[#This Row],[Demand]] &amp; "-" &amp; H2_10K[[#This Row],[Distance(km)]] &amp; "-" &amp; H2_10K[[#This Row],[Dia.]]</f>
        <v>10000-25-100</v>
      </c>
      <c r="L3" s="26"/>
      <c r="X3">
        <v>150</v>
      </c>
      <c r="Y3" s="3">
        <f>0.840764331210191- 0.636942675159236</f>
        <v>0.20382165605095504</v>
      </c>
      <c r="Z3" s="3">
        <f>0.636942675159236-0.38216560509554</f>
        <v>0.25477707006369599</v>
      </c>
      <c r="AA3" s="3">
        <v>0.38216560509553998</v>
      </c>
    </row>
    <row r="4" spans="1:33">
      <c r="A4" s="5">
        <v>25</v>
      </c>
      <c r="B4" s="5">
        <v>150</v>
      </c>
      <c r="C4" s="5">
        <v>10000</v>
      </c>
      <c r="D4" s="5">
        <v>0</v>
      </c>
      <c r="E4" s="5">
        <v>0</v>
      </c>
      <c r="F4" s="6">
        <f>0.840764331210191- 0.636942675159236</f>
        <v>0.20382165605095504</v>
      </c>
      <c r="G4" s="6">
        <f>0.636942675159236-0.38216560509554</f>
        <v>0.25477707006369599</v>
      </c>
      <c r="H4" s="6">
        <v>0.38216560509553998</v>
      </c>
      <c r="I4" s="3">
        <v>0.84076433121019101</v>
      </c>
      <c r="J4" s="3">
        <v>0</v>
      </c>
      <c r="K4" s="3" t="str">
        <f>H2_10K[[#This Row],[Demand]] &amp; "-" &amp; H2_10K[[#This Row],[Distance(km)]] &amp; "-" &amp; H2_10K[[#This Row],[Dia.]]</f>
        <v>10000-25-150</v>
      </c>
      <c r="L4" s="26"/>
      <c r="X4">
        <v>200</v>
      </c>
      <c r="Y4" s="3">
        <f>0.942675159235669-0.687898089171973</f>
        <v>0.25477707006369599</v>
      </c>
      <c r="Z4" s="3">
        <f>0.687898089171973-0.484076433121021</f>
        <v>0.20382165605095204</v>
      </c>
      <c r="AA4" s="3">
        <v>0.484076433121021</v>
      </c>
    </row>
    <row r="5" spans="1:33">
      <c r="A5" s="5">
        <v>25</v>
      </c>
      <c r="B5" s="5">
        <v>200</v>
      </c>
      <c r="C5" s="5">
        <v>10000</v>
      </c>
      <c r="D5" s="5">
        <v>0</v>
      </c>
      <c r="E5" s="5">
        <v>0</v>
      </c>
      <c r="F5" s="6">
        <f>0.942675159235669-0.687898089171973</f>
        <v>0.25477707006369599</v>
      </c>
      <c r="G5" s="6">
        <f>0.687898089171973-0.484076433121021</f>
        <v>0.20382165605095204</v>
      </c>
      <c r="H5" s="6">
        <v>0.484076433121021</v>
      </c>
      <c r="I5" s="3">
        <v>0.94267515923566902</v>
      </c>
      <c r="J5" s="3">
        <v>0</v>
      </c>
      <c r="K5" s="3" t="str">
        <f>H2_10K[[#This Row],[Demand]] &amp; "-" &amp; H2_10K[[#This Row],[Distance(km)]] &amp; "-" &amp; H2_10K[[#This Row],[Dia.]]</f>
        <v>10000-25-200</v>
      </c>
      <c r="L5" s="26"/>
    </row>
    <row r="6" spans="1:33">
      <c r="A6" s="5">
        <v>100</v>
      </c>
      <c r="B6" s="5">
        <v>100</v>
      </c>
      <c r="C6" s="5">
        <v>10000</v>
      </c>
      <c r="D6" s="5">
        <v>0</v>
      </c>
      <c r="E6" s="5">
        <v>0</v>
      </c>
      <c r="F6" s="5">
        <f>2.21656050955414-2.01273885350318</f>
        <v>0.20382165605096025</v>
      </c>
      <c r="G6" s="6">
        <f>2.01273885350318- 1.45222929936305</f>
        <v>0.56050955414012993</v>
      </c>
      <c r="H6" s="6">
        <v>1.4522292993630499</v>
      </c>
      <c r="I6" s="3">
        <v>2.2165605095541401</v>
      </c>
      <c r="J6" s="3">
        <v>0</v>
      </c>
      <c r="K6" s="3" t="str">
        <f>H2_10K[[#This Row],[Demand]] &amp; "-" &amp; H2_10K[[#This Row],[Distance(km)]] &amp; "-" &amp; H2_10K[[#This Row],[Dia.]]</f>
        <v>10000-100-100</v>
      </c>
      <c r="L6" s="26"/>
      <c r="X6">
        <v>150</v>
      </c>
      <c r="Y6" s="3">
        <f>2.57324840764331-2.31847133757962</f>
        <v>0.25477707006369021</v>
      </c>
      <c r="Z6" s="3">
        <f>2.31847133757962-1.70700636942675</f>
        <v>0.61146496815286988</v>
      </c>
      <c r="AA6" s="3">
        <v>1.7070063694267501</v>
      </c>
    </row>
    <row r="7" spans="1:33">
      <c r="A7" s="5">
        <v>100</v>
      </c>
      <c r="B7" s="5">
        <v>150</v>
      </c>
      <c r="C7" s="5">
        <v>10000</v>
      </c>
      <c r="D7" s="5">
        <v>0</v>
      </c>
      <c r="E7" s="5">
        <v>0</v>
      </c>
      <c r="F7" s="6">
        <f>2.57324840764331-2.31847133757962</f>
        <v>0.25477707006369021</v>
      </c>
      <c r="G7" s="6">
        <f>2.31847133757962-1.70700636942675</f>
        <v>0.61146496815286988</v>
      </c>
      <c r="H7" s="6">
        <v>1.7070063694267501</v>
      </c>
      <c r="I7" s="3">
        <v>2.5732484076433102</v>
      </c>
      <c r="J7" s="3">
        <v>0</v>
      </c>
      <c r="K7" s="3" t="str">
        <f>H2_10K[[#This Row],[Demand]] &amp; "-" &amp; H2_10K[[#This Row],[Distance(km)]] &amp; "-" &amp; H2_10K[[#This Row],[Dia.]]</f>
        <v>10000-100-150</v>
      </c>
      <c r="L7" s="26"/>
      <c r="X7">
        <v>200</v>
      </c>
      <c r="Y7" s="3">
        <f>2.92993630573248- 2.67515923566879</f>
        <v>0.25477707006368977</v>
      </c>
      <c r="Z7" s="3">
        <f>2.67515923566879-1.96178343949044</f>
        <v>0.71337579617835001</v>
      </c>
      <c r="AA7" s="3">
        <v>1.9617834394904401</v>
      </c>
    </row>
    <row r="8" spans="1:33">
      <c r="A8" s="5">
        <v>100</v>
      </c>
      <c r="B8" s="5">
        <v>200</v>
      </c>
      <c r="C8" s="5">
        <v>10000</v>
      </c>
      <c r="D8" s="5">
        <v>0</v>
      </c>
      <c r="E8" s="5">
        <v>0</v>
      </c>
      <c r="F8" s="6">
        <f>2.92993630573248- 2.67515923566879</f>
        <v>0.25477707006368977</v>
      </c>
      <c r="G8" s="6">
        <f>2.67515923566879-1.96178343949044</f>
        <v>0.71337579617835001</v>
      </c>
      <c r="H8" s="6">
        <v>1.9617834394904401</v>
      </c>
      <c r="I8" s="3">
        <v>2.9299363057324799</v>
      </c>
      <c r="J8" s="3">
        <v>0</v>
      </c>
      <c r="K8" s="3" t="str">
        <f>H2_10K[[#This Row],[Demand]] &amp; "-" &amp; H2_10K[[#This Row],[Distance(km)]] &amp; "-" &amp; H2_10K[[#This Row],[Dia.]]</f>
        <v>10000-100-200</v>
      </c>
      <c r="L8" s="26"/>
    </row>
    <row r="9" spans="1:33">
      <c r="A9" s="5">
        <v>250</v>
      </c>
      <c r="B9" s="5">
        <v>100</v>
      </c>
      <c r="C9" s="5">
        <v>10000</v>
      </c>
      <c r="D9" s="5">
        <v>0</v>
      </c>
      <c r="E9" s="5">
        <v>0</v>
      </c>
      <c r="F9" s="8">
        <f>5.22292993630573-5.01910828025477</f>
        <v>0.2038216560509607</v>
      </c>
      <c r="G9" s="6">
        <f>5.01910828025477-3.7452229299363</f>
        <v>1.2738853503184697</v>
      </c>
      <c r="H9" s="6">
        <v>3.7452229299363</v>
      </c>
      <c r="I9" s="3">
        <v>5.2229299363057304</v>
      </c>
      <c r="J9" s="3">
        <v>0</v>
      </c>
      <c r="K9" s="3" t="str">
        <f>H2_10K[[#This Row],[Demand]] &amp; "-" &amp; H2_10K[[#This Row],[Distance(km)]] &amp; "-" &amp; H2_10K[[#This Row],[Dia.]]</f>
        <v>10000-250-100</v>
      </c>
      <c r="L9" s="26"/>
      <c r="M9" s="2"/>
      <c r="N9" s="2"/>
      <c r="O9" s="2"/>
      <c r="P9" s="2"/>
      <c r="X9">
        <v>150</v>
      </c>
      <c r="Y9" s="3">
        <f>6.08917197452229-5.8343949044586</f>
        <v>0.25477707006368977</v>
      </c>
      <c r="Z9">
        <f>5.8343949044586-4.38216560509554</f>
        <v>1.4522292993630597</v>
      </c>
      <c r="AA9" s="3">
        <v>4.3821656050955404</v>
      </c>
    </row>
    <row r="10" spans="1:33">
      <c r="A10" s="5">
        <v>250</v>
      </c>
      <c r="B10" s="5">
        <v>150</v>
      </c>
      <c r="C10" s="5">
        <v>10000</v>
      </c>
      <c r="D10" s="5">
        <v>0</v>
      </c>
      <c r="E10" s="5">
        <v>0</v>
      </c>
      <c r="F10" s="6">
        <f>6.08917197452229-5.8343949044586</f>
        <v>0.25477707006368977</v>
      </c>
      <c r="G10" s="5">
        <f>5.8343949044586-4.38216560509554</f>
        <v>1.4522292993630597</v>
      </c>
      <c r="H10" s="6">
        <v>4.3821656050955404</v>
      </c>
      <c r="I10" s="3">
        <v>6.0891719745222899</v>
      </c>
      <c r="J10" s="3">
        <v>0</v>
      </c>
      <c r="K10" s="3" t="str">
        <f>H2_10K[[#This Row],[Demand]] &amp; "-" &amp; H2_10K[[#This Row],[Distance(km)]] &amp; "-" &amp; H2_10K[[#This Row],[Dia.]]</f>
        <v>10000-250-150</v>
      </c>
      <c r="L10" s="26"/>
      <c r="X10">
        <v>200</v>
      </c>
      <c r="Y10" s="3">
        <f>6.90445859872611-6.64968152866242</f>
        <v>0.25477707006368977</v>
      </c>
      <c r="Z10" s="3">
        <f>6.64968152866242-5.01910828025477</f>
        <v>1.6305732484076501</v>
      </c>
      <c r="AA10" s="3">
        <v>5.0191082802547697</v>
      </c>
    </row>
    <row r="11" spans="1:33">
      <c r="A11" s="5">
        <v>250</v>
      </c>
      <c r="B11" s="5">
        <v>200</v>
      </c>
      <c r="C11" s="5">
        <v>10000</v>
      </c>
      <c r="D11" s="5">
        <v>0</v>
      </c>
      <c r="E11" s="5">
        <v>0</v>
      </c>
      <c r="F11" s="6">
        <f>6.90445859872611-6.64968152866242</f>
        <v>0.25477707006368977</v>
      </c>
      <c r="G11" s="6">
        <f>6.64968152866242-5.01910828025477</f>
        <v>1.6305732484076501</v>
      </c>
      <c r="H11" s="6">
        <v>5.0191082802547697</v>
      </c>
      <c r="I11" s="3">
        <v>6.9044585987261096</v>
      </c>
      <c r="J11" s="3">
        <v>0</v>
      </c>
      <c r="K11" s="3" t="str">
        <f>H2_10K[[#This Row],[Demand]] &amp; "-" &amp; H2_10K[[#This Row],[Distance(km)]] &amp; "-" &amp; H2_10K[[#This Row],[Dia.]]</f>
        <v>10000-250-200</v>
      </c>
      <c r="L11" s="26"/>
    </row>
    <row r="12" spans="1:33">
      <c r="A12" s="5">
        <v>500</v>
      </c>
      <c r="B12" s="5">
        <v>100</v>
      </c>
      <c r="C12" s="5">
        <v>10000</v>
      </c>
      <c r="D12" s="5">
        <v>0</v>
      </c>
      <c r="E12" s="5">
        <v>0</v>
      </c>
      <c r="F12" s="6">
        <f>10.1656050955414-9.96178343949044</f>
        <v>0.2038216560509607</v>
      </c>
      <c r="G12" s="6">
        <f>9.96178343949044-7.46496815286624</f>
        <v>2.4968152866241988</v>
      </c>
      <c r="H12" s="6">
        <v>7.4649681528662404</v>
      </c>
      <c r="I12" s="3">
        <v>10.1656050955414</v>
      </c>
      <c r="J12" s="3">
        <v>0</v>
      </c>
      <c r="K12" s="3" t="str">
        <f>H2_10K[[#This Row],[Demand]] &amp; "-" &amp; H2_10K[[#This Row],[Distance(km)]] &amp; "-" &amp; H2_10K[[#This Row],[Dia.]]</f>
        <v>10000-500-100</v>
      </c>
      <c r="L12" s="26"/>
      <c r="X12">
        <v>150</v>
      </c>
      <c r="Y12" s="3">
        <f>11.8471337579617-11.592356687898</f>
        <v>0.25477707006369954</v>
      </c>
      <c r="Z12" s="3">
        <f>11.592356687898- 8.73885350318471</f>
        <v>2.8535031847132899</v>
      </c>
      <c r="AA12" s="3">
        <v>8.7388535031847105</v>
      </c>
    </row>
    <row r="13" spans="1:33">
      <c r="A13" s="5">
        <v>500</v>
      </c>
      <c r="B13" s="5">
        <v>150</v>
      </c>
      <c r="C13" s="5">
        <v>10000</v>
      </c>
      <c r="D13" s="5">
        <v>0</v>
      </c>
      <c r="E13" s="5">
        <v>0</v>
      </c>
      <c r="F13" s="6">
        <f>11.8471337579617-11.592356687898</f>
        <v>0.25477707006369954</v>
      </c>
      <c r="G13" s="6">
        <f>11.592356687898- 8.73885350318471</f>
        <v>2.8535031847132899</v>
      </c>
      <c r="H13" s="6">
        <v>8.7388535031847105</v>
      </c>
      <c r="I13" s="3">
        <v>11.8471337579617</v>
      </c>
      <c r="J13" s="3">
        <v>0</v>
      </c>
      <c r="K13" s="3" t="str">
        <f>H2_10K[[#This Row],[Demand]] &amp; "-" &amp; H2_10K[[#This Row],[Distance(km)]] &amp; "-" &amp; H2_10K[[#This Row],[Dia.]]</f>
        <v>10000-500-150</v>
      </c>
      <c r="L13" s="26"/>
      <c r="X13">
        <v>200</v>
      </c>
      <c r="Y13" s="3">
        <f>13.5286624203821- 13.2738853503184</f>
        <v>0.25477707006369954</v>
      </c>
      <c r="Z13" s="3">
        <f>13.2738853503184-10.0127388535031</f>
        <v>3.2611464968153001</v>
      </c>
      <c r="AA13" s="3">
        <v>10.0127388535031</v>
      </c>
    </row>
    <row r="14" spans="1:33">
      <c r="A14" s="5">
        <v>500</v>
      </c>
      <c r="B14" s="5">
        <v>200</v>
      </c>
      <c r="C14" s="5">
        <v>10000</v>
      </c>
      <c r="D14" s="5">
        <v>0</v>
      </c>
      <c r="E14" s="5">
        <v>0</v>
      </c>
      <c r="F14" s="6">
        <f>13.5286624203821- 13.2738853503184</f>
        <v>0.25477707006369954</v>
      </c>
      <c r="G14" s="6">
        <f>13.2738853503184-10.0127388535031</f>
        <v>3.2611464968153001</v>
      </c>
      <c r="H14" s="6">
        <v>10.0127388535031</v>
      </c>
      <c r="I14" s="3">
        <v>13.5286624203821</v>
      </c>
      <c r="J14" s="3">
        <v>0</v>
      </c>
      <c r="K14" s="3" t="str">
        <f>H2_10K[[#This Row],[Demand]] &amp; "-" &amp; H2_10K[[#This Row],[Distance(km)]] &amp; "-" &amp; H2_10K[[#This Row],[Dia.]]</f>
        <v>10000-500-200</v>
      </c>
      <c r="L14" s="26"/>
    </row>
    <row r="15" spans="1:3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6"/>
      <c r="M15" s="2"/>
      <c r="N15" s="2"/>
      <c r="O15" s="2"/>
      <c r="P15" s="2"/>
    </row>
    <row r="16" spans="1:33">
      <c r="A16" s="21" t="s">
        <v>18</v>
      </c>
      <c r="L16" s="26"/>
    </row>
    <row r="17" spans="1:12">
      <c r="A17" s="22" t="s">
        <v>19</v>
      </c>
      <c r="L17" s="26"/>
    </row>
    <row r="18" spans="1:12">
      <c r="A18" s="23" t="s">
        <v>20</v>
      </c>
      <c r="L18" s="26"/>
    </row>
    <row r="19" spans="1:12">
      <c r="A19" s="23" t="s">
        <v>21</v>
      </c>
      <c r="L19" s="26"/>
    </row>
    <row r="20" spans="1:12">
      <c r="A20" s="23" t="s">
        <v>22</v>
      </c>
      <c r="L20" s="26"/>
    </row>
    <row r="21" spans="1:12">
      <c r="A21" s="23" t="s">
        <v>23</v>
      </c>
      <c r="L21" s="26"/>
    </row>
    <row r="22" spans="1:12">
      <c r="A22" s="23" t="s">
        <v>24</v>
      </c>
      <c r="L22" s="26"/>
    </row>
    <row r="23" spans="1:12">
      <c r="A23" s="23" t="s">
        <v>25</v>
      </c>
      <c r="L23" s="26"/>
    </row>
    <row r="24" spans="1:12">
      <c r="A24" s="23" t="s">
        <v>26</v>
      </c>
      <c r="L24" s="26"/>
    </row>
    <row r="25" spans="1:12">
      <c r="A25" s="23" t="s">
        <v>27</v>
      </c>
      <c r="L25" s="26"/>
    </row>
    <row r="26" spans="1:12">
      <c r="A26" s="23" t="s">
        <v>28</v>
      </c>
      <c r="L26" s="26"/>
    </row>
    <row r="27" spans="1:12">
      <c r="A27" s="23" t="s">
        <v>29</v>
      </c>
      <c r="L27" s="26"/>
    </row>
    <row r="28" spans="1:12">
      <c r="A28" s="23" t="s">
        <v>30</v>
      </c>
      <c r="L28" s="26"/>
    </row>
    <row r="29" spans="1:12">
      <c r="A29" s="23" t="s">
        <v>31</v>
      </c>
      <c r="L29" s="26"/>
    </row>
    <row r="30" spans="1:12">
      <c r="A30" s="23" t="s">
        <v>32</v>
      </c>
      <c r="L30" s="26"/>
    </row>
    <row r="31" spans="1:12">
      <c r="A31" s="23" t="s">
        <v>33</v>
      </c>
      <c r="L31" s="26"/>
    </row>
    <row r="32" spans="1:12">
      <c r="A32" s="23" t="s">
        <v>34</v>
      </c>
      <c r="L32" s="26"/>
    </row>
    <row r="33" spans="1:12">
      <c r="A33" s="23" t="s">
        <v>35</v>
      </c>
      <c r="L33" s="26"/>
    </row>
    <row r="34" spans="1:12">
      <c r="A34" s="24" t="s">
        <v>36</v>
      </c>
      <c r="L34" s="26"/>
    </row>
    <row r="35" spans="1:12">
      <c r="A35" s="24" t="s">
        <v>37</v>
      </c>
      <c r="L35" s="26"/>
    </row>
    <row r="36" spans="1:12">
      <c r="A36" s="24" t="s">
        <v>38</v>
      </c>
      <c r="L36" s="26"/>
    </row>
    <row r="37" spans="1:12">
      <c r="A37" s="24" t="s">
        <v>39</v>
      </c>
      <c r="L37" s="26"/>
    </row>
    <row r="38" spans="1:12">
      <c r="A38" s="24" t="s">
        <v>40</v>
      </c>
      <c r="L38" s="26"/>
    </row>
    <row r="39" spans="1:12">
      <c r="A39" s="24" t="s">
        <v>41</v>
      </c>
      <c r="L39" s="26"/>
    </row>
    <row r="40" spans="1:12">
      <c r="A40" s="24" t="s">
        <v>42</v>
      </c>
      <c r="L40" s="26"/>
    </row>
    <row r="41" spans="1:12">
      <c r="A41" s="24" t="s">
        <v>43</v>
      </c>
      <c r="L41" s="26"/>
    </row>
    <row r="42" spans="1:12">
      <c r="A42" s="24" t="s">
        <v>44</v>
      </c>
      <c r="L42" s="26"/>
    </row>
    <row r="43" spans="1:12">
      <c r="A43" s="24" t="s">
        <v>38</v>
      </c>
      <c r="L43" s="26"/>
    </row>
    <row r="44" spans="1:12">
      <c r="A44" s="24" t="s">
        <v>45</v>
      </c>
      <c r="L44" s="26"/>
    </row>
    <row r="45" spans="1:12">
      <c r="A45" s="24" t="s">
        <v>46</v>
      </c>
      <c r="L45" s="26"/>
    </row>
    <row r="46" spans="1:12">
      <c r="A46" s="24" t="s">
        <v>47</v>
      </c>
      <c r="L46" s="26"/>
    </row>
    <row r="47" spans="1:12">
      <c r="A47" s="24" t="s">
        <v>48</v>
      </c>
      <c r="L47" s="26"/>
    </row>
    <row r="48" spans="1:12">
      <c r="A48" s="24" t="s">
        <v>49</v>
      </c>
      <c r="L48" s="26"/>
    </row>
    <row r="49" spans="1:12">
      <c r="A49" s="24" t="s">
        <v>50</v>
      </c>
      <c r="L49" s="26"/>
    </row>
    <row r="50" spans="1:12">
      <c r="A50" s="24" t="s">
        <v>51</v>
      </c>
      <c r="L50" s="26"/>
    </row>
    <row r="51" spans="1:12">
      <c r="A51" s="24" t="s">
        <v>52</v>
      </c>
      <c r="L51" s="26"/>
    </row>
    <row r="52" spans="1:12">
      <c r="A52" s="25" t="s">
        <v>53</v>
      </c>
      <c r="L52" s="26"/>
    </row>
    <row r="53" spans="1:12">
      <c r="L53" s="26"/>
    </row>
    <row r="54" spans="1:12">
      <c r="L54" s="26"/>
    </row>
    <row r="55" spans="1:12">
      <c r="L55" s="26"/>
    </row>
    <row r="56" spans="1:12">
      <c r="L56" s="26"/>
    </row>
    <row r="58" spans="1:12">
      <c r="A58" t="s">
        <v>54</v>
      </c>
      <c r="L58" s="26"/>
    </row>
    <row r="59" spans="1:12">
      <c r="A59" s="15" t="s">
        <v>12</v>
      </c>
      <c r="B59" s="15" t="s">
        <v>2</v>
      </c>
      <c r="C59" s="19" t="s">
        <v>55</v>
      </c>
      <c r="D59" s="20" t="s">
        <v>4</v>
      </c>
      <c r="E59" s="20" t="s">
        <v>56</v>
      </c>
      <c r="F59" s="15" t="s">
        <v>6</v>
      </c>
      <c r="G59" s="19" t="s">
        <v>3</v>
      </c>
      <c r="H59" s="15" t="s">
        <v>7</v>
      </c>
      <c r="I59" s="15" t="s">
        <v>8</v>
      </c>
      <c r="J59" s="16" t="s">
        <v>9</v>
      </c>
      <c r="K59" s="15" t="s">
        <v>11</v>
      </c>
      <c r="L59" s="41" t="s">
        <v>57</v>
      </c>
    </row>
    <row r="60" spans="1:12">
      <c r="A60" s="5">
        <v>25</v>
      </c>
      <c r="B60" s="5">
        <v>100</v>
      </c>
      <c r="C60" s="5">
        <v>0</v>
      </c>
      <c r="D60" s="5">
        <v>0</v>
      </c>
      <c r="E60" s="5">
        <v>0</v>
      </c>
      <c r="F60" s="6">
        <f>0.432624113475177-0.234042553191488</f>
        <v>0.19858156028368898</v>
      </c>
      <c r="G60" s="6">
        <v>30000</v>
      </c>
      <c r="H60" s="6">
        <f>0.191489361702127-0.134751773049645</f>
        <v>5.6737588652481991E-2</v>
      </c>
      <c r="I60" s="6">
        <v>0.134751773049645</v>
      </c>
      <c r="J60" s="3">
        <v>0.43262411347517699</v>
      </c>
      <c r="K60" s="4" t="str">
        <f>H2_30K[[#This Row],[Demand]] &amp; "-" &amp; H2_30K[[#This Row],[Distance]] &amp; "-" &amp; H2_30K[[#This Row],[Dia.]]</f>
        <v>30000-25-100</v>
      </c>
      <c r="L60" s="40"/>
    </row>
    <row r="61" spans="1:12">
      <c r="A61" s="5">
        <v>25</v>
      </c>
      <c r="B61" s="5">
        <v>150</v>
      </c>
      <c r="C61" s="5">
        <v>0</v>
      </c>
      <c r="D61" s="5">
        <v>0</v>
      </c>
      <c r="E61" s="5">
        <v>0</v>
      </c>
      <c r="F61" s="6">
        <f>0.460992907801418-0.26241134751773</f>
        <v>0.19858156028368801</v>
      </c>
      <c r="G61" s="6">
        <v>30000</v>
      </c>
      <c r="H61" s="6">
        <f>0.234042553191488-0.163120567375885</f>
        <v>7.0921985815602995E-2</v>
      </c>
      <c r="I61" s="6">
        <v>0.16312056737588501</v>
      </c>
      <c r="J61" s="3">
        <v>0.46099290780141799</v>
      </c>
      <c r="K61" s="3" t="str">
        <f>H2_30K[[#This Row],[Demand]] &amp; "-" &amp; H2_30K[[#This Row],[Distance]] &amp; "-" &amp; H2_30K[[#This Row],[Dia.]]</f>
        <v>30000-25-150</v>
      </c>
      <c r="L61" s="40"/>
    </row>
    <row r="62" spans="1:12">
      <c r="A62" s="5">
        <v>25</v>
      </c>
      <c r="B62" s="5">
        <v>200</v>
      </c>
      <c r="C62" s="5">
        <v>0</v>
      </c>
      <c r="D62" s="5">
        <v>0</v>
      </c>
      <c r="E62" s="5">
        <v>0</v>
      </c>
      <c r="F62" s="6">
        <f>0.489361702127659-0.290780141843971</f>
        <v>0.19858156028368801</v>
      </c>
      <c r="G62" s="6">
        <v>30000</v>
      </c>
      <c r="H62" s="6">
        <f>0.248226950354609-0.177304964539006</f>
        <v>7.0921985815603023E-2</v>
      </c>
      <c r="I62" s="6">
        <v>0.17730496453900599</v>
      </c>
      <c r="J62" s="3">
        <v>0.489361702127659</v>
      </c>
      <c r="K62" s="3" t="str">
        <f>H2_30K[[#This Row],[Demand]] &amp; "-" &amp; H2_30K[[#This Row],[Distance]] &amp; "-" &amp; H2_30K[[#This Row],[Dia.]]</f>
        <v>30000-25-200</v>
      </c>
      <c r="L62" s="40"/>
    </row>
    <row r="63" spans="1:12">
      <c r="A63" s="5">
        <v>100</v>
      </c>
      <c r="B63" s="5">
        <v>100</v>
      </c>
      <c r="C63" s="5">
        <v>0</v>
      </c>
      <c r="D63" s="5">
        <v>0</v>
      </c>
      <c r="E63" s="5">
        <v>0</v>
      </c>
      <c r="F63" s="6">
        <f>0.929078014184397-0.716312056737588</f>
        <v>0.21276595744680893</v>
      </c>
      <c r="G63" s="6">
        <v>30000</v>
      </c>
      <c r="H63" s="6">
        <f>0.687943262411347- 0.5177304964539</f>
        <v>0.17021276595744694</v>
      </c>
      <c r="I63" s="6">
        <v>0.51773049645390001</v>
      </c>
      <c r="J63" s="3">
        <v>0.92907801418439695</v>
      </c>
      <c r="K63" s="3" t="str">
        <f>H2_30K[[#This Row],[Demand]] &amp; "-" &amp; H2_30K[[#This Row],[Distance]] &amp; "-" &amp; H2_30K[[#This Row],[Dia.]]</f>
        <v>30000-100-100</v>
      </c>
      <c r="L63" s="40"/>
    </row>
    <row r="64" spans="1:12">
      <c r="A64" s="5">
        <v>100</v>
      </c>
      <c r="B64" s="5">
        <v>150</v>
      </c>
      <c r="C64" s="5">
        <v>0</v>
      </c>
      <c r="D64" s="5">
        <v>0</v>
      </c>
      <c r="E64" s="5">
        <v>0</v>
      </c>
      <c r="F64" s="6">
        <f>1.02836879432624-0.815602836879432</f>
        <v>0.21276595744680804</v>
      </c>
      <c r="G64" s="6">
        <v>30000</v>
      </c>
      <c r="H64" s="6">
        <f>0.801418439716311-0.602836879432623</f>
        <v>0.19858156028368801</v>
      </c>
      <c r="I64" s="6">
        <v>0.60283687943262299</v>
      </c>
      <c r="J64" s="3">
        <v>1.0283687943262401</v>
      </c>
      <c r="K64" s="3" t="str">
        <f>H2_30K[[#This Row],[Demand]] &amp; "-" &amp; H2_30K[[#This Row],[Distance]] &amp; "-" &amp; H2_30K[[#This Row],[Dia.]]</f>
        <v>30000-100-150</v>
      </c>
      <c r="L64" s="40"/>
    </row>
    <row r="65" spans="1:12">
      <c r="A65" s="5">
        <v>100</v>
      </c>
      <c r="B65" s="5">
        <v>200</v>
      </c>
      <c r="C65" s="5">
        <v>0</v>
      </c>
      <c r="D65" s="5">
        <v>0</v>
      </c>
      <c r="E65" s="5">
        <v>0</v>
      </c>
      <c r="F65" s="6">
        <f>1.1418439716312-0.943262411347517</f>
        <v>0.19858156028368312</v>
      </c>
      <c r="G65" s="6">
        <v>30000</v>
      </c>
      <c r="H65" s="6">
        <f>0.914893617021276- 0.673758865248226</f>
        <v>0.24113475177304999</v>
      </c>
      <c r="I65" s="6">
        <v>0.67375886524822604</v>
      </c>
      <c r="J65" s="3">
        <v>1.1418439716312001</v>
      </c>
      <c r="K65" s="3" t="str">
        <f>H2_30K[[#This Row],[Demand]] &amp; "-" &amp; H2_30K[[#This Row],[Distance]] &amp; "-" &amp; H2_30K[[#This Row],[Dia.]]</f>
        <v>30000-100-200</v>
      </c>
      <c r="L65" s="40"/>
    </row>
    <row r="66" spans="1:12">
      <c r="A66" s="5">
        <v>250</v>
      </c>
      <c r="B66" s="5">
        <v>100</v>
      </c>
      <c r="C66" s="6">
        <f>2.177304964539-1.95035460992907</f>
        <v>0.22695035460993007</v>
      </c>
      <c r="D66" s="6">
        <f>1.95035460992907-1.92198581560283</f>
        <v>2.8368794326240065E-2</v>
      </c>
      <c r="E66" s="6">
        <v>0</v>
      </c>
      <c r="F66" s="6">
        <f>1.92198581560283-1.6950354609929</f>
        <v>0.22695035460993007</v>
      </c>
      <c r="G66" s="6">
        <v>30000</v>
      </c>
      <c r="H66" s="6">
        <f>1.66666666666666-1.25531914893617</f>
        <v>0.41134751773049016</v>
      </c>
      <c r="I66" s="5">
        <v>1.2553191489361699</v>
      </c>
      <c r="J66" s="3">
        <v>2.1773049645390001</v>
      </c>
      <c r="K66" s="3" t="str">
        <f>H2_30K[[#This Row],[Demand]] &amp; "-" &amp; H2_30K[[#This Row],[Distance]] &amp; "-" &amp; H2_30K[[#This Row],[Dia.]]</f>
        <v>30000-250-100</v>
      </c>
      <c r="L66" s="40"/>
    </row>
    <row r="67" spans="1:12">
      <c r="A67" s="5">
        <v>250</v>
      </c>
      <c r="B67" s="5">
        <v>150</v>
      </c>
      <c r="C67" s="1">
        <v>0</v>
      </c>
      <c r="D67" s="1">
        <v>0</v>
      </c>
      <c r="E67" s="1">
        <v>0</v>
      </c>
      <c r="F67" s="6">
        <f>2.177304964539-1.97872340425531</f>
        <v>0.19858156028369023</v>
      </c>
      <c r="G67" s="6">
        <v>30000</v>
      </c>
      <c r="H67" s="6">
        <f>1.95035460992907-1.46808510638297</f>
        <v>0.48226950354609999</v>
      </c>
      <c r="I67" s="6">
        <v>1.4680851063829701</v>
      </c>
      <c r="J67" s="3">
        <v>2.1773049645390001</v>
      </c>
      <c r="K67" s="3" t="str">
        <f>H2_30K[[#This Row],[Demand]] &amp; "-" &amp; H2_30K[[#This Row],[Distance]] &amp; "-" &amp; H2_30K[[#This Row],[Dia.]]</f>
        <v>30000-250-150</v>
      </c>
      <c r="L67" s="40"/>
    </row>
    <row r="68" spans="1:12">
      <c r="A68" s="5">
        <v>250</v>
      </c>
      <c r="B68" s="5">
        <v>200</v>
      </c>
      <c r="C68" s="1">
        <v>0</v>
      </c>
      <c r="D68" s="1">
        <v>0</v>
      </c>
      <c r="E68" s="1">
        <v>0</v>
      </c>
      <c r="F68" s="6">
        <f>2.46099290780141- 2.26241134751773</f>
        <v>0.19858156028368024</v>
      </c>
      <c r="G68" s="6">
        <v>30000</v>
      </c>
      <c r="H68" s="6">
        <f>2.21985815602836-1.68085106382978</f>
        <v>0.5390070921985799</v>
      </c>
      <c r="I68" s="6">
        <v>1.68085106382978</v>
      </c>
      <c r="J68" s="3">
        <v>2.4609929078014101</v>
      </c>
      <c r="K68" s="3" t="str">
        <f>H2_30K[[#This Row],[Demand]] &amp; "-" &amp; H2_30K[[#This Row],[Distance]] &amp; "-" &amp; H2_30K[[#This Row],[Dia.]]</f>
        <v>30000-250-200</v>
      </c>
      <c r="L68" s="40"/>
    </row>
    <row r="69" spans="1:12">
      <c r="A69" s="5">
        <v>500</v>
      </c>
      <c r="B69" s="5">
        <v>100</v>
      </c>
      <c r="C69" s="6">
        <f>4.07801418439716-3.63829787234042</f>
        <v>0.43971631205674022</v>
      </c>
      <c r="D69" s="6">
        <f>3.63829787234042-3.59574468085106</f>
        <v>4.2553191489360209E-2</v>
      </c>
      <c r="E69" s="6">
        <f>3.59574468085106-3.5531914893617</f>
        <v>4.2553191489359765E-2</v>
      </c>
      <c r="F69" s="6">
        <f>3.5531914893617-3.34042553191489</f>
        <v>0.21276595744680993</v>
      </c>
      <c r="G69" s="6">
        <v>30000</v>
      </c>
      <c r="H69" s="6">
        <f>3.31205673758865-2.50354609929077</f>
        <v>0.80851063829787995</v>
      </c>
      <c r="I69" s="6">
        <v>2.5035460992907699</v>
      </c>
      <c r="J69" s="3">
        <v>4.0780141843971602</v>
      </c>
      <c r="K69" s="3" t="str">
        <f>H2_30K[[#This Row],[Demand]] &amp; "-" &amp; H2_30K[[#This Row],[Distance]] &amp; "-" &amp; H2_30K[[#This Row],[Dia.]]</f>
        <v>30000-500-100</v>
      </c>
      <c r="L69" s="40"/>
    </row>
    <row r="70" spans="1:12">
      <c r="A70" s="5">
        <v>500</v>
      </c>
      <c r="B70" s="5">
        <v>150</v>
      </c>
      <c r="C70" s="1">
        <v>0</v>
      </c>
      <c r="D70" s="1">
        <v>0</v>
      </c>
      <c r="E70" s="1">
        <v>0</v>
      </c>
      <c r="F70" s="6">
        <f>4.07801418439716-3.87943262411347</f>
        <v>0.19858156028369045</v>
      </c>
      <c r="G70" s="6">
        <v>30000</v>
      </c>
      <c r="H70" s="6">
        <f>3.86524822695035-2.91489361702127</f>
        <v>0.95035460992908005</v>
      </c>
      <c r="I70" s="6">
        <v>2.9148936170212698</v>
      </c>
      <c r="J70" s="3">
        <v>4.0780141843971602</v>
      </c>
      <c r="K70" s="3" t="str">
        <f>H2_30K[[#This Row],[Demand]] &amp; "-" &amp; H2_30K[[#This Row],[Distance]] &amp; "-" &amp; H2_30K[[#This Row],[Dia.]]</f>
        <v>30000-500-150</v>
      </c>
      <c r="L70" s="40"/>
    </row>
    <row r="71" spans="1:12">
      <c r="A71" s="5">
        <v>500</v>
      </c>
      <c r="B71" s="5">
        <v>200</v>
      </c>
      <c r="C71" s="5">
        <v>0</v>
      </c>
      <c r="D71" s="5">
        <v>0</v>
      </c>
      <c r="E71" s="5">
        <v>0</v>
      </c>
      <c r="F71" s="6">
        <f>4.64539007092198-4.44680851063829</f>
        <v>0.19858156028369045</v>
      </c>
      <c r="G71" s="6">
        <v>30000</v>
      </c>
      <c r="H71" s="6">
        <f>4.40425531914893- 3.32624113475177</f>
        <v>1.0780141843971602</v>
      </c>
      <c r="I71" s="6">
        <v>3.3262411347517702</v>
      </c>
      <c r="J71" s="3">
        <v>4.6453900709219802</v>
      </c>
      <c r="K71" s="3" t="str">
        <f>H2_30K[[#This Row],[Demand]] &amp; "-" &amp; H2_30K[[#This Row],[Distance]] &amp; "-" &amp; H2_30K[[#This Row],[Dia.]]</f>
        <v>30000-500-200</v>
      </c>
      <c r="L71" s="40"/>
    </row>
    <row r="72" spans="1:12">
      <c r="A72" s="21"/>
      <c r="L72" s="26"/>
    </row>
    <row r="73" spans="1:12">
      <c r="A73" s="27" t="s">
        <v>58</v>
      </c>
      <c r="C73" s="2"/>
      <c r="D73" s="2"/>
      <c r="E73" s="2"/>
      <c r="L73" s="26"/>
    </row>
    <row r="74" spans="1:12">
      <c r="A74" s="28" t="s">
        <v>59</v>
      </c>
      <c r="L74" s="26"/>
    </row>
    <row r="75" spans="1:12">
      <c r="A75" s="29" t="s">
        <v>60</v>
      </c>
      <c r="L75" s="26"/>
    </row>
    <row r="76" spans="1:12">
      <c r="A76" s="29" t="s">
        <v>61</v>
      </c>
      <c r="L76" s="26"/>
    </row>
    <row r="77" spans="1:12">
      <c r="A77" s="29" t="s">
        <v>62</v>
      </c>
      <c r="L77" s="26"/>
    </row>
    <row r="78" spans="1:12">
      <c r="A78" s="29" t="s">
        <v>63</v>
      </c>
      <c r="L78" s="26"/>
    </row>
    <row r="79" spans="1:12">
      <c r="A79" s="29" t="s">
        <v>59</v>
      </c>
      <c r="L79" s="26"/>
    </row>
    <row r="80" spans="1:12">
      <c r="A80" s="29" t="s">
        <v>64</v>
      </c>
      <c r="L80" s="26"/>
    </row>
    <row r="81" spans="1:12">
      <c r="A81" s="29" t="s">
        <v>65</v>
      </c>
      <c r="L81" s="26"/>
    </row>
    <row r="82" spans="1:12">
      <c r="A82" s="29" t="s">
        <v>66</v>
      </c>
      <c r="L82" s="26"/>
    </row>
    <row r="83" spans="1:12">
      <c r="A83" s="29" t="s">
        <v>67</v>
      </c>
      <c r="C83" s="2"/>
      <c r="D83" s="2"/>
      <c r="E83" s="2"/>
      <c r="L83" s="26"/>
    </row>
    <row r="84" spans="1:12">
      <c r="A84" s="29" t="s">
        <v>68</v>
      </c>
      <c r="C84" s="2"/>
      <c r="D84" s="2"/>
      <c r="E84" s="2"/>
      <c r="L84" s="26"/>
    </row>
    <row r="85" spans="1:12">
      <c r="A85" s="29" t="s">
        <v>69</v>
      </c>
      <c r="L85" s="26"/>
    </row>
    <row r="86" spans="1:12">
      <c r="A86" s="29" t="s">
        <v>70</v>
      </c>
      <c r="L86" s="26"/>
    </row>
    <row r="87" spans="1:12">
      <c r="A87" s="29" t="s">
        <v>71</v>
      </c>
      <c r="L87" s="26"/>
    </row>
    <row r="88" spans="1:12">
      <c r="A88" s="29" t="s">
        <v>72</v>
      </c>
      <c r="L88" s="26"/>
    </row>
    <row r="89" spans="1:12">
      <c r="A89" s="29" t="s">
        <v>73</v>
      </c>
      <c r="L89" s="26"/>
    </row>
    <row r="90" spans="1:12">
      <c r="A90" s="29" t="s">
        <v>74</v>
      </c>
      <c r="L90" s="26"/>
    </row>
    <row r="91" spans="1:12">
      <c r="A91" s="29" t="s">
        <v>75</v>
      </c>
      <c r="C91" s="2"/>
      <c r="D91" s="2"/>
      <c r="E91" s="2"/>
      <c r="L91" s="26"/>
    </row>
    <row r="92" spans="1:12">
      <c r="A92" s="29" t="s">
        <v>76</v>
      </c>
      <c r="L92" s="26"/>
    </row>
    <row r="93" spans="1:12">
      <c r="A93" s="29" t="s">
        <v>77</v>
      </c>
      <c r="L93" s="26"/>
    </row>
    <row r="94" spans="1:12">
      <c r="A94" s="29" t="s">
        <v>78</v>
      </c>
      <c r="L94" s="26"/>
    </row>
    <row r="95" spans="1:12">
      <c r="A95" s="29" t="s">
        <v>79</v>
      </c>
      <c r="L95" s="26"/>
    </row>
    <row r="96" spans="1:12">
      <c r="A96" s="29" t="s">
        <v>80</v>
      </c>
      <c r="L96" s="26"/>
    </row>
    <row r="97" spans="1:12">
      <c r="A97" s="29" t="s">
        <v>81</v>
      </c>
      <c r="L97" s="26"/>
    </row>
    <row r="98" spans="1:12">
      <c r="A98" s="29" t="s">
        <v>82</v>
      </c>
      <c r="L98" s="26"/>
    </row>
    <row r="99" spans="1:12">
      <c r="A99" s="29" t="s">
        <v>83</v>
      </c>
      <c r="L99" s="26"/>
    </row>
    <row r="100" spans="1:12">
      <c r="A100" s="29" t="s">
        <v>84</v>
      </c>
      <c r="L100" s="26"/>
    </row>
    <row r="101" spans="1:12">
      <c r="A101" s="29" t="s">
        <v>85</v>
      </c>
      <c r="L101" s="26"/>
    </row>
    <row r="102" spans="1:12">
      <c r="A102" s="29">
        <v>1.255319149</v>
      </c>
      <c r="L102" s="26"/>
    </row>
    <row r="103" spans="1:12">
      <c r="A103" s="29" t="s">
        <v>81</v>
      </c>
      <c r="L103" s="26"/>
    </row>
    <row r="104" spans="1:12">
      <c r="A104" s="29" t="s">
        <v>86</v>
      </c>
      <c r="L104" s="26"/>
    </row>
    <row r="105" spans="1:12">
      <c r="A105" s="29" t="s">
        <v>82</v>
      </c>
      <c r="L105" s="26"/>
    </row>
    <row r="106" spans="1:12">
      <c r="A106" s="29" t="s">
        <v>87</v>
      </c>
      <c r="L106" s="26"/>
    </row>
    <row r="107" spans="1:12">
      <c r="A107" s="29" t="s">
        <v>88</v>
      </c>
      <c r="L107" s="26"/>
    </row>
    <row r="108" spans="1:12">
      <c r="A108" s="29" t="s">
        <v>89</v>
      </c>
      <c r="L108" s="26"/>
    </row>
    <row r="109" spans="1:12">
      <c r="A109" s="29" t="s">
        <v>90</v>
      </c>
      <c r="L109" s="26"/>
    </row>
    <row r="110" spans="1:12">
      <c r="A110" s="29" t="s">
        <v>91</v>
      </c>
      <c r="L110" s="26"/>
    </row>
    <row r="111" spans="1:12">
      <c r="A111" s="29" t="s">
        <v>92</v>
      </c>
      <c r="L111" s="26"/>
    </row>
    <row r="112" spans="1:12">
      <c r="A112" s="29" t="s">
        <v>93</v>
      </c>
      <c r="L112" s="26"/>
    </row>
    <row r="113" spans="1:12">
      <c r="A113" s="29" t="s">
        <v>94</v>
      </c>
      <c r="L113" s="26"/>
    </row>
    <row r="114" spans="1:12">
      <c r="A114" s="29" t="s">
        <v>95</v>
      </c>
      <c r="L114" s="26"/>
    </row>
    <row r="115" spans="1:12">
      <c r="A115" s="29" t="s">
        <v>96</v>
      </c>
      <c r="L115" s="26"/>
    </row>
    <row r="116" spans="1:12">
      <c r="A116" s="29" t="s">
        <v>97</v>
      </c>
      <c r="L116" s="26"/>
    </row>
    <row r="117" spans="1:12">
      <c r="A117" s="29" t="s">
        <v>98</v>
      </c>
      <c r="L117" s="26"/>
    </row>
    <row r="118" spans="1:12">
      <c r="A118" s="29" t="s">
        <v>92</v>
      </c>
      <c r="L118" s="26"/>
    </row>
    <row r="119" spans="1:12">
      <c r="A119" s="29" t="s">
        <v>99</v>
      </c>
      <c r="L119" s="26"/>
    </row>
    <row r="120" spans="1:12">
      <c r="A120" s="29" t="s">
        <v>100</v>
      </c>
      <c r="L120" s="26"/>
    </row>
    <row r="121" spans="1:12">
      <c r="A121" s="29" t="s">
        <v>101</v>
      </c>
      <c r="L121" s="26"/>
    </row>
    <row r="122" spans="1:12">
      <c r="A122" s="29" t="s">
        <v>102</v>
      </c>
      <c r="L122" s="26"/>
    </row>
    <row r="123" spans="1:12">
      <c r="A123" s="29"/>
      <c r="L123" s="26"/>
    </row>
    <row r="124" spans="1:12">
      <c r="A124" s="29" t="s">
        <v>103</v>
      </c>
      <c r="L124" s="26"/>
    </row>
    <row r="125" spans="1:12">
      <c r="A125" s="29" t="s">
        <v>104</v>
      </c>
      <c r="L125" s="26"/>
    </row>
    <row r="126" spans="1:12">
      <c r="A126" s="18" t="s">
        <v>105</v>
      </c>
      <c r="L126" s="26"/>
    </row>
    <row r="127" spans="1:12">
      <c r="L127" s="26"/>
    </row>
    <row r="128" spans="1:12">
      <c r="L128" s="26"/>
    </row>
    <row r="130" spans="1:12">
      <c r="A130" t="s">
        <v>106</v>
      </c>
    </row>
    <row r="131" spans="1:12">
      <c r="A131" s="10" t="s">
        <v>12</v>
      </c>
      <c r="B131" s="11" t="s">
        <v>2</v>
      </c>
      <c r="C131" s="13" t="s">
        <v>55</v>
      </c>
      <c r="D131" s="14" t="s">
        <v>4</v>
      </c>
      <c r="E131" s="17" t="s">
        <v>56</v>
      </c>
      <c r="F131" s="11" t="s">
        <v>6</v>
      </c>
      <c r="G131" s="13" t="s">
        <v>107</v>
      </c>
      <c r="H131" s="11" t="s">
        <v>7</v>
      </c>
      <c r="I131" s="12" t="s">
        <v>8</v>
      </c>
      <c r="J131" t="s">
        <v>3</v>
      </c>
      <c r="K131" t="s">
        <v>11</v>
      </c>
      <c r="L131" t="s">
        <v>108</v>
      </c>
    </row>
    <row r="132" spans="1:12">
      <c r="A132" s="9">
        <v>25</v>
      </c>
      <c r="B132" s="5">
        <v>150</v>
      </c>
      <c r="C132" s="5">
        <v>0</v>
      </c>
      <c r="D132" s="5">
        <v>0</v>
      </c>
      <c r="E132" s="5">
        <v>0</v>
      </c>
      <c r="F132" s="3">
        <f>0.302785076195481- 0.092800840777719</f>
        <v>0.20998423541776201</v>
      </c>
      <c r="G132" s="3">
        <f>0.092800840777719-0.0749868628481342</f>
        <v>1.7813977929584793E-2</v>
      </c>
      <c r="H132" s="3">
        <f>0.0749868628481342-0.0520493956910153</f>
        <v>2.2937467157118904E-2</v>
      </c>
      <c r="I132" s="3">
        <v>5.2049395691015299E-2</v>
      </c>
      <c r="J132">
        <v>100000</v>
      </c>
      <c r="K132" s="33" t="str">
        <f>J132 &amp; "-" &amp; A132 &amp; "-" &amp; B132</f>
        <v>100000-25-150</v>
      </c>
      <c r="L132" s="3">
        <v>0.30278507619548101</v>
      </c>
    </row>
    <row r="133" spans="1:12">
      <c r="A133" s="9">
        <v>25</v>
      </c>
      <c r="B133" s="5">
        <v>200</v>
      </c>
      <c r="C133" s="5">
        <v>0</v>
      </c>
      <c r="D133" s="5">
        <v>0</v>
      </c>
      <c r="E133" s="5">
        <v>0</v>
      </c>
      <c r="F133" s="3">
        <f>0.31602732527588-0.115869679453494</f>
        <v>0.20015764582238602</v>
      </c>
      <c r="G133" s="3">
        <f>0.115869679453494-0.0794534944823959</f>
        <v>3.6416184971098095E-2</v>
      </c>
      <c r="H133" s="3">
        <f>0.0794534944823959-0.0611140304781923</f>
        <v>1.8339464004203603E-2</v>
      </c>
      <c r="I133" s="3">
        <v>6.1114030478192298E-2</v>
      </c>
      <c r="J133">
        <v>100000</v>
      </c>
      <c r="K133" s="33" t="str">
        <f t="shared" ref="K133:K139" si="0">J133 &amp; "-" &amp; A133 &amp; "-" &amp; B133</f>
        <v>100000-25-200</v>
      </c>
      <c r="L133" s="3">
        <v>0.31602732527588001</v>
      </c>
    </row>
    <row r="134" spans="1:12">
      <c r="A134" s="9">
        <v>100</v>
      </c>
      <c r="B134" s="5">
        <v>150</v>
      </c>
      <c r="C134" s="3">
        <f>0.615685759327377- 0.511403047819232</f>
        <v>0.10428271150814505</v>
      </c>
      <c r="D134" s="5">
        <v>0</v>
      </c>
      <c r="E134" s="3">
        <f>0.511403047819232-0.492748292170257</f>
        <v>1.8654755648974952E-2</v>
      </c>
      <c r="F134" s="3">
        <f>0.492748292170257-0.274829217025748</f>
        <v>0.21791907514450903</v>
      </c>
      <c r="G134" s="3">
        <f>0.274829217025748-0.251734104046243</f>
        <v>2.309511297950495E-2</v>
      </c>
      <c r="H134" s="3">
        <f>0.251734104046243-0.193221229637414</f>
        <v>5.8512874408829019E-2</v>
      </c>
      <c r="I134" s="3">
        <v>0.193221229637414</v>
      </c>
      <c r="J134">
        <v>100000</v>
      </c>
      <c r="K134" s="33" t="str">
        <f t="shared" si="0"/>
        <v>100000-100-150</v>
      </c>
      <c r="L134" s="3">
        <v>0.61568575932737701</v>
      </c>
    </row>
    <row r="135" spans="1:12">
      <c r="A135" s="9">
        <v>100</v>
      </c>
      <c r="B135" s="5">
        <v>200</v>
      </c>
      <c r="C135" s="5">
        <v>0</v>
      </c>
      <c r="D135" s="5">
        <v>0</v>
      </c>
      <c r="E135" s="5">
        <v>0</v>
      </c>
      <c r="F135" s="3">
        <f>0.524908039936941-0.315712033631109</f>
        <v>0.20919600630583202</v>
      </c>
      <c r="G135" s="3">
        <f>0.315712033631109-0.293247503941145</f>
        <v>2.2464529689963986E-2</v>
      </c>
      <c r="H135" s="3">
        <f>0.293247503941145-0.215817130846033</f>
        <v>7.7430373095112026E-2</v>
      </c>
      <c r="I135" s="3">
        <v>0.21581713084603299</v>
      </c>
      <c r="J135">
        <v>100000</v>
      </c>
      <c r="K135" s="33" t="str">
        <f t="shared" si="0"/>
        <v>100000-100-200</v>
      </c>
      <c r="L135" s="3">
        <v>0.52490803993694102</v>
      </c>
    </row>
    <row r="136" spans="1:12">
      <c r="A136">
        <v>250</v>
      </c>
      <c r="B136" s="5">
        <v>150</v>
      </c>
      <c r="C136" s="3">
        <f>1.22482921702574-0.89311613242249</f>
        <v>0.33171308460325</v>
      </c>
      <c r="D136" s="5">
        <v>0</v>
      </c>
      <c r="E136" s="3">
        <f>0.89311613242249-0.838675775091959</f>
        <v>5.4440357330530986E-2</v>
      </c>
      <c r="F136" s="3">
        <f>0.838675775091959-0.629584866001051</f>
        <v>0.20909090909090799</v>
      </c>
      <c r="G136" s="4">
        <f>0.629584866001051-0.607225433526011</f>
        <v>2.235943247504002E-2</v>
      </c>
      <c r="H136" s="3">
        <f>0.607225433526011-0.466263794009458</f>
        <v>0.14096163951655299</v>
      </c>
      <c r="I136" s="3">
        <v>0.466263794009458</v>
      </c>
      <c r="J136">
        <v>100000</v>
      </c>
      <c r="K136" s="33" t="str">
        <f t="shared" si="0"/>
        <v>100000-250-150</v>
      </c>
      <c r="L136" s="3">
        <v>1.22482921702574</v>
      </c>
    </row>
    <row r="137" spans="1:12">
      <c r="A137" s="9">
        <v>250</v>
      </c>
      <c r="B137" s="5">
        <v>200</v>
      </c>
      <c r="C137" s="1">
        <v>0</v>
      </c>
      <c r="D137" s="5">
        <v>0</v>
      </c>
      <c r="E137" s="1">
        <v>0</v>
      </c>
      <c r="F137" s="3">
        <f>0.93399894902785-0.724960588544403</f>
        <v>0.20903836048344693</v>
      </c>
      <c r="G137" s="3">
        <f>0.724960588544403-0.697635312664214</f>
        <v>2.732527588018907E-2</v>
      </c>
      <c r="H137" s="3">
        <f>0.697635312664214-0.524908039936941</f>
        <v>0.17272727272727295</v>
      </c>
      <c r="I137" s="3">
        <v>0.52490803993694102</v>
      </c>
      <c r="J137">
        <v>100000</v>
      </c>
      <c r="K137" s="33" t="str">
        <f t="shared" si="0"/>
        <v>100000-250-200</v>
      </c>
      <c r="L137" s="3">
        <v>0.93399894902784997</v>
      </c>
    </row>
    <row r="138" spans="1:12">
      <c r="A138" s="9">
        <v>500</v>
      </c>
      <c r="B138" s="5">
        <v>150</v>
      </c>
      <c r="C138" s="3">
        <f>2.19311613242249-1.52932212296374</f>
        <v>0.66379400945875022</v>
      </c>
      <c r="D138" s="5">
        <v>0</v>
      </c>
      <c r="E138" s="3">
        <f>1.52932212296374- 1.42953231739358</f>
        <v>9.9789805570159817E-2</v>
      </c>
      <c r="F138" s="3">
        <f>1.42953231739358-1.21114030478192</f>
        <v>0.21839201261166008</v>
      </c>
      <c r="G138" s="3">
        <f>1.21114030478192-1.1933788754598</f>
        <v>1.7761429322119993E-2</v>
      </c>
      <c r="H138" s="3">
        <f>1.1933788754598-0.911245401996847</f>
        <v>0.28213347346295303</v>
      </c>
      <c r="I138" s="3">
        <v>0.911245401996847</v>
      </c>
      <c r="J138">
        <v>100000</v>
      </c>
      <c r="K138" s="33" t="str">
        <f t="shared" si="0"/>
        <v>100000-500-150</v>
      </c>
      <c r="L138" s="3">
        <v>2.1931161324224901</v>
      </c>
    </row>
    <row r="139" spans="1:12">
      <c r="A139" s="9">
        <v>500</v>
      </c>
      <c r="B139" s="5">
        <v>200</v>
      </c>
      <c r="C139" s="3">
        <f>1.7521282186022-1.61586967945349</f>
        <v>0.13625853914871011</v>
      </c>
      <c r="D139" s="5">
        <v>0</v>
      </c>
      <c r="E139" s="3">
        <f>1.61586967945349- 1.5973725696269</f>
        <v>1.8497109826589808E-2</v>
      </c>
      <c r="F139" s="3">
        <f>1.5973725696269-1.39314240672622</f>
        <v>0.20423016290068019</v>
      </c>
      <c r="G139" s="3">
        <f>1.39314240672622- 1.36565948502364</f>
        <v>2.7482921702579821E-2</v>
      </c>
      <c r="H139" s="3">
        <f>1.36565948502364-1.03394640042038</f>
        <v>0.3317130846032601</v>
      </c>
      <c r="I139" s="3">
        <v>1.03394640042038</v>
      </c>
      <c r="J139">
        <v>100000</v>
      </c>
      <c r="K139" s="33" t="str">
        <f t="shared" si="0"/>
        <v>100000-500-200</v>
      </c>
      <c r="L139" s="3">
        <v>1.7521282186022</v>
      </c>
    </row>
    <row r="141" spans="1:12">
      <c r="A141" t="s">
        <v>109</v>
      </c>
    </row>
    <row r="142" spans="1:12">
      <c r="A142" t="s">
        <v>110</v>
      </c>
    </row>
    <row r="143" spans="1:12">
      <c r="A143" s="37" t="s">
        <v>111</v>
      </c>
    </row>
    <row r="144" spans="1:12">
      <c r="A144" s="37" t="s">
        <v>112</v>
      </c>
    </row>
    <row r="145" spans="1:1">
      <c r="A145" s="39" t="s">
        <v>113</v>
      </c>
    </row>
    <row r="146" spans="1:1">
      <c r="A146" s="37" t="s">
        <v>114</v>
      </c>
    </row>
    <row r="147" spans="1:1">
      <c r="A147" s="37" t="s">
        <v>115</v>
      </c>
    </row>
    <row r="148" spans="1:1">
      <c r="A148" s="37" t="s">
        <v>116</v>
      </c>
    </row>
    <row r="149" spans="1:1">
      <c r="A149" s="38" t="s">
        <v>117</v>
      </c>
    </row>
    <row r="150" spans="1:1">
      <c r="A150" s="30" t="s">
        <v>118</v>
      </c>
    </row>
    <row r="151" spans="1:1">
      <c r="A151" s="30" t="s">
        <v>119</v>
      </c>
    </row>
    <row r="152" spans="1:1">
      <c r="A152" s="30" t="s">
        <v>120</v>
      </c>
    </row>
    <row r="153" spans="1:1">
      <c r="A153" s="30" t="s">
        <v>121</v>
      </c>
    </row>
    <row r="154" spans="1:1">
      <c r="A154" s="32" t="s">
        <v>122</v>
      </c>
    </row>
    <row r="155" spans="1:1">
      <c r="A155" s="30" t="s">
        <v>123</v>
      </c>
    </row>
    <row r="156" spans="1:1">
      <c r="A156" s="30" t="s">
        <v>124</v>
      </c>
    </row>
    <row r="157" spans="1:1">
      <c r="A157" s="30" t="s">
        <v>125</v>
      </c>
    </row>
    <row r="158" spans="1:1">
      <c r="A158" s="38" t="s">
        <v>126</v>
      </c>
    </row>
    <row r="159" spans="1:1">
      <c r="A159" s="30" t="s">
        <v>127</v>
      </c>
    </row>
    <row r="160" spans="1:1">
      <c r="A160" s="30" t="s">
        <v>128</v>
      </c>
    </row>
    <row r="161" spans="1:1">
      <c r="A161" s="34" t="s">
        <v>129</v>
      </c>
    </row>
    <row r="162" spans="1:1">
      <c r="A162" s="30" t="s">
        <v>130</v>
      </c>
    </row>
    <row r="163" spans="1:1">
      <c r="A163" s="30" t="s">
        <v>131</v>
      </c>
    </row>
    <row r="164" spans="1:1">
      <c r="A164" s="30" t="s">
        <v>132</v>
      </c>
    </row>
    <row r="165" spans="1:1">
      <c r="A165" s="38" t="s">
        <v>133</v>
      </c>
    </row>
    <row r="166" spans="1:1">
      <c r="A166" s="30" t="s">
        <v>134</v>
      </c>
    </row>
    <row r="167" spans="1:1">
      <c r="A167" s="30" t="s">
        <v>135</v>
      </c>
    </row>
    <row r="168" spans="1:1">
      <c r="A168" s="30" t="s">
        <v>136</v>
      </c>
    </row>
    <row r="169" spans="1:1">
      <c r="A169" s="38" t="s">
        <v>137</v>
      </c>
    </row>
    <row r="170" spans="1:1">
      <c r="A170" s="30" t="s">
        <v>138</v>
      </c>
    </row>
    <row r="171" spans="1:1">
      <c r="A171" s="30" t="s">
        <v>139</v>
      </c>
    </row>
    <row r="172" spans="1:1">
      <c r="A172" s="36" t="s">
        <v>140</v>
      </c>
    </row>
    <row r="173" spans="1:1">
      <c r="A173" s="30" t="s">
        <v>141</v>
      </c>
    </row>
    <row r="174" spans="1:1">
      <c r="A174" s="30" t="s">
        <v>142</v>
      </c>
    </row>
    <row r="175" spans="1:1">
      <c r="A175" s="30" t="s">
        <v>143</v>
      </c>
    </row>
    <row r="176" spans="1:1">
      <c r="A176" s="35" t="s">
        <v>144</v>
      </c>
    </row>
    <row r="177" spans="1:1">
      <c r="A177" s="30" t="s">
        <v>145</v>
      </c>
    </row>
    <row r="178" spans="1:1">
      <c r="A178" s="30" t="s">
        <v>146</v>
      </c>
    </row>
    <row r="179" spans="1:1">
      <c r="A179" s="30" t="s">
        <v>147</v>
      </c>
    </row>
    <row r="180" spans="1:1">
      <c r="A180" s="30" t="s">
        <v>148</v>
      </c>
    </row>
    <row r="181" spans="1:1">
      <c r="A181" s="30" t="s">
        <v>149</v>
      </c>
    </row>
    <row r="182" spans="1:1">
      <c r="A182" s="39" t="s">
        <v>150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BB4B-8D0F-4030-9F33-766F94B8ECF6}">
  <dimension ref="A1:CD105"/>
  <sheetViews>
    <sheetView tabSelected="1" topLeftCell="D78" workbookViewId="0">
      <selection activeCell="BV85" sqref="BV85"/>
    </sheetView>
  </sheetViews>
  <sheetFormatPr defaultRowHeight="15"/>
  <cols>
    <col min="1" max="2" width="36.5703125" bestFit="1" customWidth="1"/>
    <col min="3" max="3" width="32.85546875" customWidth="1"/>
    <col min="4" max="5" width="21" customWidth="1"/>
    <col min="6" max="6" width="36.5703125" bestFit="1" customWidth="1"/>
    <col min="7" max="7" width="35.5703125" bestFit="1" customWidth="1"/>
    <col min="8" max="9" width="36.5703125" bestFit="1" customWidth="1"/>
    <col min="10" max="10" width="19.7109375" bestFit="1" customWidth="1"/>
    <col min="11" max="11" width="22.28515625" bestFit="1" customWidth="1"/>
    <col min="12" max="12" width="24.42578125" bestFit="1" customWidth="1"/>
    <col min="13" max="13" width="24.5703125" bestFit="1" customWidth="1"/>
    <col min="14" max="14" width="22" bestFit="1" customWidth="1"/>
    <col min="15" max="15" width="36.5703125" bestFit="1" customWidth="1"/>
    <col min="16" max="16" width="30.85546875" bestFit="1" customWidth="1"/>
    <col min="17" max="17" width="15.42578125" bestFit="1" customWidth="1"/>
    <col min="18" max="18" width="17.5703125" bestFit="1" customWidth="1"/>
    <col min="19" max="19" width="18.7109375" bestFit="1" customWidth="1"/>
    <col min="20" max="20" width="15.5703125" customWidth="1"/>
    <col min="21" max="21" width="13.7109375" bestFit="1" customWidth="1"/>
    <col min="22" max="22" width="36.5703125" bestFit="1" customWidth="1"/>
    <col min="23" max="23" width="22.42578125" bestFit="1" customWidth="1"/>
    <col min="24" max="24" width="28.7109375" bestFit="1" customWidth="1"/>
    <col min="25" max="25" width="14.42578125" bestFit="1" customWidth="1"/>
    <col min="26" max="26" width="36.5703125" bestFit="1" customWidth="1"/>
    <col min="27" max="74" width="36.5703125" customWidth="1"/>
    <col min="75" max="75" width="29.28515625" bestFit="1" customWidth="1"/>
    <col min="76" max="77" width="28.140625" customWidth="1"/>
    <col min="78" max="78" width="34.7109375" bestFit="1" customWidth="1"/>
    <col min="79" max="79" width="12.28515625" bestFit="1" customWidth="1"/>
    <col min="80" max="82" width="36.5703125" bestFit="1" customWidth="1"/>
    <col min="83" max="83" width="23.85546875" bestFit="1" customWidth="1"/>
    <col min="85" max="85" width="9.7109375" bestFit="1" customWidth="1"/>
  </cols>
  <sheetData>
    <row r="1" spans="1:2">
      <c r="A1" t="s">
        <v>151</v>
      </c>
    </row>
    <row r="2" spans="1:2">
      <c r="A2" t="s">
        <v>152</v>
      </c>
      <c r="B2">
        <v>30000</v>
      </c>
    </row>
    <row r="3" spans="1:2">
      <c r="A3" t="s">
        <v>153</v>
      </c>
      <c r="B3">
        <v>100</v>
      </c>
    </row>
    <row r="4" spans="1:2">
      <c r="A4" t="s">
        <v>154</v>
      </c>
      <c r="B4">
        <v>150</v>
      </c>
    </row>
    <row r="7" spans="1:2">
      <c r="A7" t="s">
        <v>11</v>
      </c>
      <c r="B7" t="str">
        <f>B2 &amp; "-" &amp; B3 &amp; "-" &amp; B4</f>
        <v>30000-100-150</v>
      </c>
    </row>
    <row r="8" spans="1:2" ht="14.25" customHeight="1">
      <c r="A8" t="s">
        <v>8</v>
      </c>
      <c r="B8">
        <f>_xlfn.XLOOKUP(B7,'Raw Data'!K60:K71, 'Raw Data'!I60:I71, "Not Found")</f>
        <v>0.60283687943262299</v>
      </c>
    </row>
    <row r="9" spans="1:2">
      <c r="A9" t="s">
        <v>155</v>
      </c>
      <c r="B9">
        <f>_xlfn.XLOOKUP(B7,'Raw Data'!K60:K71, 'Raw Data'!H60:H71, "Not Found")</f>
        <v>0.19858156028368801</v>
      </c>
    </row>
    <row r="10" spans="1:2">
      <c r="A10" t="s">
        <v>156</v>
      </c>
      <c r="B10">
        <f>_xlfn.XLOOKUP(B7,'Raw Data'!K60:K71, 'Raw Data'!F60:F71, "Not Found")</f>
        <v>0.21276595744680804</v>
      </c>
    </row>
    <row r="11" spans="1:2">
      <c r="A11" t="s">
        <v>157</v>
      </c>
      <c r="B11">
        <f>_xlfn.XLOOKUP(B7,'Raw Data'!K60:K71, 'Raw Data'!D60:D71, "Not Found")</f>
        <v>0</v>
      </c>
    </row>
    <row r="12" spans="1:2">
      <c r="A12" t="s">
        <v>158</v>
      </c>
      <c r="B12">
        <f>_xlfn.XLOOKUP(B7,'Raw Data'!K60:K71, 'Raw Data'!C60:C71, "Not Found")</f>
        <v>0</v>
      </c>
    </row>
    <row r="13" spans="1:2">
      <c r="A13" t="s">
        <v>159</v>
      </c>
      <c r="B13">
        <f>_xlfn.XLOOKUP(B7,'Raw Data'!K60:K71, 'Raw Data'!E60:E71, "Not Found")</f>
        <v>0</v>
      </c>
    </row>
    <row r="14" spans="1:2">
      <c r="A14" t="s">
        <v>160</v>
      </c>
      <c r="B14">
        <f>_xlfn.XLOOKUP(B7,'Raw Data'!K60:K71, 'Raw Data'!J60:J71, "Not Found")</f>
        <v>1.0283687943262401</v>
      </c>
    </row>
    <row r="15" spans="1:2">
      <c r="A15" t="s">
        <v>161</v>
      </c>
      <c r="B15">
        <f>SUM(B8:B13)</f>
        <v>1.014184397163119</v>
      </c>
    </row>
    <row r="20" spans="1:2">
      <c r="A20" t="s">
        <v>151</v>
      </c>
    </row>
    <row r="21" spans="1:2">
      <c r="A21" t="s">
        <v>152</v>
      </c>
      <c r="B21">
        <v>10000</v>
      </c>
    </row>
    <row r="22" spans="1:2">
      <c r="A22" t="s">
        <v>153</v>
      </c>
      <c r="B22">
        <v>250</v>
      </c>
    </row>
    <row r="23" spans="1:2">
      <c r="A23" t="s">
        <v>154</v>
      </c>
      <c r="B23">
        <v>150</v>
      </c>
    </row>
    <row r="26" spans="1:2">
      <c r="A26" t="s">
        <v>11</v>
      </c>
      <c r="B26" t="str">
        <f>B21 &amp; "-" &amp; B22 &amp; "-" &amp; B23</f>
        <v>10000-250-150</v>
      </c>
    </row>
    <row r="27" spans="1:2">
      <c r="A27" t="s">
        <v>8</v>
      </c>
      <c r="B27">
        <f>_xlfn.XLOOKUP(B26,'Raw Data'!K3:K14, 'Raw Data'!H3:H14, "Not Found")</f>
        <v>4.3821656050955404</v>
      </c>
    </row>
    <row r="28" spans="1:2">
      <c r="A28" t="s">
        <v>155</v>
      </c>
      <c r="B28">
        <f>_xlfn.XLOOKUP(B26,'Raw Data'!K3:K15, 'Raw Data'!G3:G15, "Not Found")</f>
        <v>1.4522292993630597</v>
      </c>
    </row>
    <row r="29" spans="1:2">
      <c r="A29" t="s">
        <v>156</v>
      </c>
      <c r="B29">
        <f>_xlfn.XLOOKUP(B26,'Raw Data'!K3:K15, 'Raw Data'!F3:F15, "Not Found")</f>
        <v>0.25477707006368977</v>
      </c>
    </row>
    <row r="30" spans="1:2">
      <c r="A30" t="s">
        <v>157</v>
      </c>
      <c r="B30">
        <f>_xlfn.XLOOKUP(B26,'Raw Data'!K3:K15, 'Raw Data'!D3:D15, "Not Found")</f>
        <v>0</v>
      </c>
    </row>
    <row r="31" spans="1:2">
      <c r="A31" t="s">
        <v>158</v>
      </c>
      <c r="B31">
        <f>_xlfn.XLOOKUP(B26,'Raw Data'!K3:K15, 'Raw Data'!E3:E15, "Not Found")</f>
        <v>0</v>
      </c>
    </row>
    <row r="32" spans="1:2">
      <c r="A32" t="s">
        <v>159</v>
      </c>
      <c r="B32">
        <f>_xlfn.XLOOKUP(B26,'Raw Data'!K3:K15, 'Raw Data'!J3:J15, "Not Found")</f>
        <v>0</v>
      </c>
    </row>
    <row r="33" spans="1:2">
      <c r="A33" t="s">
        <v>160</v>
      </c>
      <c r="B33">
        <f>_xlfn.XLOOKUP(B26,'Raw Data'!K3:K15, 'Raw Data'!I3:I15, "Not Found")</f>
        <v>6.0891719745222899</v>
      </c>
    </row>
    <row r="34" spans="1:2">
      <c r="A34" t="s">
        <v>161</v>
      </c>
      <c r="B34">
        <f>SUM(B27:B32)</f>
        <v>6.0891719745222899</v>
      </c>
    </row>
    <row r="37" spans="1:2">
      <c r="A37" t="s">
        <v>151</v>
      </c>
    </row>
    <row r="38" spans="1:2">
      <c r="A38" t="s">
        <v>152</v>
      </c>
      <c r="B38">
        <v>100000</v>
      </c>
    </row>
    <row r="39" spans="1:2">
      <c r="A39" t="s">
        <v>153</v>
      </c>
      <c r="B39">
        <v>250</v>
      </c>
    </row>
    <row r="40" spans="1:2">
      <c r="A40" t="s">
        <v>154</v>
      </c>
      <c r="B40">
        <v>150</v>
      </c>
    </row>
    <row r="42" spans="1:2">
      <c r="A42" t="s">
        <v>11</v>
      </c>
      <c r="B42" t="str">
        <f>B38 &amp; "-" &amp; B39 &amp; "-" &amp; B40</f>
        <v>100000-250-150</v>
      </c>
    </row>
    <row r="43" spans="1:2">
      <c r="A43" t="s">
        <v>8</v>
      </c>
      <c r="B43">
        <f>_xlfn.XLOOKUP(B42,'Raw Data'!K132:K139, 'Raw Data'!I132:I139, "Not Found")</f>
        <v>0.466263794009458</v>
      </c>
    </row>
    <row r="44" spans="1:2">
      <c r="A44" t="s">
        <v>155</v>
      </c>
      <c r="B44">
        <f>_xlfn.XLOOKUP(B42,'Raw Data'!K132:K139, 'Raw Data'!H132:H139, "Not Found")</f>
        <v>0.14096163951655299</v>
      </c>
    </row>
    <row r="45" spans="1:2">
      <c r="A45" t="s">
        <v>162</v>
      </c>
      <c r="B45">
        <f>_xlfn.XLOOKUP(B42,'Raw Data'!K132:K139, 'Raw Data'!G132:G139, "Not Found")</f>
        <v>2.235943247504002E-2</v>
      </c>
    </row>
    <row r="46" spans="1:2">
      <c r="A46" t="s">
        <v>163</v>
      </c>
      <c r="B46">
        <f>_xlfn.XLOOKUP(B42,'Raw Data'!K132:K139, 'Raw Data'!F132:F139, "Not Found")</f>
        <v>0.20909090909090799</v>
      </c>
    </row>
    <row r="47" spans="1:2">
      <c r="A47" t="s">
        <v>164</v>
      </c>
      <c r="B47">
        <f>_xlfn.XLOOKUP(B42,'Raw Data'!K132:K139, 'Raw Data'!E132:E139, "Not Found")</f>
        <v>5.4440357330530986E-2</v>
      </c>
    </row>
    <row r="48" spans="1:2">
      <c r="A48" t="s">
        <v>165</v>
      </c>
      <c r="B48">
        <f>_xlfn.XLOOKUP(B42,'Raw Data'!K132:K139, 'Raw Data'!D132:D139, "Not Found")</f>
        <v>0</v>
      </c>
    </row>
    <row r="49" spans="1:75">
      <c r="A49" t="s">
        <v>166</v>
      </c>
      <c r="B49">
        <f>_xlfn.XLOOKUP(B42,'Raw Data'!K132:K139, 'Raw Data'!C132:C139, "Not Found")</f>
        <v>0.33171308460325</v>
      </c>
    </row>
    <row r="50" spans="1:75">
      <c r="A50" t="s">
        <v>160</v>
      </c>
      <c r="B50" s="3">
        <f>_xlfn.XLOOKUP(B42,'Raw Data'!K132:K139, 'Raw Data'!L132:L139, "Not Found")</f>
        <v>1.22482921702574</v>
      </c>
      <c r="C50" s="3"/>
      <c r="D50" s="3"/>
      <c r="E50" s="3"/>
    </row>
    <row r="51" spans="1:75">
      <c r="A51" t="s">
        <v>161</v>
      </c>
      <c r="B51">
        <f>SUM(B43:B49)</f>
        <v>1.22482921702574</v>
      </c>
    </row>
    <row r="52" spans="1:75" ht="29.25">
      <c r="AT52" s="84" t="s">
        <v>167</v>
      </c>
    </row>
    <row r="55" spans="1:75" ht="43.5">
      <c r="W55" s="30" t="s">
        <v>168</v>
      </c>
      <c r="AC55" s="21" t="s">
        <v>169</v>
      </c>
      <c r="AM55" s="86" t="s">
        <v>170</v>
      </c>
      <c r="AN55" s="74" t="s">
        <v>171</v>
      </c>
      <c r="AO55" s="54"/>
      <c r="AP55" s="55" t="s">
        <v>172</v>
      </c>
      <c r="AQ55" s="75"/>
      <c r="AR55" s="75"/>
      <c r="AS55" s="75"/>
      <c r="AU55" s="84" t="s">
        <v>173</v>
      </c>
      <c r="AV55" s="33" t="s">
        <v>174</v>
      </c>
      <c r="AW55" s="54"/>
      <c r="AX55" s="54"/>
      <c r="AY55" s="54"/>
      <c r="AZ55" s="3" t="s">
        <v>175</v>
      </c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</row>
    <row r="56" spans="1:75">
      <c r="AZ56" t="s">
        <v>176</v>
      </c>
    </row>
    <row r="57" spans="1:75">
      <c r="T57" s="43" t="s">
        <v>177</v>
      </c>
    </row>
    <row r="58" spans="1:75" ht="43.5">
      <c r="A58" s="33" t="s">
        <v>178</v>
      </c>
      <c r="B58" s="47" t="s">
        <v>179</v>
      </c>
      <c r="C58" s="33" t="s">
        <v>180</v>
      </c>
      <c r="D58" s="56" t="s">
        <v>181</v>
      </c>
      <c r="E58" s="46" t="s">
        <v>182</v>
      </c>
      <c r="F58" s="48" t="s">
        <v>183</v>
      </c>
      <c r="G58" s="48" t="s">
        <v>184</v>
      </c>
      <c r="H58" s="46" t="s">
        <v>185</v>
      </c>
      <c r="I58" s="46" t="s">
        <v>186</v>
      </c>
      <c r="J58" s="46" t="s">
        <v>187</v>
      </c>
      <c r="K58" s="46" t="s">
        <v>188</v>
      </c>
      <c r="L58" s="46" t="s">
        <v>189</v>
      </c>
      <c r="M58" s="46" t="s">
        <v>190</v>
      </c>
      <c r="N58" s="46" t="s">
        <v>191</v>
      </c>
      <c r="O58" t="s">
        <v>192</v>
      </c>
      <c r="P58" t="s">
        <v>193</v>
      </c>
      <c r="Q58" t="s">
        <v>194</v>
      </c>
      <c r="R58" t="s">
        <v>195</v>
      </c>
      <c r="S58" s="42" t="s">
        <v>196</v>
      </c>
      <c r="T58" s="33" t="s">
        <v>197</v>
      </c>
      <c r="U58" t="s">
        <v>198</v>
      </c>
      <c r="V58" t="s">
        <v>199</v>
      </c>
      <c r="W58" t="s">
        <v>200</v>
      </c>
      <c r="X58" t="s">
        <v>201</v>
      </c>
      <c r="Y58" s="61" t="s">
        <v>202</v>
      </c>
      <c r="Z58" s="33" t="s">
        <v>203</v>
      </c>
      <c r="AA58" s="33" t="s">
        <v>204</v>
      </c>
      <c r="AB58" s="42" t="s">
        <v>205</v>
      </c>
      <c r="AC58" s="3" t="s">
        <v>206</v>
      </c>
      <c r="AD58" s="3" t="s">
        <v>207</v>
      </c>
      <c r="AE58" s="3" t="s">
        <v>208</v>
      </c>
      <c r="AF58" s="3" t="s">
        <v>209</v>
      </c>
      <c r="AG58" s="3" t="s">
        <v>210</v>
      </c>
      <c r="AH58" s="3" t="s">
        <v>211</v>
      </c>
      <c r="AI58" s="66" t="s">
        <v>212</v>
      </c>
      <c r="AJ58" s="4" t="s">
        <v>213</v>
      </c>
      <c r="AK58" s="66" t="s">
        <v>214</v>
      </c>
      <c r="AL58" s="67" t="s">
        <v>215</v>
      </c>
      <c r="AM58" s="85" t="s">
        <v>216</v>
      </c>
      <c r="AN58" s="85" t="s">
        <v>217</v>
      </c>
      <c r="AO58" s="85" t="s">
        <v>218</v>
      </c>
      <c r="AP58" s="90" t="s">
        <v>219</v>
      </c>
      <c r="AQ58" s="90" t="s">
        <v>220</v>
      </c>
      <c r="AR58" s="90" t="s">
        <v>221</v>
      </c>
      <c r="AS58" s="90" t="s">
        <v>222</v>
      </c>
      <c r="AT58" s="91" t="s">
        <v>223</v>
      </c>
      <c r="AU58" s="92" t="s">
        <v>224</v>
      </c>
      <c r="AV58" s="90" t="s">
        <v>225</v>
      </c>
      <c r="AW58" s="43" t="s">
        <v>226</v>
      </c>
      <c r="AX58" s="90" t="s">
        <v>227</v>
      </c>
      <c r="AY58" s="93" t="s">
        <v>228</v>
      </c>
      <c r="AZ58" s="85" t="s">
        <v>229</v>
      </c>
      <c r="BA58" s="88" t="s">
        <v>230</v>
      </c>
      <c r="BB58" s="85" t="s">
        <v>231</v>
      </c>
      <c r="BC58" s="85" t="s">
        <v>232</v>
      </c>
      <c r="BD58" s="88" t="s">
        <v>233</v>
      </c>
      <c r="BE58" s="88" t="s">
        <v>234</v>
      </c>
      <c r="BF58" s="88" t="s">
        <v>235</v>
      </c>
      <c r="BG58" s="88" t="s">
        <v>236</v>
      </c>
      <c r="BH58" s="88" t="s">
        <v>237</v>
      </c>
      <c r="BI58" s="97" t="s">
        <v>238</v>
      </c>
      <c r="BJ58" s="97" t="s">
        <v>239</v>
      </c>
      <c r="BK58" s="106" t="s">
        <v>240</v>
      </c>
      <c r="BL58" s="101" t="s">
        <v>241</v>
      </c>
      <c r="BM58" s="101" t="s">
        <v>242</v>
      </c>
      <c r="BN58" s="101" t="s">
        <v>243</v>
      </c>
      <c r="BO58" s="101" t="s">
        <v>244</v>
      </c>
      <c r="BP58" s="101" t="s">
        <v>245</v>
      </c>
      <c r="BQ58" s="101" t="s">
        <v>246</v>
      </c>
      <c r="BR58" s="102" t="s">
        <v>247</v>
      </c>
      <c r="BS58" s="103" t="s">
        <v>248</v>
      </c>
      <c r="BT58" s="102" t="s">
        <v>249</v>
      </c>
      <c r="BU58" s="104" t="s">
        <v>250</v>
      </c>
      <c r="BV58" s="105" t="s">
        <v>251</v>
      </c>
      <c r="BW58" t="s">
        <v>252</v>
      </c>
    </row>
    <row r="59" spans="1:75">
      <c r="A59">
        <f>100</f>
        <v>100</v>
      </c>
      <c r="B59">
        <v>10000</v>
      </c>
      <c r="C59">
        <f>Table5[[#This Row],[Total Installation Costs{TIC}(€)]]+Table5[[#This Row],[Indirect Costs{Id}]]</f>
        <v>15062250</v>
      </c>
      <c r="D59">
        <f>F59*G59*1000</f>
        <v>10758750</v>
      </c>
      <c r="E59">
        <f>0.4*D59</f>
        <v>4303500</v>
      </c>
      <c r="F59" s="3">
        <v>430.35</v>
      </c>
      <c r="G59">
        <f>25</f>
        <v>25</v>
      </c>
      <c r="H59">
        <f>I59+J59</f>
        <v>126324.35529076001</v>
      </c>
      <c r="I59">
        <f>K59*L59</f>
        <v>84216.236860506673</v>
      </c>
      <c r="J59">
        <f>0.5*I59</f>
        <v>42108.118430253337</v>
      </c>
      <c r="K59">
        <f>POWER(B59/100000,0.25)*8320</f>
        <v>4678.6798255837039</v>
      </c>
      <c r="L59">
        <v>18</v>
      </c>
      <c r="M59">
        <f>0.026*C59</f>
        <v>391618.5</v>
      </c>
      <c r="N59">
        <f>H59+M59</f>
        <v>517942.85529076</v>
      </c>
      <c r="O59">
        <f>((1.08^50)*0.08)/((1.08^50)-1)</f>
        <v>8.174285816161557E-2</v>
      </c>
      <c r="P59">
        <v>0.9</v>
      </c>
      <c r="Q59">
        <f>(C59*O59)/(P59*B59*365)</f>
        <v>0.37480406859811083</v>
      </c>
      <c r="R59">
        <f t="shared" ref="R59:R90" si="0">N59/(P59*B59*365)</f>
        <v>0.15766905792717198</v>
      </c>
      <c r="S59">
        <f>Q59+R59</f>
        <v>0.53247312652528278</v>
      </c>
      <c r="T59" s="64">
        <v>2</v>
      </c>
      <c r="U59" s="64">
        <v>381.35408266399998</v>
      </c>
      <c r="V59" s="65">
        <f>Table5[[#This Row],[Daily Hydrogen Demand{mH2}(kg/day)]]/(0.002*24*60*60)</f>
        <v>57.870370370370374</v>
      </c>
      <c r="W59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59" s="64">
        <f>(Table5[[#This Row],[Compressor Power{P}]]/(0.95*1000))</f>
        <v>129.72704363974094</v>
      </c>
      <c r="Y59" s="64">
        <f>2655.97*POWER(Table5[[#This Row],[Rated compressor power{Pc}]],0.8335)*2</f>
        <v>306523.72890720674</v>
      </c>
      <c r="Z59" s="64">
        <f>0.4*Table5[[#This Row],[Total Installation cost for pipeline compressor {TIC}]]</f>
        <v>122609.4915628827</v>
      </c>
      <c r="AA59" s="64">
        <f>Table5[[#This Row],[Indirect costs associated with installation{Id}]]+Table5[[#This Row],[Total Installation cost for pipeline compressor {TIC}]]</f>
        <v>429133.22047008947</v>
      </c>
      <c r="AB59" s="64">
        <f>(Table5[[#This Row],[Investment cost for inlet compressor(Invest)]]*0.1668295449)/(0.9*Table5[[#This Row],[Daily Hydrogen Demand{mH2}(kg/day)]]*365)</f>
        <v>2.1793637708522492E-2</v>
      </c>
      <c r="AC59" s="64">
        <f>Table5[[#This Row],[No of annual hours{Ann}4]]*Table5[[#This Row],[Hourly salary {S}(€/h)5]]</f>
        <v>2915.1774297867696</v>
      </c>
      <c r="AD59" s="64">
        <f>0.5*Table5[[#This Row],[Direct labor costs{dL}2]]</f>
        <v>1457.5887148933848</v>
      </c>
      <c r="AE59" s="64">
        <f>POWER(Table5[[#This Row],[Daily Hydrogen Demand{mH2}(kg/day)]]/100000,0.25)*288</f>
        <v>161.95430165482054</v>
      </c>
      <c r="AF59" s="64">
        <v>18</v>
      </c>
      <c r="AG59" s="65">
        <f>(0.021*Table5[[#This Row],[Investment cost for inlet compressor(Invest)]])+(0.04*Table5[[#This Row],[Total Installation cost for pipeline compressor {TIC}]])</f>
        <v>21272.746786160147</v>
      </c>
      <c r="AH59" s="64">
        <f>Table5[[#This Row],[O&amp;Mc]]+Table5[[#This Row],[Indirect labor costs{Idl}3]]+Table5[[#This Row],[Direct labor costs{dL}2]]</f>
        <v>25645.512930840301</v>
      </c>
      <c r="AI59" s="64">
        <f>(Table5[[#This Row],[Non energy cost for compressor(NE)]])/(0.9*Table5[[#This Row],[Daily Hydrogen Demand{mH2}(kg/day)]]*365)</f>
        <v>7.8068532513973516E-3</v>
      </c>
      <c r="AJ59" s="64">
        <f>Table5[[#This Row],[Rated compressor power{Pc}]] * 0.306 * 24 * 365</f>
        <v>347741.12409894395</v>
      </c>
      <c r="AK59" s="64">
        <f>(Table5[[#This Row],[Annual energy cost for compression(Ec)(€)]])/(0.9*Table5[[#This Row],[Daily Hydrogen Demand{mH2}(kg/day)]]*365*1000)</f>
        <v>1.0585726761002861E-4</v>
      </c>
      <c r="AL59" s="64">
        <f>Table5[[#This Row],[LCOHT,E]]+Table5[[#This Row],[LCOHT,NE]]+Table5[[#This Row],[LCOHT,invest,(for inlet compressor)]]</f>
        <v>2.970634822752987E-2</v>
      </c>
      <c r="AM59" s="64">
        <v>2</v>
      </c>
      <c r="AN59" s="64">
        <v>345.36764970000002</v>
      </c>
      <c r="AO59" s="64">
        <f>Table5[[#This Row],[Daily Hydrogen Demand{mH2}(kg/day)]]/(0.002*24*60*60)</f>
        <v>57.870370370370374</v>
      </c>
      <c r="AP59" s="94">
        <f>Table5[[#This Row],[Daily Hydrogen Demand{mH2}(kg/day)]]/0.0849318059972404</f>
        <v>117741.52077167557</v>
      </c>
      <c r="AQ59" s="95">
        <f>Table5[[#This Row],[Mass flow rate{Qb} (m3/day)]] * (20 / 1.01) *(288.15 / 288)</f>
        <v>2332729.5936715011</v>
      </c>
      <c r="AR59" s="95">
        <f>Table5[[#This Row],[Mass flow rate(Sm3/day)]]*0.0834</f>
        <v>194549.6481122032</v>
      </c>
      <c r="AS59" s="95">
        <f>Table5[[#This Row],[Capacity,pipe2]]/(0.002*24*60*60)</f>
        <v>1125.8660191678428</v>
      </c>
      <c r="AT59" s="95">
        <f>(14.737*1.01*1.0006043620884*288*Table5[[#This Row],[Mass flow rate(Sm3/day)]])/(288.15*70*Table5[[#This Row],[Diameter of pipeline(mm)]]*Table5[[#This Row],[Diameter of pipeline(mm)]]*0.001*0.001*24*60*60)</f>
        <v>574.14201540822194</v>
      </c>
      <c r="AU59" s="96">
        <f t="shared" ref="AU59:AU90" si="1">8.76730507414507 * POWER(10,-6) * 4.58</f>
        <v>4.015425723958442E-5</v>
      </c>
      <c r="AV59" s="94">
        <f>(4.58*Table5[[#This Row],[Velocity of hydrogen{v}(m/sec)]]*Table5[[#This Row],[Diameter of pipeline(mm)]]*0.001)/Table5[[#This Row],[μ]]</f>
        <v>6548671.5764160687</v>
      </c>
      <c r="AW59" s="1">
        <v>9.4000000000000004E-3</v>
      </c>
      <c r="AX59" s="95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1773.9525683315258</v>
      </c>
      <c r="AY59" s="94">
        <f>70-Table5[[#This Row],[Pressure drop (Δp) (bar)]]</f>
        <v>-1703.9525683315258</v>
      </c>
      <c r="AZ59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59" s="64">
        <f>Table5[[#This Row],[Compressor Power]]/(0.95*1000)</f>
        <v>2433.5078548251226</v>
      </c>
      <c r="BB59" s="64">
        <v>25</v>
      </c>
      <c r="BC59" s="65">
        <v>2</v>
      </c>
      <c r="BD59" s="64">
        <f>Table5[[#This Row],[Rated compressor power for single station]]*Table5[[#This Row],[No of enroute compressor stations]]</f>
        <v>4867.0157096502453</v>
      </c>
      <c r="BE59" s="64">
        <f>Table5[[#This Row],[Rated compressor power for single station]]/16000</f>
        <v>0.15209424092657017</v>
      </c>
      <c r="BF59" s="89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59" s="89">
        <f>Table5[[#This Row],[UC for single enroute station]]*2</f>
        <v>23156.642900224531</v>
      </c>
      <c r="BH59" s="89">
        <f>Table5[[#This Row],[TIC for single enroute station]]*Table5[[#This Row],[No of compressors at single enroute station]]</f>
        <v>3521.9920243173005</v>
      </c>
      <c r="BI59" s="98">
        <f>0.4*Table5[[#This Row],[TIC for all enroute stations]]</f>
        <v>1408.7968097269204</v>
      </c>
      <c r="BJ59" s="99">
        <f>Table5[[#This Row],[TIC for all enroute stations]]+Table5[[#This Row],[Indirect costs for all enroute stations]]</f>
        <v>4930.7888340442205</v>
      </c>
      <c r="BK59" s="99">
        <f>(Table5[[#This Row],[Investment cost for all enroute stations]]*0.1668295449)/(0.9*365*Table5[[#This Row],[Daily Hydrogen Demand{mH2}(kg/day)]])</f>
        <v>2.5041134160779264E-4</v>
      </c>
      <c r="BL59" s="99">
        <f>Table5[[#This Row],[No of enroute compressor stations]]*Table5[[#This Row],[No of annual hours{Ann}44]]*Table5[[#This Row],[Hourly salary {S}(€/h)55]]</f>
        <v>5830.3548595735392</v>
      </c>
      <c r="BM59" s="99">
        <f>0.5*Table5[[#This Row],[Direct labor costs{dL}22]]</f>
        <v>2915.1774297867696</v>
      </c>
      <c r="BN59" s="64">
        <f>POWER(Table5[[#This Row],[Daily Hydrogen Demand{mH2}(kg/day)]]/100000,0.25)*288</f>
        <v>161.95430165482054</v>
      </c>
      <c r="BO59" s="64">
        <v>18</v>
      </c>
      <c r="BP59" s="99">
        <f>(0.021*Table5[[#This Row],[Investment cost for all enroute stations]])+(0.04*Table5[[#This Row],[TIC for all enroute stations]])</f>
        <v>244.42624648762066</v>
      </c>
      <c r="BQ59" s="99">
        <f>Table5[[#This Row],[Indirect labor costs{Idl}33]]+Table5[[#This Row],[Direct labor costs{dL}22]]+Table5[[#This Row],[O&amp;Mc6]]</f>
        <v>8989.9585358479289</v>
      </c>
      <c r="BR59" s="99">
        <f>Table5[[#This Row],[Non energy cost for compressor(NE)7]]/(0.9*365*Table5[[#This Row],[Daily Hydrogen Demand{mH2}(kg/day)]])</f>
        <v>2.7366692650983042E-3</v>
      </c>
      <c r="BS59" s="99">
        <f>Table5[[#This Row],[Total rated compressor power of all enroute stations(W)]]*0.306*24*365</f>
        <v>13046327.630660063</v>
      </c>
      <c r="BT59" s="99">
        <f>Table5[[#This Row],[Annual energy cost for compression for all enroute compressors(€/yr)]]/(0.9*365*Table5[[#This Row],[Daily Hydrogen Demand{mH2}(kg/day)]]*1000)</f>
        <v>3.9714848190746006E-3</v>
      </c>
      <c r="BU59" s="99">
        <f>Table5[[#This Row],[LCOHT,E10]]+Table5[[#This Row],[LCOHT,NE8]]+Table5[[#This Row],[LCOHT,invest for all enroute stations]]</f>
        <v>6.958565425780697E-3</v>
      </c>
      <c r="BV59" s="99">
        <f>Table5[[#This Row],[LOCHT,pipe,C2(of all enroute stations)]]+Table5[[#This Row],[LOCHT,pipe,C1(Inlet compressor)]]+Table5[[#This Row],[LCOHT,pipe(€/kg)]]</f>
        <v>0.56913804017859337</v>
      </c>
      <c r="BW59" s="111">
        <f>0.738853503184714-0.57</f>
        <v>0.16885350318471404</v>
      </c>
    </row>
    <row r="60" spans="1:75">
      <c r="A60">
        <f>150</f>
        <v>150</v>
      </c>
      <c r="B60">
        <v>10000</v>
      </c>
      <c r="C60">
        <f>Table5[[#This Row],[Total Installation Costs{TIC}(€)]]+Table5[[#This Row],[Indirect Costs{Id}]]</f>
        <v>17599400</v>
      </c>
      <c r="D60">
        <f t="shared" ref="D60:D90" si="2">F60*G60*1000</f>
        <v>12571000</v>
      </c>
      <c r="E60">
        <f>0.4*D60</f>
        <v>5028400</v>
      </c>
      <c r="F60" s="3">
        <v>502.84</v>
      </c>
      <c r="G60">
        <f>25</f>
        <v>25</v>
      </c>
      <c r="H60">
        <f t="shared" ref="H60:H61" si="3">I60+J60</f>
        <v>126324.35529076001</v>
      </c>
      <c r="I60">
        <f t="shared" ref="I60:I61" si="4">K60*L60</f>
        <v>84216.236860506673</v>
      </c>
      <c r="J60">
        <f t="shared" ref="J60:J61" si="5">0.5*I60</f>
        <v>42108.118430253337</v>
      </c>
      <c r="K60">
        <f t="shared" ref="K60:K61" si="6">POWER(B60/100000,0.25)*8320</f>
        <v>4678.6798255837039</v>
      </c>
      <c r="L60">
        <v>18</v>
      </c>
      <c r="M60">
        <f t="shared" ref="M60:M61" si="7">0.026*C60</f>
        <v>457584.39999999997</v>
      </c>
      <c r="N60">
        <f t="shared" ref="N60:N61" si="8">H60+M60</f>
        <v>583908.75529075996</v>
      </c>
      <c r="O60">
        <f t="shared" ref="O60:O61" si="9">((1.08^50)*0.08)/((1.08^50)-1)</f>
        <v>8.174285816161557E-2</v>
      </c>
      <c r="P60">
        <v>0.9</v>
      </c>
      <c r="Q60">
        <f t="shared" ref="Q59:Q90" si="10">(C60*O60)/(P60*B60*365)</f>
        <v>0.4379376736467388</v>
      </c>
      <c r="R60">
        <f t="shared" si="0"/>
        <v>0.17775000161058141</v>
      </c>
      <c r="S60">
        <f t="shared" ref="S60:S61" si="11">Q60+R60</f>
        <v>0.61568767525732015</v>
      </c>
      <c r="T60" s="64">
        <v>2</v>
      </c>
      <c r="U60" s="64">
        <v>381.35408266399998</v>
      </c>
      <c r="V60" s="64">
        <f>Table5[[#This Row],[Daily Hydrogen Demand{mH2}(kg/day)]]/(0.002*24*60*60)</f>
        <v>57.870370370370374</v>
      </c>
      <c r="W60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60" s="64">
        <f>(Table5[[#This Row],[Compressor Power{P}]]/(0.95*1000))</f>
        <v>129.72704363974094</v>
      </c>
      <c r="Y60" s="64">
        <f>2655.97*POWER(Table5[[#This Row],[Rated compressor power{Pc}]],0.8335)*2</f>
        <v>306523.72890720674</v>
      </c>
      <c r="Z60" s="64">
        <f>0.4*Table5[[#This Row],[Total Installation cost for pipeline compressor {TIC}]]</f>
        <v>122609.4915628827</v>
      </c>
      <c r="AA60" s="64">
        <f>Table5[[#This Row],[Indirect costs associated with installation{Id}]]+Table5[[#This Row],[Total Installation cost for pipeline compressor {TIC}]]</f>
        <v>429133.22047008947</v>
      </c>
      <c r="AB60" s="64">
        <f>(Table5[[#This Row],[Investment cost for inlet compressor(Invest)]]*0.1668295449)/(0.9*Table5[[#This Row],[Daily Hydrogen Demand{mH2}(kg/day)]]*365)</f>
        <v>2.1793637708522492E-2</v>
      </c>
      <c r="AC60" s="64">
        <f>Table5[[#This Row],[No of annual hours{Ann}4]]*Table5[[#This Row],[Hourly salary {S}(€/h)5]]</f>
        <v>2915.1774297867696</v>
      </c>
      <c r="AD60" s="64">
        <f>0.5*Table5[[#This Row],[Direct labor costs{dL}2]]</f>
        <v>1457.5887148933848</v>
      </c>
      <c r="AE60" s="64">
        <f>POWER(Table5[[#This Row],[Daily Hydrogen Demand{mH2}(kg/day)]]/100000,0.25)*288</f>
        <v>161.95430165482054</v>
      </c>
      <c r="AF60" s="64">
        <v>18</v>
      </c>
      <c r="AG60" s="64">
        <f>(0.021*Table5[[#This Row],[Investment cost for inlet compressor(Invest)]])+(0.04*Table5[[#This Row],[Total Installation cost for pipeline compressor {TIC}]])</f>
        <v>21272.746786160147</v>
      </c>
      <c r="AH60" s="64">
        <f>Table5[[#This Row],[O&amp;Mc]]+Table5[[#This Row],[Indirect labor costs{Idl}3]]+Table5[[#This Row],[Direct labor costs{dL}2]]</f>
        <v>25645.512930840301</v>
      </c>
      <c r="AI60" s="64">
        <f>(Table5[[#This Row],[Non energy cost for compressor(NE)]])/(0.9*Table5[[#This Row],[Daily Hydrogen Demand{mH2}(kg/day)]]*365)</f>
        <v>7.8068532513973516E-3</v>
      </c>
      <c r="AJ60" s="64">
        <f>Table5[[#This Row],[Rated compressor power{Pc}]] * 0.306 * 24 * 365</f>
        <v>347741.12409894395</v>
      </c>
      <c r="AK60" s="64">
        <f>(Table5[[#This Row],[Annual energy cost for compression(Ec)(€)]])/(0.9*Table5[[#This Row],[Daily Hydrogen Demand{mH2}(kg/day)]]*365*1000)</f>
        <v>1.0585726761002861E-4</v>
      </c>
      <c r="AL60" s="64">
        <f>Table5[[#This Row],[LCOHT,E]]+Table5[[#This Row],[LCOHT,NE]]+Table5[[#This Row],[LCOHT,invest,(for inlet compressor)]]</f>
        <v>2.970634822752987E-2</v>
      </c>
      <c r="AM60" s="64">
        <v>2</v>
      </c>
      <c r="AN60" s="64">
        <v>345.36764970000002</v>
      </c>
      <c r="AO60" s="64">
        <f>Table5[[#This Row],[Daily Hydrogen Demand{mH2}(kg/day)]]/(0.002*24*60*60)</f>
        <v>57.870370370370374</v>
      </c>
      <c r="AP60" s="94">
        <f>Table5[[#This Row],[Daily Hydrogen Demand{mH2}(kg/day)]]/0.0849318059972404</f>
        <v>117741.52077167557</v>
      </c>
      <c r="AQ60" s="94">
        <f>Table5[[#This Row],[Mass flow rate{Qb} (m3/day)]] * (20 / 1.01) *(288.15 / 288)</f>
        <v>2332729.5936715011</v>
      </c>
      <c r="AR60" s="94">
        <f>Table5[[#This Row],[Mass flow rate(Sm3/day)]]*0.0834</f>
        <v>194549.6481122032</v>
      </c>
      <c r="AS60" s="94">
        <f>Table5[[#This Row],[Capacity,pipe2]]/(0.002*24*60*60)</f>
        <v>1125.8660191678428</v>
      </c>
      <c r="AT60" s="94">
        <f>(14.737*1.01*1.0006043620884*288*Table5[[#This Row],[Mass flow rate(Sm3/day)]])/(288.15*70*Table5[[#This Row],[Diameter of pipeline(mm)]]*Table5[[#This Row],[Diameter of pipeline(mm)]]*0.001*0.001*24*60*60)</f>
        <v>255.17422907032085</v>
      </c>
      <c r="AU60" s="96">
        <f t="shared" si="1"/>
        <v>4.015425723958442E-5</v>
      </c>
      <c r="AV60" s="94">
        <f>(4.58*Table5[[#This Row],[Velocity of hydrogen{v}(m/sec)]]*Table5[[#This Row],[Diameter of pipeline(mm)]]*0.001)/Table5[[#This Row],[μ]]</f>
        <v>4365781.0509440461</v>
      </c>
      <c r="AW60" s="109">
        <v>9.4000000000000004E-3</v>
      </c>
      <c r="AX60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233.60692257863715</v>
      </c>
      <c r="AY60" s="94">
        <f>70-Table5[[#This Row],[Pressure drop (Δp) (bar)]]</f>
        <v>-163.60692257863715</v>
      </c>
      <c r="AZ60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60" s="64">
        <f>Table5[[#This Row],[Compressor Power]]/(0.95*1000)</f>
        <v>2433.5078548251226</v>
      </c>
      <c r="BB60" s="64">
        <v>0</v>
      </c>
      <c r="BC60" s="65">
        <v>2</v>
      </c>
      <c r="BD60" s="64">
        <f>Table5[[#This Row],[Rated compressor power for single station]]*Table5[[#This Row],[No of enroute compressor stations]]</f>
        <v>4867.0157096502453</v>
      </c>
      <c r="BE60" s="64">
        <f>Table5[[#This Row],[Rated compressor power for single station]]/16000</f>
        <v>0.15209424092657017</v>
      </c>
      <c r="BF60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60" s="64">
        <f>Table5[[#This Row],[UC for single enroute station]]*2</f>
        <v>23156.642900224531</v>
      </c>
      <c r="BH60" s="64">
        <f>Table5[[#This Row],[TIC for single enroute station]]*Table5[[#This Row],[No of compressors at single enroute station]]</f>
        <v>3521.9920243173005</v>
      </c>
      <c r="BI60" s="21">
        <f>0.4*Table5[[#This Row],[TIC for all enroute stations]]</f>
        <v>1408.7968097269204</v>
      </c>
      <c r="BJ60" s="100">
        <f>Table5[[#This Row],[TIC for all enroute stations]]+Table5[[#This Row],[Indirect costs for all enroute stations]]</f>
        <v>4930.7888340442205</v>
      </c>
      <c r="BK60" s="100">
        <f>(Table5[[#This Row],[Investment cost for all enroute stations]]*0.1668295449)/(0.9*365*Table5[[#This Row],[Daily Hydrogen Demand{mH2}(kg/day)]])</f>
        <v>2.5041134160779264E-4</v>
      </c>
      <c r="BL60" s="100">
        <f>Table5[[#This Row],[No of enroute compressor stations]]*Table5[[#This Row],[No of annual hours{Ann}44]]*Table5[[#This Row],[Hourly salary {S}(€/h)55]]</f>
        <v>5830.3548595735392</v>
      </c>
      <c r="BM60" s="100">
        <f>0.5*Table5[[#This Row],[Direct labor costs{dL}22]]</f>
        <v>2915.1774297867696</v>
      </c>
      <c r="BN60" s="64">
        <f>POWER(Table5[[#This Row],[Daily Hydrogen Demand{mH2}(kg/day)]]/100000,0.25)*288</f>
        <v>161.95430165482054</v>
      </c>
      <c r="BO60" s="64">
        <v>18</v>
      </c>
      <c r="BP60" s="100">
        <f>(0.021*Table5[[#This Row],[Investment cost for all enroute stations]])+(0.04*Table5[[#This Row],[TIC for all enroute stations]])</f>
        <v>244.42624648762066</v>
      </c>
      <c r="BQ60" s="100">
        <f>Table5[[#This Row],[Indirect labor costs{Idl}33]]+Table5[[#This Row],[Direct labor costs{dL}22]]+Table5[[#This Row],[O&amp;Mc6]]</f>
        <v>8989.9585358479289</v>
      </c>
      <c r="BR60" s="100">
        <f>Table5[[#This Row],[Non energy cost for compressor(NE)7]]/(0.9*365*Table5[[#This Row],[Daily Hydrogen Demand{mH2}(kg/day)]])</f>
        <v>2.7366692650983042E-3</v>
      </c>
      <c r="BS60" s="100">
        <f>Table5[[#This Row],[Total rated compressor power of all enroute stations(W)]]*0.306*24*365</f>
        <v>13046327.630660063</v>
      </c>
      <c r="BT60" s="100">
        <f>Table5[[#This Row],[Annual energy cost for compression for all enroute compressors(€/yr)]]/(0.9*365*Table5[[#This Row],[Daily Hydrogen Demand{mH2}(kg/day)]]*1000)</f>
        <v>3.9714848190746006E-3</v>
      </c>
      <c r="BU60" s="100">
        <f>Table5[[#This Row],[LCOHT,E10]]+Table5[[#This Row],[LCOHT,NE8]]+Table5[[#This Row],[LCOHT,invest for all enroute stations]]</f>
        <v>6.958565425780697E-3</v>
      </c>
      <c r="BV60" s="100">
        <f>Table5[[#This Row],[LOCHT,pipe,C2(of all enroute stations)]]+Table5[[#This Row],[LOCHT,pipe,C1(Inlet compressor)]]+Table5[[#This Row],[LCOHT,pipe(€/kg)]]</f>
        <v>0.65235258891063075</v>
      </c>
      <c r="BW60" s="110">
        <f>0.840764331-0.65</f>
        <v>0.19076433100000001</v>
      </c>
    </row>
    <row r="61" spans="1:75">
      <c r="A61">
        <f>200</f>
        <v>200</v>
      </c>
      <c r="B61">
        <v>10000</v>
      </c>
      <c r="C61">
        <f>Table5[[#This Row],[Total Installation Costs{TIC}(€)]]+Table5[[#This Row],[Indirect Costs{Id}]]</f>
        <v>20146000</v>
      </c>
      <c r="D61">
        <f t="shared" si="2"/>
        <v>14390000</v>
      </c>
      <c r="E61">
        <f t="shared" ref="E61:E90" si="12">0.4*D61</f>
        <v>5756000</v>
      </c>
      <c r="F61" s="3">
        <v>575.6</v>
      </c>
      <c r="G61">
        <f>25</f>
        <v>25</v>
      </c>
      <c r="H61">
        <f t="shared" si="3"/>
        <v>126324.35529076001</v>
      </c>
      <c r="I61">
        <f t="shared" si="4"/>
        <v>84216.236860506673</v>
      </c>
      <c r="J61">
        <f t="shared" si="5"/>
        <v>42108.118430253337</v>
      </c>
      <c r="K61">
        <f t="shared" si="6"/>
        <v>4678.6798255837039</v>
      </c>
      <c r="L61">
        <v>18</v>
      </c>
      <c r="M61">
        <f t="shared" si="7"/>
        <v>523796</v>
      </c>
      <c r="N61">
        <f t="shared" si="8"/>
        <v>650120.35529076005</v>
      </c>
      <c r="O61">
        <f t="shared" si="9"/>
        <v>8.174285816161557E-2</v>
      </c>
      <c r="P61">
        <v>0.9</v>
      </c>
      <c r="Q61">
        <f t="shared" si="10"/>
        <v>0.501306429383229</v>
      </c>
      <c r="R61">
        <f t="shared" si="0"/>
        <v>0.19790573981453882</v>
      </c>
      <c r="S61">
        <f t="shared" si="11"/>
        <v>0.69921216919776785</v>
      </c>
      <c r="T61" s="64">
        <v>2</v>
      </c>
      <c r="U61" s="64">
        <v>381.35408266399998</v>
      </c>
      <c r="V61" s="64">
        <f>Table5[[#This Row],[Daily Hydrogen Demand{mH2}(kg/day)]]/(0.002*24*60*60)</f>
        <v>57.870370370370374</v>
      </c>
      <c r="W61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61" s="64">
        <f>(Table5[[#This Row],[Compressor Power{P}]]/(0.95*1000))</f>
        <v>129.72704363974094</v>
      </c>
      <c r="Y61" s="64">
        <f>2655.97*POWER(Table5[[#This Row],[Rated compressor power{Pc}]],0.8335)*2</f>
        <v>306523.72890720674</v>
      </c>
      <c r="Z61" s="64">
        <f>0.4*Table5[[#This Row],[Total Installation cost for pipeline compressor {TIC}]]</f>
        <v>122609.4915628827</v>
      </c>
      <c r="AA61" s="64">
        <f>Table5[[#This Row],[Indirect costs associated with installation{Id}]]+Table5[[#This Row],[Total Installation cost for pipeline compressor {TIC}]]</f>
        <v>429133.22047008947</v>
      </c>
      <c r="AB61" s="64">
        <f>(Table5[[#This Row],[Investment cost for inlet compressor(Invest)]]*0.1668295449)/(0.9*Table5[[#This Row],[Daily Hydrogen Demand{mH2}(kg/day)]]*365)</f>
        <v>2.1793637708522492E-2</v>
      </c>
      <c r="AC61" s="64">
        <f>Table5[[#This Row],[No of annual hours{Ann}4]]*Table5[[#This Row],[Hourly salary {S}(€/h)5]]</f>
        <v>2915.1774297867696</v>
      </c>
      <c r="AD61" s="64">
        <f>0.5*Table5[[#This Row],[Direct labor costs{dL}2]]</f>
        <v>1457.5887148933848</v>
      </c>
      <c r="AE61" s="64">
        <f>POWER(Table5[[#This Row],[Daily Hydrogen Demand{mH2}(kg/day)]]/100000,0.25)*288</f>
        <v>161.95430165482054</v>
      </c>
      <c r="AF61" s="64">
        <v>18</v>
      </c>
      <c r="AG61" s="64">
        <f>(0.021*Table5[[#This Row],[Investment cost for inlet compressor(Invest)]])+(0.04*Table5[[#This Row],[Total Installation cost for pipeline compressor {TIC}]])</f>
        <v>21272.746786160147</v>
      </c>
      <c r="AH61" s="64">
        <f>Table5[[#This Row],[O&amp;Mc]]+Table5[[#This Row],[Indirect labor costs{Idl}3]]+Table5[[#This Row],[Direct labor costs{dL}2]]</f>
        <v>25645.512930840301</v>
      </c>
      <c r="AI61" s="64">
        <f>(Table5[[#This Row],[Non energy cost for compressor(NE)]])/(0.9*Table5[[#This Row],[Daily Hydrogen Demand{mH2}(kg/day)]]*365)</f>
        <v>7.8068532513973516E-3</v>
      </c>
      <c r="AJ61" s="64">
        <f>Table5[[#This Row],[Rated compressor power{Pc}]] * 0.306 * 24 * 365</f>
        <v>347741.12409894395</v>
      </c>
      <c r="AK61" s="64">
        <f>(Table5[[#This Row],[Annual energy cost for compression(Ec)(€)]])/(0.9*Table5[[#This Row],[Daily Hydrogen Demand{mH2}(kg/day)]]*365*1000)</f>
        <v>1.0585726761002861E-4</v>
      </c>
      <c r="AL61" s="64">
        <f>Table5[[#This Row],[LCOHT,E]]+Table5[[#This Row],[LCOHT,NE]]+Table5[[#This Row],[LCOHT,invest,(for inlet compressor)]]</f>
        <v>2.970634822752987E-2</v>
      </c>
      <c r="AM61" s="64">
        <v>2</v>
      </c>
      <c r="AN61" s="64">
        <v>345.36764970000002</v>
      </c>
      <c r="AO61" s="64">
        <f>Table5[[#This Row],[Daily Hydrogen Demand{mH2}(kg/day)]]/(0.002*24*60*60)</f>
        <v>57.870370370370374</v>
      </c>
      <c r="AP61" s="94">
        <f>Table5[[#This Row],[Daily Hydrogen Demand{mH2}(kg/day)]]/0.0849318059972404</f>
        <v>117741.52077167557</v>
      </c>
      <c r="AQ61" s="94">
        <f>Table5[[#This Row],[Mass flow rate{Qb} (m3/day)]] * (20 / 1.01) *(288.15 / 288)</f>
        <v>2332729.5936715011</v>
      </c>
      <c r="AR61" s="94">
        <f>Table5[[#This Row],[Mass flow rate(Sm3/day)]]*0.0834</f>
        <v>194549.6481122032</v>
      </c>
      <c r="AS61" s="94">
        <f>Table5[[#This Row],[Capacity,pipe2]]/(0.002*24*60*60)</f>
        <v>1125.8660191678428</v>
      </c>
      <c r="AT61" s="94">
        <f>(14.737*1.01*1.0006043620884*288*Table5[[#This Row],[Mass flow rate(Sm3/day)]])/(288.15*70*Table5[[#This Row],[Diameter of pipeline(mm)]]*Table5[[#This Row],[Diameter of pipeline(mm)]]*0.001*0.001*24*60*60)</f>
        <v>143.53550385205548</v>
      </c>
      <c r="AU61" s="96">
        <f t="shared" si="1"/>
        <v>4.015425723958442E-5</v>
      </c>
      <c r="AV61" s="94">
        <f>(4.58*Table5[[#This Row],[Velocity of hydrogen{v}(m/sec)]]*Table5[[#This Row],[Diameter of pipeline(mm)]]*0.001)/Table5[[#This Row],[μ]]</f>
        <v>3274335.7882080344</v>
      </c>
      <c r="AW61" s="109">
        <v>9.4000000000000004E-3</v>
      </c>
      <c r="AX61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55.43601776036018</v>
      </c>
      <c r="AY61" s="94">
        <f>70-Table5[[#This Row],[Pressure drop (Δp) (bar)]]</f>
        <v>14.56398223963982</v>
      </c>
      <c r="AZ61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61" s="64">
        <f>Table5[[#This Row],[Compressor Power]]/(0.95*1000)</f>
        <v>2433.5078548251226</v>
      </c>
      <c r="BB61" s="64">
        <v>0</v>
      </c>
      <c r="BC61" s="65">
        <v>2</v>
      </c>
      <c r="BD61" s="64">
        <f>Table5[[#This Row],[Rated compressor power for single station]]*Table5[[#This Row],[No of enroute compressor stations]]</f>
        <v>4867.0157096502453</v>
      </c>
      <c r="BE61" s="64">
        <f>Table5[[#This Row],[Rated compressor power for single station]]/16000</f>
        <v>0.15209424092657017</v>
      </c>
      <c r="BF61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61" s="64">
        <f>Table5[[#This Row],[UC for single enroute station]]*2</f>
        <v>23156.642900224531</v>
      </c>
      <c r="BH61" s="64">
        <f>Table5[[#This Row],[TIC for single enroute station]]*Table5[[#This Row],[No of compressors at single enroute station]]</f>
        <v>3521.9920243173005</v>
      </c>
      <c r="BI61" s="98">
        <f>0.4*Table5[[#This Row],[TIC for all enroute stations]]</f>
        <v>1408.7968097269204</v>
      </c>
      <c r="BJ61" s="99">
        <f>Table5[[#This Row],[TIC for all enroute stations]]+Table5[[#This Row],[Indirect costs for all enroute stations]]</f>
        <v>4930.7888340442205</v>
      </c>
      <c r="BK61" s="99">
        <f>(Table5[[#This Row],[Investment cost for all enroute stations]]*0.1668295449)/(0.9*365*Table5[[#This Row],[Daily Hydrogen Demand{mH2}(kg/day)]])</f>
        <v>2.5041134160779264E-4</v>
      </c>
      <c r="BL61" s="99">
        <f>Table5[[#This Row],[No of enroute compressor stations]]*Table5[[#This Row],[No of annual hours{Ann}44]]*Table5[[#This Row],[Hourly salary {S}(€/h)55]]</f>
        <v>5830.3548595735392</v>
      </c>
      <c r="BM61" s="99">
        <f>0.5*Table5[[#This Row],[Direct labor costs{dL}22]]</f>
        <v>2915.1774297867696</v>
      </c>
      <c r="BN61" s="64">
        <f>POWER(Table5[[#This Row],[Daily Hydrogen Demand{mH2}(kg/day)]]/100000,0.25)*288</f>
        <v>161.95430165482054</v>
      </c>
      <c r="BO61" s="64">
        <v>18</v>
      </c>
      <c r="BP61" s="99">
        <f>(0.021*Table5[[#This Row],[Investment cost for all enroute stations]])+(0.04*Table5[[#This Row],[TIC for all enroute stations]])</f>
        <v>244.42624648762066</v>
      </c>
      <c r="BQ61" s="99">
        <f>Table5[[#This Row],[Indirect labor costs{Idl}33]]+Table5[[#This Row],[Direct labor costs{dL}22]]+Table5[[#This Row],[O&amp;Mc6]]</f>
        <v>8989.9585358479289</v>
      </c>
      <c r="BR61" s="99">
        <f>Table5[[#This Row],[Non energy cost for compressor(NE)7]]/(0.9*365*Table5[[#This Row],[Daily Hydrogen Demand{mH2}(kg/day)]])</f>
        <v>2.7366692650983042E-3</v>
      </c>
      <c r="BS61" s="99">
        <f>Table5[[#This Row],[Total rated compressor power of all enroute stations(W)]]*0.306*24*365</f>
        <v>13046327.630660063</v>
      </c>
      <c r="BT61" s="99">
        <f>Table5[[#This Row],[Annual energy cost for compression for all enroute compressors(€/yr)]]/(0.9*365*Table5[[#This Row],[Daily Hydrogen Demand{mH2}(kg/day)]]*1000)</f>
        <v>3.9714848190746006E-3</v>
      </c>
      <c r="BU61" s="99">
        <f>Table5[[#This Row],[LCOHT,E10]]+Table5[[#This Row],[LCOHT,NE8]]+Table5[[#This Row],[LCOHT,invest for all enroute stations]]</f>
        <v>6.958565425780697E-3</v>
      </c>
      <c r="BV61" s="99">
        <f>Table5[[#This Row],[LOCHT,pipe,C2(of all enroute stations)]]+Table5[[#This Row],[LOCHT,pipe,C1(Inlet compressor)]]+Table5[[#This Row],[LCOHT,pipe(€/kg)]]</f>
        <v>0.73587708285107845</v>
      </c>
      <c r="BW61" s="110">
        <f>0.738853503184714-Table5[[#This Row],[LCOHT,pipeline]]</f>
        <v>2.9764203336355433E-3</v>
      </c>
    </row>
    <row r="62" spans="1:75">
      <c r="A62">
        <v>100</v>
      </c>
      <c r="B62">
        <v>30000</v>
      </c>
      <c r="C62">
        <f>Table5[[#This Row],[Total Installation Costs{TIC}(€)]]+Table5[[#This Row],[Indirect Costs{Id}]]</f>
        <v>15062250</v>
      </c>
      <c r="D62">
        <f t="shared" si="2"/>
        <v>10758750</v>
      </c>
      <c r="E62">
        <f t="shared" si="12"/>
        <v>4303500</v>
      </c>
      <c r="F62" s="3">
        <v>430.35</v>
      </c>
      <c r="G62">
        <f>25</f>
        <v>25</v>
      </c>
      <c r="H62">
        <f>I62+J62</f>
        <v>166252.20120114693</v>
      </c>
      <c r="I62">
        <f>K62*L62</f>
        <v>110834.80080076463</v>
      </c>
      <c r="J62">
        <f>0.5*I62</f>
        <v>55417.400400382314</v>
      </c>
      <c r="K62">
        <f>POWER(B62/100000,0.25)*8320</f>
        <v>6157.4889333758128</v>
      </c>
      <c r="L62">
        <v>18</v>
      </c>
      <c r="M62">
        <f>0.026*C62</f>
        <v>391618.5</v>
      </c>
      <c r="N62">
        <f>H62+M62</f>
        <v>557870.70120114693</v>
      </c>
      <c r="O62">
        <f>((1.08^50)*0.08)/((1.08^50)-1)</f>
        <v>8.174285816161557E-2</v>
      </c>
      <c r="P62">
        <v>0.9</v>
      </c>
      <c r="Q62">
        <f t="shared" si="10"/>
        <v>0.1249346895327036</v>
      </c>
      <c r="R62">
        <f t="shared" si="0"/>
        <v>5.6607884444560823E-2</v>
      </c>
      <c r="S62">
        <f>Q62+R62</f>
        <v>0.18154257397726442</v>
      </c>
      <c r="T62" s="64">
        <v>2</v>
      </c>
      <c r="U62" s="64">
        <v>381.35408266399998</v>
      </c>
      <c r="V62" s="64">
        <f>Table5[[#This Row],[Daily Hydrogen Demand{mH2}(kg/day)]]/(0.002*24*60*60)</f>
        <v>173.61111111111111</v>
      </c>
      <c r="W62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62" s="64">
        <f>(Table5[[#This Row],[Compressor Power{P}]]/(0.95*1000))</f>
        <v>389.18113091922294</v>
      </c>
      <c r="Y62" s="64">
        <f>2655.97*POWER(Table5[[#This Row],[Rated compressor power{Pc}]],0.8335)*2</f>
        <v>765851.67401262943</v>
      </c>
      <c r="Z62" s="64">
        <f>0.4*Table5[[#This Row],[Total Installation cost for pipeline compressor {TIC}]]</f>
        <v>306340.66960505181</v>
      </c>
      <c r="AA62" s="64">
        <f>Table5[[#This Row],[Indirect costs associated with installation{Id}]]+Table5[[#This Row],[Total Installation cost for pipeline compressor {TIC}]]</f>
        <v>1072192.3436176812</v>
      </c>
      <c r="AB62" s="64">
        <f>(Table5[[#This Row],[Investment cost for inlet compressor(Invest)]]*0.1668295449)/(0.9*Table5[[#This Row],[Daily Hydrogen Demand{mH2}(kg/day)]]*365)</f>
        <v>1.8150518592694283E-2</v>
      </c>
      <c r="AC62" s="64">
        <f>Table5[[#This Row],[No of annual hours{Ann}4]]*Table5[[#This Row],[Hourly salary {S}(€/h)5]]</f>
        <v>3836.5892584880066</v>
      </c>
      <c r="AD62" s="64">
        <f>0.5*Table5[[#This Row],[Direct labor costs{dL}2]]</f>
        <v>1918.2946292440033</v>
      </c>
      <c r="AE62" s="64">
        <f>POWER(Table5[[#This Row],[Daily Hydrogen Demand{mH2}(kg/day)]]/100000,0.25)*288</f>
        <v>213.14384769377816</v>
      </c>
      <c r="AF62" s="64">
        <v>18</v>
      </c>
      <c r="AG62" s="64">
        <f>(0.021*Table5[[#This Row],[Investment cost for inlet compressor(Invest)]])+(0.04*Table5[[#This Row],[Total Installation cost for pipeline compressor {TIC}]])</f>
        <v>53150.106176476482</v>
      </c>
      <c r="AH62" s="64">
        <f>Table5[[#This Row],[O&amp;Mc]]+Table5[[#This Row],[Indirect labor costs{Idl}3]]+Table5[[#This Row],[Direct labor costs{dL}2]]</f>
        <v>58904.99006420849</v>
      </c>
      <c r="AI62" s="64">
        <f>(Table5[[#This Row],[Non energy cost for compressor(NE)]])/(0.9*Table5[[#This Row],[Daily Hydrogen Demand{mH2}(kg/day)]]*365)</f>
        <v>5.9771679415736674E-3</v>
      </c>
      <c r="AJ62" s="64">
        <f>Table5[[#This Row],[Rated compressor power{Pc}]] * 0.306 * 24 * 365</f>
        <v>1043223.3722968322</v>
      </c>
      <c r="AK62" s="64">
        <f>(Table5[[#This Row],[Annual energy cost for compression(Ec)(€)]])/(0.9*Table5[[#This Row],[Daily Hydrogen Demand{mH2}(kg/day)]]*365*1000)</f>
        <v>1.0585726761002863E-4</v>
      </c>
      <c r="AL62" s="64">
        <f>Table5[[#This Row],[LCOHT,E]]+Table5[[#This Row],[LCOHT,NE]]+Table5[[#This Row],[LCOHT,invest,(for inlet compressor)]]</f>
        <v>2.423354380187798E-2</v>
      </c>
      <c r="AM62" s="64">
        <v>2</v>
      </c>
      <c r="AN62" s="64">
        <v>345.36764970000002</v>
      </c>
      <c r="AO62" s="64">
        <f>Table5[[#This Row],[Daily Hydrogen Demand{mH2}(kg/day)]]/(0.002*24*60*60)</f>
        <v>173.61111111111111</v>
      </c>
      <c r="AP62" s="94">
        <f>Table5[[#This Row],[Daily Hydrogen Demand{mH2}(kg/day)]]/0.0849318059972404</f>
        <v>353224.56231502671</v>
      </c>
      <c r="AQ62" s="94">
        <f>Table5[[#This Row],[Mass flow rate{Qb} (m3/day)]] * (20 / 1.01) *(288.15 / 288)</f>
        <v>6998188.7810145039</v>
      </c>
      <c r="AR62" s="94">
        <f>Table5[[#This Row],[Mass flow rate(Sm3/day)]]*0.0834</f>
        <v>583648.94433660968</v>
      </c>
      <c r="AS62" s="94">
        <f>Table5[[#This Row],[Capacity,pipe2]]/(0.002*24*60*60)</f>
        <v>3377.5980575035287</v>
      </c>
      <c r="AT62" s="94">
        <f>(14.737*1.01*1.0006043620884*288*Table5[[#This Row],[Mass flow rate(Sm3/day)]])/(288.15*70*Table5[[#This Row],[Diameter of pipeline(mm)]]*Table5[[#This Row],[Diameter of pipeline(mm)]]*0.001*0.001*24*60*60)</f>
        <v>1722.4260462246657</v>
      </c>
      <c r="AU62" s="96">
        <f t="shared" si="1"/>
        <v>4.015425723958442E-5</v>
      </c>
      <c r="AV62" s="94">
        <f>(4.58*Table5[[#This Row],[Velocity of hydrogen{v}(m/sec)]]*Table5[[#This Row],[Diameter of pipeline(mm)]]*0.001)/Table5[[#This Row],[μ]]</f>
        <v>19646014.729248207</v>
      </c>
      <c r="AW62" s="109">
        <v>9.4000000000000004E-3</v>
      </c>
      <c r="AX62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15965.573114983732</v>
      </c>
      <c r="AY62" s="94">
        <f>70-Table5[[#This Row],[Pressure drop (Δp) (bar)]]</f>
        <v>-15895.573114983732</v>
      </c>
      <c r="AZ62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62" s="64">
        <f>Table5[[#This Row],[Compressor Power]]/(0.95*1000)</f>
        <v>7300.5235644753693</v>
      </c>
      <c r="BB62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108.561643835616</v>
      </c>
      <c r="BC62" s="65">
        <v>2</v>
      </c>
      <c r="BD62" s="64">
        <f>Table5[[#This Row],[Rated compressor power for single station]]*Table5[[#This Row],[No of enroute compressor stations]]</f>
        <v>14601.047128950739</v>
      </c>
      <c r="BE62" s="64">
        <f>Table5[[#This Row],[Rated compressor power for single station]]/16000</f>
        <v>0.4562827227797106</v>
      </c>
      <c r="BF62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62" s="64">
        <f>Table5[[#This Row],[UC for single enroute station]]*2</f>
        <v>440068.69303083618</v>
      </c>
      <c r="BH62" s="64">
        <f>Table5[[#This Row],[TIC for single enroute station]]*Table5[[#This Row],[No of compressors at single enroute station]]</f>
        <v>200795.74146621858</v>
      </c>
      <c r="BI62" s="21">
        <f>0.4*Table5[[#This Row],[TIC for all enroute stations]]</f>
        <v>80318.296586487442</v>
      </c>
      <c r="BJ62" s="100">
        <f>Table5[[#This Row],[TIC for all enroute stations]]+Table5[[#This Row],[Indirect costs for all enroute stations]]</f>
        <v>281114.03805270605</v>
      </c>
      <c r="BK62" s="100">
        <f>(Table5[[#This Row],[Investment cost for all enroute stations]]*0.1668295449)/(0.9*365*Table5[[#This Row],[Daily Hydrogen Demand{mH2}(kg/day)]])</f>
        <v>4.7588155284966236E-3</v>
      </c>
      <c r="BL62" s="100">
        <f>Table5[[#This Row],[No of enroute compressor stations]]*Table5[[#This Row],[No of annual hours{Ann}44]]*Table5[[#This Row],[Hourly salary {S}(€/h)55]]</f>
        <v>7673.1785169760133</v>
      </c>
      <c r="BM62" s="100">
        <f>0.5*Table5[[#This Row],[Direct labor costs{dL}22]]</f>
        <v>3836.5892584880066</v>
      </c>
      <c r="BN62" s="64">
        <f>POWER(Table5[[#This Row],[Daily Hydrogen Demand{mH2}(kg/day)]]/100000,0.25)*288</f>
        <v>213.14384769377816</v>
      </c>
      <c r="BO62" s="64">
        <v>18</v>
      </c>
      <c r="BP62" s="100">
        <f>(0.021*Table5[[#This Row],[Investment cost for all enroute stations]])+(0.04*Table5[[#This Row],[TIC for all enroute stations]])</f>
        <v>13935.22445775557</v>
      </c>
      <c r="BQ62" s="100">
        <f>Table5[[#This Row],[Indirect labor costs{Idl}33]]+Table5[[#This Row],[Direct labor costs{dL}22]]+Table5[[#This Row],[O&amp;Mc6]]</f>
        <v>25444.992233219593</v>
      </c>
      <c r="BR62" s="100">
        <f>Table5[[#This Row],[Non energy cost for compressor(NE)7]]/(0.9*365*Table5[[#This Row],[Daily Hydrogen Demand{mH2}(kg/day)]])</f>
        <v>2.5819373143804764E-3</v>
      </c>
      <c r="BS62" s="100">
        <f>Table5[[#This Row],[Total rated compressor power of all enroute stations(W)]]*0.306*24*365</f>
        <v>39138982.891980194</v>
      </c>
      <c r="BT62" s="100">
        <f>Table5[[#This Row],[Annual energy cost for compression for all enroute compressors(€/yr)]]/(0.9*365*Table5[[#This Row],[Daily Hydrogen Demand{mH2}(kg/day)]]*1000)</f>
        <v>3.9714848190746015E-3</v>
      </c>
      <c r="BU62" s="100">
        <f>Table5[[#This Row],[LCOHT,E10]]+Table5[[#This Row],[LCOHT,NE8]]+Table5[[#This Row],[LCOHT,invest for all enroute stations]]</f>
        <v>1.1312237661951701E-2</v>
      </c>
      <c r="BV62" s="100">
        <f>Table5[[#This Row],[LOCHT,pipe,C2(of all enroute stations)]]+Table5[[#This Row],[LOCHT,pipe,C1(Inlet compressor)]]+Table5[[#This Row],[LCOHT,pipe(€/kg)]]</f>
        <v>0.21708835544109412</v>
      </c>
      <c r="BW62" s="110">
        <f>0.738853503184714-Table5[[#This Row],[LCOHT,pipeline]]</f>
        <v>0.52176514774361982</v>
      </c>
    </row>
    <row r="63" spans="1:75">
      <c r="A63">
        <f>150</f>
        <v>150</v>
      </c>
      <c r="B63">
        <v>30000</v>
      </c>
      <c r="C63">
        <f>Table5[[#This Row],[Total Installation Costs{TIC}(€)]]+Table5[[#This Row],[Indirect Costs{Id}]]</f>
        <v>17599400</v>
      </c>
      <c r="D63">
        <f t="shared" si="2"/>
        <v>12571000</v>
      </c>
      <c r="E63">
        <f t="shared" si="12"/>
        <v>5028400</v>
      </c>
      <c r="F63" s="3">
        <v>502.84</v>
      </c>
      <c r="G63">
        <f>25</f>
        <v>25</v>
      </c>
      <c r="H63">
        <f>I63+J63</f>
        <v>166252.20120114693</v>
      </c>
      <c r="I63">
        <f>K63*L63</f>
        <v>110834.80080076463</v>
      </c>
      <c r="J63">
        <f>0.5*I63</f>
        <v>55417.400400382314</v>
      </c>
      <c r="K63">
        <f>POWER(B63/100000,0.25)*8320</f>
        <v>6157.4889333758128</v>
      </c>
      <c r="L63">
        <v>18</v>
      </c>
      <c r="M63">
        <f>0.026*C63</f>
        <v>457584.39999999997</v>
      </c>
      <c r="N63">
        <f>H63+M63</f>
        <v>623836.60120114684</v>
      </c>
      <c r="O63">
        <f>((1.08^50)*0.08)/((1.08^50)-1)</f>
        <v>8.174285816161557E-2</v>
      </c>
      <c r="P63">
        <v>0.9</v>
      </c>
      <c r="Q63">
        <f t="shared" si="10"/>
        <v>0.14597922454891293</v>
      </c>
      <c r="R63">
        <f t="shared" si="0"/>
        <v>6.3301532339030631E-2</v>
      </c>
      <c r="S63">
        <f>Q63+R63</f>
        <v>0.20928075688794356</v>
      </c>
      <c r="T63" s="64">
        <v>2</v>
      </c>
      <c r="U63" s="64">
        <v>381.35408266399998</v>
      </c>
      <c r="V63" s="64">
        <f>Table5[[#This Row],[Daily Hydrogen Demand{mH2}(kg/day)]]/(0.002*24*60*60)</f>
        <v>173.61111111111111</v>
      </c>
      <c r="W63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63" s="64">
        <f>(Table5[[#This Row],[Compressor Power{P}]]/(0.95*1000))</f>
        <v>389.18113091922294</v>
      </c>
      <c r="Y63" s="64">
        <f>2655.97*POWER(Table5[[#This Row],[Rated compressor power{Pc}]],0.8335)*2</f>
        <v>765851.67401262943</v>
      </c>
      <c r="Z63" s="64">
        <f>0.4*Table5[[#This Row],[Total Installation cost for pipeline compressor {TIC}]]</f>
        <v>306340.66960505181</v>
      </c>
      <c r="AA63" s="64">
        <f>Table5[[#This Row],[Indirect costs associated with installation{Id}]]+Table5[[#This Row],[Total Installation cost for pipeline compressor {TIC}]]</f>
        <v>1072192.3436176812</v>
      </c>
      <c r="AB63" s="64">
        <f>(Table5[[#This Row],[Investment cost for inlet compressor(Invest)]]*0.1668295449)/(0.9*Table5[[#This Row],[Daily Hydrogen Demand{mH2}(kg/day)]]*365)</f>
        <v>1.8150518592694283E-2</v>
      </c>
      <c r="AC63" s="64">
        <f>Table5[[#This Row],[No of annual hours{Ann}4]]*Table5[[#This Row],[Hourly salary {S}(€/h)5]]</f>
        <v>3836.5892584880066</v>
      </c>
      <c r="AD63" s="64">
        <f>0.5*Table5[[#This Row],[Direct labor costs{dL}2]]</f>
        <v>1918.2946292440033</v>
      </c>
      <c r="AE63" s="64">
        <f>POWER(Table5[[#This Row],[Daily Hydrogen Demand{mH2}(kg/day)]]/100000,0.25)*288</f>
        <v>213.14384769377816</v>
      </c>
      <c r="AF63" s="64">
        <v>18</v>
      </c>
      <c r="AG63" s="64">
        <f>(0.021*Table5[[#This Row],[Investment cost for inlet compressor(Invest)]])+(0.04*Table5[[#This Row],[Total Installation cost for pipeline compressor {TIC}]])</f>
        <v>53150.106176476482</v>
      </c>
      <c r="AH63" s="64">
        <f>Table5[[#This Row],[O&amp;Mc]]+Table5[[#This Row],[Indirect labor costs{Idl}3]]+Table5[[#This Row],[Direct labor costs{dL}2]]</f>
        <v>58904.99006420849</v>
      </c>
      <c r="AI63" s="64">
        <f>(Table5[[#This Row],[Non energy cost for compressor(NE)]])/(0.9*Table5[[#This Row],[Daily Hydrogen Demand{mH2}(kg/day)]]*365)</f>
        <v>5.9771679415736674E-3</v>
      </c>
      <c r="AJ63" s="64">
        <f>Table5[[#This Row],[Rated compressor power{Pc}]] * 0.306 * 24 * 365</f>
        <v>1043223.3722968322</v>
      </c>
      <c r="AK63" s="64">
        <f>(Table5[[#This Row],[Annual energy cost for compression(Ec)(€)]])/(0.9*Table5[[#This Row],[Daily Hydrogen Demand{mH2}(kg/day)]]*365*1000)</f>
        <v>1.0585726761002863E-4</v>
      </c>
      <c r="AL63" s="64">
        <f>Table5[[#This Row],[LCOHT,E]]+Table5[[#This Row],[LCOHT,NE]]+Table5[[#This Row],[LCOHT,invest,(for inlet compressor)]]</f>
        <v>2.423354380187798E-2</v>
      </c>
      <c r="AM63" s="64">
        <v>2</v>
      </c>
      <c r="AN63" s="64">
        <v>345.36764970000002</v>
      </c>
      <c r="AO63" s="64">
        <f>Table5[[#This Row],[Daily Hydrogen Demand{mH2}(kg/day)]]/(0.002*24*60*60)</f>
        <v>173.61111111111111</v>
      </c>
      <c r="AP63" s="94">
        <f>Table5[[#This Row],[Daily Hydrogen Demand{mH2}(kg/day)]]/0.0849318059972404</f>
        <v>353224.56231502671</v>
      </c>
      <c r="AQ63" s="94">
        <f>Table5[[#This Row],[Mass flow rate{Qb} (m3/day)]] * (20 / 1.01) *(288.15 / 288)</f>
        <v>6998188.7810145039</v>
      </c>
      <c r="AR63" s="94">
        <f>Table5[[#This Row],[Mass flow rate(Sm3/day)]]*0.0834</f>
        <v>583648.94433660968</v>
      </c>
      <c r="AS63" s="94">
        <f>Table5[[#This Row],[Capacity,pipe2]]/(0.002*24*60*60)</f>
        <v>3377.5980575035287</v>
      </c>
      <c r="AT63" s="94">
        <f>(14.737*1.01*1.0006043620884*288*Table5[[#This Row],[Mass flow rate(Sm3/day)]])/(288.15*70*Table5[[#This Row],[Diameter of pipeline(mm)]]*Table5[[#This Row],[Diameter of pipeline(mm)]]*0.001*0.001*24*60*60)</f>
        <v>765.52268721096254</v>
      </c>
      <c r="AU63" s="96">
        <f t="shared" si="1"/>
        <v>4.015425723958442E-5</v>
      </c>
      <c r="AV63" s="94">
        <f>(4.58*Table5[[#This Row],[Velocity of hydrogen{v}(m/sec)]]*Table5[[#This Row],[Diameter of pipeline(mm)]]*0.001)/Table5[[#This Row],[μ]]</f>
        <v>13097343.152832137</v>
      </c>
      <c r="AW63" s="109">
        <v>9.4000000000000004E-3</v>
      </c>
      <c r="AX63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2102.4623032077347</v>
      </c>
      <c r="AY63" s="94">
        <f>70-Table5[[#This Row],[Pressure drop (Δp) (bar)]]</f>
        <v>-2032.4623032077347</v>
      </c>
      <c r="AZ63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63" s="64">
        <f>Table5[[#This Row],[Compressor Power]]/(0.95*1000)</f>
        <v>7300.5235644753693</v>
      </c>
      <c r="BB63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63" s="65">
        <v>2</v>
      </c>
      <c r="BD63" s="64">
        <f>Table5[[#This Row],[Rated compressor power for single station]]*Table5[[#This Row],[No of enroute compressor stations]]</f>
        <v>14601.047128950739</v>
      </c>
      <c r="BE63" s="64">
        <f>Table5[[#This Row],[Rated compressor power for single station]]/16000</f>
        <v>0.4562827227797106</v>
      </c>
      <c r="BF63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63" s="64">
        <f>Table5[[#This Row],[UC for single enroute station]]*2</f>
        <v>440068.69303083618</v>
      </c>
      <c r="BH63" s="64">
        <f>Table5[[#This Row],[TIC for single enroute station]]*Table5[[#This Row],[No of compressors at single enroute station]]</f>
        <v>200795.74146621858</v>
      </c>
      <c r="BI63" s="98">
        <f>0.4*Table5[[#This Row],[TIC for all enroute stations]]</f>
        <v>80318.296586487442</v>
      </c>
      <c r="BJ63" s="99">
        <f>Table5[[#This Row],[TIC for all enroute stations]]+Table5[[#This Row],[Indirect costs for all enroute stations]]</f>
        <v>281114.03805270605</v>
      </c>
      <c r="BK63" s="99">
        <f>(Table5[[#This Row],[Investment cost for all enroute stations]]*0.1668295449)/(0.9*365*Table5[[#This Row],[Daily Hydrogen Demand{mH2}(kg/day)]])</f>
        <v>4.7588155284966236E-3</v>
      </c>
      <c r="BL63" s="99">
        <f>Table5[[#This Row],[No of enroute compressor stations]]*Table5[[#This Row],[No of annual hours{Ann}44]]*Table5[[#This Row],[Hourly salary {S}(€/h)55]]</f>
        <v>7673.1785169760133</v>
      </c>
      <c r="BM63" s="99">
        <f>0.5*Table5[[#This Row],[Direct labor costs{dL}22]]</f>
        <v>3836.5892584880066</v>
      </c>
      <c r="BN63" s="64">
        <f>POWER(Table5[[#This Row],[Daily Hydrogen Demand{mH2}(kg/day)]]/100000,0.25)*288</f>
        <v>213.14384769377816</v>
      </c>
      <c r="BO63" s="64">
        <v>18</v>
      </c>
      <c r="BP63" s="99">
        <f>(0.021*Table5[[#This Row],[Investment cost for all enroute stations]])+(0.04*Table5[[#This Row],[TIC for all enroute stations]])</f>
        <v>13935.22445775557</v>
      </c>
      <c r="BQ63" s="99">
        <f>Table5[[#This Row],[Indirect labor costs{Idl}33]]+Table5[[#This Row],[Direct labor costs{dL}22]]+Table5[[#This Row],[O&amp;Mc6]]</f>
        <v>25444.992233219593</v>
      </c>
      <c r="BR63" s="99">
        <f>Table5[[#This Row],[Non energy cost for compressor(NE)7]]/(0.9*365*Table5[[#This Row],[Daily Hydrogen Demand{mH2}(kg/day)]])</f>
        <v>2.5819373143804764E-3</v>
      </c>
      <c r="BS63" s="99">
        <f>Table5[[#This Row],[Total rated compressor power of all enroute stations(W)]]*0.306*24*365</f>
        <v>39138982.891980194</v>
      </c>
      <c r="BT63" s="99">
        <f>Table5[[#This Row],[Annual energy cost for compression for all enroute compressors(€/yr)]]/(0.9*365*Table5[[#This Row],[Daily Hydrogen Demand{mH2}(kg/day)]]*1000)</f>
        <v>3.9714848190746015E-3</v>
      </c>
      <c r="BU63" s="99">
        <f>Table5[[#This Row],[LCOHT,E10]]+Table5[[#This Row],[LCOHT,NE8]]+Table5[[#This Row],[LCOHT,invest for all enroute stations]]</f>
        <v>1.1312237661951701E-2</v>
      </c>
      <c r="BV63" s="99">
        <f>Table5[[#This Row],[LOCHT,pipe,C2(of all enroute stations)]]+Table5[[#This Row],[LOCHT,pipe,C1(Inlet compressor)]]+Table5[[#This Row],[LCOHT,pipe(€/kg)]]</f>
        <v>0.24482653835177326</v>
      </c>
      <c r="BW63" s="110">
        <f>0.738853503184714-Table5[[#This Row],[LCOHT,pipeline]]</f>
        <v>0.49402696483294073</v>
      </c>
    </row>
    <row r="64" spans="1:75">
      <c r="A64">
        <f>200</f>
        <v>200</v>
      </c>
      <c r="B64">
        <v>30000</v>
      </c>
      <c r="C64">
        <f>Table5[[#This Row],[Total Installation Costs{TIC}(€)]]+Table5[[#This Row],[Indirect Costs{Id}]]</f>
        <v>20146000</v>
      </c>
      <c r="D64">
        <f t="shared" si="2"/>
        <v>14390000</v>
      </c>
      <c r="E64">
        <f t="shared" si="12"/>
        <v>5756000</v>
      </c>
      <c r="F64" s="3">
        <v>575.6</v>
      </c>
      <c r="G64">
        <f>25</f>
        <v>25</v>
      </c>
      <c r="H64">
        <f>I64+J64</f>
        <v>166252.20120114693</v>
      </c>
      <c r="I64">
        <f>K64*L64</f>
        <v>110834.80080076463</v>
      </c>
      <c r="J64">
        <f>0.5*I64</f>
        <v>55417.400400382314</v>
      </c>
      <c r="K64">
        <f>POWER(B64/100000,0.25)*8320</f>
        <v>6157.4889333758128</v>
      </c>
      <c r="L64">
        <v>18</v>
      </c>
      <c r="M64">
        <f>0.026*C64</f>
        <v>523796</v>
      </c>
      <c r="N64">
        <f>H64+M64</f>
        <v>690048.20120114693</v>
      </c>
      <c r="O64">
        <f>((1.08^50)*0.08)/((1.08^50)-1)</f>
        <v>8.174285816161557E-2</v>
      </c>
      <c r="P64">
        <v>0.9</v>
      </c>
      <c r="Q64">
        <f t="shared" si="10"/>
        <v>0.16710214312774299</v>
      </c>
      <c r="R64">
        <f t="shared" si="0"/>
        <v>7.0020111740349764E-2</v>
      </c>
      <c r="S64">
        <f>Q64+R64</f>
        <v>0.23712225486809274</v>
      </c>
      <c r="T64" s="64">
        <v>2</v>
      </c>
      <c r="U64" s="64">
        <v>381.35408266399998</v>
      </c>
      <c r="V64" s="64">
        <f>Table5[[#This Row],[Daily Hydrogen Demand{mH2}(kg/day)]]/(0.002*24*60*60)</f>
        <v>173.61111111111111</v>
      </c>
      <c r="W64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64" s="64">
        <f>(Table5[[#This Row],[Compressor Power{P}]]/(0.95*1000))</f>
        <v>389.18113091922294</v>
      </c>
      <c r="Y64" s="64">
        <f>2655.97*POWER(Table5[[#This Row],[Rated compressor power{Pc}]],0.8335)*2</f>
        <v>765851.67401262943</v>
      </c>
      <c r="Z64" s="64">
        <f>0.4*Table5[[#This Row],[Total Installation cost for pipeline compressor {TIC}]]</f>
        <v>306340.66960505181</v>
      </c>
      <c r="AA64" s="64">
        <f>Table5[[#This Row],[Indirect costs associated with installation{Id}]]+Table5[[#This Row],[Total Installation cost for pipeline compressor {TIC}]]</f>
        <v>1072192.3436176812</v>
      </c>
      <c r="AB64" s="64">
        <f>(Table5[[#This Row],[Investment cost for inlet compressor(Invest)]]*0.1668295449)/(0.9*Table5[[#This Row],[Daily Hydrogen Demand{mH2}(kg/day)]]*365)</f>
        <v>1.8150518592694283E-2</v>
      </c>
      <c r="AC64" s="64">
        <f>Table5[[#This Row],[No of annual hours{Ann}4]]*Table5[[#This Row],[Hourly salary {S}(€/h)5]]</f>
        <v>3836.5892584880066</v>
      </c>
      <c r="AD64" s="64">
        <f>0.5*Table5[[#This Row],[Direct labor costs{dL}2]]</f>
        <v>1918.2946292440033</v>
      </c>
      <c r="AE64" s="64">
        <f>POWER(Table5[[#This Row],[Daily Hydrogen Demand{mH2}(kg/day)]]/100000,0.25)*288</f>
        <v>213.14384769377816</v>
      </c>
      <c r="AF64" s="64">
        <v>18</v>
      </c>
      <c r="AG64" s="64">
        <f>(0.021*Table5[[#This Row],[Investment cost for inlet compressor(Invest)]])+(0.04*Table5[[#This Row],[Total Installation cost for pipeline compressor {TIC}]])</f>
        <v>53150.106176476482</v>
      </c>
      <c r="AH64" s="64">
        <f>Table5[[#This Row],[O&amp;Mc]]+Table5[[#This Row],[Indirect labor costs{Idl}3]]+Table5[[#This Row],[Direct labor costs{dL}2]]</f>
        <v>58904.99006420849</v>
      </c>
      <c r="AI64" s="64">
        <f>(Table5[[#This Row],[Non energy cost for compressor(NE)]])/(0.9*Table5[[#This Row],[Daily Hydrogen Demand{mH2}(kg/day)]]*365)</f>
        <v>5.9771679415736674E-3</v>
      </c>
      <c r="AJ64" s="64">
        <f>Table5[[#This Row],[Rated compressor power{Pc}]] * 0.306 * 24 * 365</f>
        <v>1043223.3722968322</v>
      </c>
      <c r="AK64" s="64">
        <f>(Table5[[#This Row],[Annual energy cost for compression(Ec)(€)]])/(0.9*Table5[[#This Row],[Daily Hydrogen Demand{mH2}(kg/day)]]*365*1000)</f>
        <v>1.0585726761002863E-4</v>
      </c>
      <c r="AL64" s="64">
        <f>Table5[[#This Row],[LCOHT,E]]+Table5[[#This Row],[LCOHT,NE]]+Table5[[#This Row],[LCOHT,invest,(for inlet compressor)]]</f>
        <v>2.423354380187798E-2</v>
      </c>
      <c r="AM64" s="64">
        <v>2</v>
      </c>
      <c r="AN64" s="64">
        <v>345.36764970000002</v>
      </c>
      <c r="AO64" s="64">
        <f>Table5[[#This Row],[Daily Hydrogen Demand{mH2}(kg/day)]]/(0.002*24*60*60)</f>
        <v>173.61111111111111</v>
      </c>
      <c r="AP64" s="94">
        <f>Table5[[#This Row],[Daily Hydrogen Demand{mH2}(kg/day)]]/0.0849318059972404</f>
        <v>353224.56231502671</v>
      </c>
      <c r="AQ64" s="94">
        <f>Table5[[#This Row],[Mass flow rate{Qb} (m3/day)]] * (20 / 1.01) *(288.15 / 288)</f>
        <v>6998188.7810145039</v>
      </c>
      <c r="AR64" s="94">
        <f>Table5[[#This Row],[Mass flow rate(Sm3/day)]]*0.0834</f>
        <v>583648.94433660968</v>
      </c>
      <c r="AS64" s="94">
        <f>Table5[[#This Row],[Capacity,pipe2]]/(0.002*24*60*60)</f>
        <v>3377.5980575035287</v>
      </c>
      <c r="AT64" s="94">
        <f>(14.737*1.01*1.0006043620884*288*Table5[[#This Row],[Mass flow rate(Sm3/day)]])/(288.15*70*Table5[[#This Row],[Diameter of pipeline(mm)]]*Table5[[#This Row],[Diameter of pipeline(mm)]]*0.001*0.001*24*60*60)</f>
        <v>430.60651155616642</v>
      </c>
      <c r="AU64" s="96">
        <f t="shared" si="1"/>
        <v>4.015425723958442E-5</v>
      </c>
      <c r="AV64" s="94">
        <f>(4.58*Table5[[#This Row],[Velocity of hydrogen{v}(m/sec)]]*Table5[[#This Row],[Diameter of pipeline(mm)]]*0.001)/Table5[[#This Row],[μ]]</f>
        <v>9823007.3646241035</v>
      </c>
      <c r="AW64" s="109">
        <v>9.4000000000000004E-3</v>
      </c>
      <c r="AX64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498.92415984324163</v>
      </c>
      <c r="AY64" s="94">
        <f>70-Table5[[#This Row],[Pressure drop (Δp) (bar)]]</f>
        <v>-428.92415984324163</v>
      </c>
      <c r="AZ64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64" s="64">
        <f>Table5[[#This Row],[Compressor Power]]/(0.95*1000)</f>
        <v>7300.5235644753693</v>
      </c>
      <c r="BB64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64" s="65">
        <v>2</v>
      </c>
      <c r="BD64" s="64">
        <f>Table5[[#This Row],[Rated compressor power for single station]]*Table5[[#This Row],[No of enroute compressor stations]]</f>
        <v>14601.047128950739</v>
      </c>
      <c r="BE64" s="64">
        <f>Table5[[#This Row],[Rated compressor power for single station]]/16000</f>
        <v>0.4562827227797106</v>
      </c>
      <c r="BF64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64" s="64">
        <f>Table5[[#This Row],[UC for single enroute station]]*2</f>
        <v>440068.69303083618</v>
      </c>
      <c r="BH64" s="64">
        <f>Table5[[#This Row],[TIC for single enroute station]]*Table5[[#This Row],[No of compressors at single enroute station]]</f>
        <v>200795.74146621858</v>
      </c>
      <c r="BI64" s="21">
        <f>0.4*Table5[[#This Row],[TIC for all enroute stations]]</f>
        <v>80318.296586487442</v>
      </c>
      <c r="BJ64" s="100">
        <f>Table5[[#This Row],[TIC for all enroute stations]]+Table5[[#This Row],[Indirect costs for all enroute stations]]</f>
        <v>281114.03805270605</v>
      </c>
      <c r="BK64" s="100">
        <f>(Table5[[#This Row],[Investment cost for all enroute stations]]*0.1668295449)/(0.9*365*Table5[[#This Row],[Daily Hydrogen Demand{mH2}(kg/day)]])</f>
        <v>4.7588155284966236E-3</v>
      </c>
      <c r="BL64" s="100">
        <f>Table5[[#This Row],[No of enroute compressor stations]]*Table5[[#This Row],[No of annual hours{Ann}44]]*Table5[[#This Row],[Hourly salary {S}(€/h)55]]</f>
        <v>7673.1785169760133</v>
      </c>
      <c r="BM64" s="100">
        <f>0.5*Table5[[#This Row],[Direct labor costs{dL}22]]</f>
        <v>3836.5892584880066</v>
      </c>
      <c r="BN64" s="64">
        <f>POWER(Table5[[#This Row],[Daily Hydrogen Demand{mH2}(kg/day)]]/100000,0.25)*288</f>
        <v>213.14384769377816</v>
      </c>
      <c r="BO64" s="64">
        <v>18</v>
      </c>
      <c r="BP64" s="100">
        <f>(0.021*Table5[[#This Row],[Investment cost for all enroute stations]])+(0.04*Table5[[#This Row],[TIC for all enroute stations]])</f>
        <v>13935.22445775557</v>
      </c>
      <c r="BQ64" s="100">
        <f>Table5[[#This Row],[Indirect labor costs{Idl}33]]+Table5[[#This Row],[Direct labor costs{dL}22]]+Table5[[#This Row],[O&amp;Mc6]]</f>
        <v>25444.992233219593</v>
      </c>
      <c r="BR64" s="100">
        <f>Table5[[#This Row],[Non energy cost for compressor(NE)7]]/(0.9*365*Table5[[#This Row],[Daily Hydrogen Demand{mH2}(kg/day)]])</f>
        <v>2.5819373143804764E-3</v>
      </c>
      <c r="BS64" s="100">
        <f>Table5[[#This Row],[Total rated compressor power of all enroute stations(W)]]*0.306*24*365</f>
        <v>39138982.891980194</v>
      </c>
      <c r="BT64" s="100">
        <f>Table5[[#This Row],[Annual energy cost for compression for all enroute compressors(€/yr)]]/(0.9*365*Table5[[#This Row],[Daily Hydrogen Demand{mH2}(kg/day)]]*1000)</f>
        <v>3.9714848190746015E-3</v>
      </c>
      <c r="BU64" s="100">
        <f>Table5[[#This Row],[LCOHT,E10]]+Table5[[#This Row],[LCOHT,NE8]]+Table5[[#This Row],[LCOHT,invest for all enroute stations]]</f>
        <v>1.1312237661951701E-2</v>
      </c>
      <c r="BV64" s="100">
        <f>Table5[[#This Row],[LOCHT,pipe,C2(of all enroute stations)]]+Table5[[#This Row],[LOCHT,pipe,C1(Inlet compressor)]]+Table5[[#This Row],[LCOHT,pipe(€/kg)]]</f>
        <v>0.27266803633192244</v>
      </c>
      <c r="BW64" s="110">
        <f>0.738853503184714-Table5[[#This Row],[LCOHT,pipeline]]</f>
        <v>0.46618546685279155</v>
      </c>
    </row>
    <row r="65" spans="1:75">
      <c r="A65">
        <v>150</v>
      </c>
      <c r="B65">
        <v>100000</v>
      </c>
      <c r="C65">
        <f>Table5[[#This Row],[Total Installation Costs{TIC}(€)]]+Table5[[#This Row],[Indirect Costs{Id}]]</f>
        <v>17599400</v>
      </c>
      <c r="D65">
        <f t="shared" si="2"/>
        <v>12571000</v>
      </c>
      <c r="E65">
        <f t="shared" si="12"/>
        <v>5028400</v>
      </c>
      <c r="F65" s="3">
        <v>502.84</v>
      </c>
      <c r="G65">
        <f>25</f>
        <v>25</v>
      </c>
      <c r="H65">
        <f>I65+J65</f>
        <v>224640</v>
      </c>
      <c r="I65">
        <f>K65*L65</f>
        <v>149760</v>
      </c>
      <c r="J65">
        <f>0.5*I65</f>
        <v>74880</v>
      </c>
      <c r="K65">
        <f>POWER(B65/100000,0.25)*8320</f>
        <v>8320</v>
      </c>
      <c r="L65">
        <v>18</v>
      </c>
      <c r="M65">
        <f>0.026*C65</f>
        <v>457584.39999999997</v>
      </c>
      <c r="N65">
        <f>H65+M65</f>
        <v>682224.39999999991</v>
      </c>
      <c r="O65">
        <f>((1.08^50)*0.08)/((1.08^50)-1)</f>
        <v>8.174285816161557E-2</v>
      </c>
      <c r="P65">
        <v>0.9</v>
      </c>
      <c r="Q65">
        <f t="shared" si="10"/>
        <v>4.3793767364673879E-2</v>
      </c>
      <c r="R65">
        <f t="shared" si="0"/>
        <v>2.0767866057838657E-2</v>
      </c>
      <c r="S65">
        <f>Q65+R65</f>
        <v>6.4561633422512532E-2</v>
      </c>
      <c r="T65" s="64">
        <v>2</v>
      </c>
      <c r="U65" s="64">
        <v>381.35408266399998</v>
      </c>
      <c r="V65" s="64">
        <f>Table5[[#This Row],[Daily Hydrogen Demand{mH2}(kg/day)]]/(0.002*24*60*60)</f>
        <v>578.70370370370381</v>
      </c>
      <c r="W65" s="64">
        <f>Table5[[#This Row],[No of compressor stages{N}]]
* Table5[[#This Row],[Molar flow{qM}(moles/sec)]]
* 8.314
* 305.15*1.024
* (1.41 / (1.41 - 1))
* (POWER(3.5, 0.14539007 / Table5[[#This Row],[No of compressor stages{N}]]) - 1)
/ 0.8</f>
        <v>1232406.9145775391</v>
      </c>
      <c r="X65" s="64">
        <f>(Table5[[#This Row],[Compressor Power{P}]]/(0.95*1000))</f>
        <v>1297.2704363974096</v>
      </c>
      <c r="Y65" s="64">
        <f>2655.97*POWER(Table5[[#This Row],[Rated compressor power{Pc}]],0.8335)*2</f>
        <v>2089123.4317526598</v>
      </c>
      <c r="Z65" s="64">
        <f>0.4*Table5[[#This Row],[Total Installation cost for pipeline compressor {TIC}]]</f>
        <v>835649.37270106399</v>
      </c>
      <c r="AA65" s="64">
        <f>Table5[[#This Row],[Indirect costs associated with installation{Id}]]+Table5[[#This Row],[Total Installation cost for pipeline compressor {TIC}]]</f>
        <v>2924772.8044537241</v>
      </c>
      <c r="AB65" s="64">
        <f>(Table5[[#This Row],[Investment cost for inlet compressor(Invest)]]*0.1668295449)/(0.9*Table5[[#This Row],[Daily Hydrogen Demand{mH2}(kg/day)]]*365)</f>
        <v>1.4853531686542205E-2</v>
      </c>
      <c r="AC65" s="64">
        <f>Table5[[#This Row],[No of annual hours{Ann}4]]*Table5[[#This Row],[Hourly salary {S}(€/h)5]]</f>
        <v>5184</v>
      </c>
      <c r="AD65" s="64">
        <f>0.5*Table5[[#This Row],[Direct labor costs{dL}2]]</f>
        <v>2592</v>
      </c>
      <c r="AE65" s="64">
        <f>POWER(Table5[[#This Row],[Daily Hydrogen Demand{mH2}(kg/day)]]/100000,0.25)*288</f>
        <v>288</v>
      </c>
      <c r="AF65" s="64">
        <v>18</v>
      </c>
      <c r="AG65" s="64">
        <f>(0.021*Table5[[#This Row],[Investment cost for inlet compressor(Invest)]])+(0.04*Table5[[#This Row],[Total Installation cost for pipeline compressor {TIC}]])</f>
        <v>144985.16616363463</v>
      </c>
      <c r="AH65" s="64">
        <f>Table5[[#This Row],[O&amp;Mc]]+Table5[[#This Row],[Indirect labor costs{Idl}3]]+Table5[[#This Row],[Direct labor costs{dL}2]]</f>
        <v>152761.16616363463</v>
      </c>
      <c r="AI65" s="64">
        <f>(Table5[[#This Row],[Non energy cost for compressor(NE)]])/(0.9*Table5[[#This Row],[Daily Hydrogen Demand{mH2}(kg/day)]]*365)</f>
        <v>4.6502638101563049E-3</v>
      </c>
      <c r="AJ65" s="64">
        <f>Table5[[#This Row],[Rated compressor power{Pc}]] * 0.306 * 24 * 365</f>
        <v>3477411.2409894406</v>
      </c>
      <c r="AK65" s="64">
        <f>(Table5[[#This Row],[Annual energy cost for compression(Ec)(€)]])/(0.9*Table5[[#This Row],[Daily Hydrogen Demand{mH2}(kg/day)]]*365*1000)</f>
        <v>1.0585726761002863E-4</v>
      </c>
      <c r="AL65" s="64">
        <f>Table5[[#This Row],[LCOHT,E]]+Table5[[#This Row],[LCOHT,NE]]+Table5[[#This Row],[LCOHT,invest,(for inlet compressor)]]</f>
        <v>1.9609652764308538E-2</v>
      </c>
      <c r="AM65" s="64">
        <v>2</v>
      </c>
      <c r="AN65" s="64">
        <v>345.36764970000002</v>
      </c>
      <c r="AO65" s="64">
        <f>Table5[[#This Row],[Daily Hydrogen Demand{mH2}(kg/day)]]/(0.002*24*60*60)</f>
        <v>578.70370370370381</v>
      </c>
      <c r="AP65" s="94">
        <f>Table5[[#This Row],[Daily Hydrogen Demand{mH2}(kg/day)]]/0.0849318059972404</f>
        <v>1177415.2077167556</v>
      </c>
      <c r="AQ65" s="94">
        <f>Table5[[#This Row],[Mass flow rate{Qb} (m3/day)]] * (20 / 1.01) *(288.15 / 288)</f>
        <v>23327295.936715011</v>
      </c>
      <c r="AR65" s="94">
        <f>Table5[[#This Row],[Mass flow rate(Sm3/day)]]*0.0834</f>
        <v>1945496.481122032</v>
      </c>
      <c r="AS65" s="94">
        <f>Table5[[#This Row],[Capacity,pipe2]]/(0.002*24*60*60)</f>
        <v>11258.660191678428</v>
      </c>
      <c r="AT65" s="94">
        <f>(14.737*1.01*1.0006043620884*288*Table5[[#This Row],[Mass flow rate(Sm3/day)]])/(288.15*70*Table5[[#This Row],[Diameter of pipeline(mm)]]*Table5[[#This Row],[Diameter of pipeline(mm)]]*0.001*0.001*24*60*60)</f>
        <v>2551.7422907032083</v>
      </c>
      <c r="AU65" s="96">
        <f t="shared" si="1"/>
        <v>4.015425723958442E-5</v>
      </c>
      <c r="AV65" s="94">
        <f>(4.58*Table5[[#This Row],[Velocity of hydrogen{v}(m/sec)]]*Table5[[#This Row],[Diameter of pipeline(mm)]]*0.001)/Table5[[#This Row],[μ]]</f>
        <v>43657810.509440452</v>
      </c>
      <c r="AW65" s="109">
        <v>9.4000000000000004E-3</v>
      </c>
      <c r="AX65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23360.692257863713</v>
      </c>
      <c r="AY65" s="94">
        <f>70-Table5[[#This Row],[Pressure drop (Δp) (bar)]]</f>
        <v>-23290.692257863713</v>
      </c>
      <c r="AZ65" s="65">
        <f xml:space="preserve"> (Table5[[#This Row],[N]] *Table5[[#This Row],[qM**]]* 8.314 * 293.15 * (1.02776828999228/0.8) * (1.41 / (1.41 - 1)) * (POWER(3.5, 0.14539007 / Table5[[#This Row],[N]]) - 1))</f>
        <v>23118324.620838672</v>
      </c>
      <c r="BA65" s="64">
        <f>Table5[[#This Row],[Compressor Power]]/(0.95*1000)</f>
        <v>24335.078548251233</v>
      </c>
      <c r="BB65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65" s="65">
        <v>2</v>
      </c>
      <c r="BD65" s="64">
        <f>Table5[[#This Row],[Rated compressor power for single station]]*Table5[[#This Row],[No of enroute compressor stations]]</f>
        <v>48670.157096502466</v>
      </c>
      <c r="BE65" s="64">
        <f>Table5[[#This Row],[Rated compressor power for single station]]/16000</f>
        <v>1.520942409265702</v>
      </c>
      <c r="BF65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14169709.090325901</v>
      </c>
      <c r="BG65" s="64">
        <f>Table5[[#This Row],[UC for single enroute station]]*2</f>
        <v>28339418.180651803</v>
      </c>
      <c r="BH65" s="64">
        <f>Table5[[#This Row],[TIC for single enroute station]]*Table5[[#This Row],[No of compressors at single enroute station]]</f>
        <v>43102622.964868791</v>
      </c>
      <c r="BI65" s="98">
        <f>0.4*Table5[[#This Row],[TIC for all enroute stations]]</f>
        <v>17241049.185947519</v>
      </c>
      <c r="BJ65" s="99">
        <f>Table5[[#This Row],[TIC for all enroute stations]]+Table5[[#This Row],[Indirect costs for all enroute stations]]</f>
        <v>60343672.150816306</v>
      </c>
      <c r="BK65" s="99">
        <f>(Table5[[#This Row],[Investment cost for all enroute stations]]*0.1668295449)/(0.9*365*Table5[[#This Row],[Daily Hydrogen Demand{mH2}(kg/day)]])</f>
        <v>0.30645684512984744</v>
      </c>
      <c r="BL65" s="99">
        <f>Table5[[#This Row],[No of enroute compressor stations]]*Table5[[#This Row],[No of annual hours{Ann}44]]*Table5[[#This Row],[Hourly salary {S}(€/h)55]]</f>
        <v>10368</v>
      </c>
      <c r="BM65" s="99">
        <f>0.5*Table5[[#This Row],[Direct labor costs{dL}22]]</f>
        <v>5184</v>
      </c>
      <c r="BN65" s="64">
        <f>POWER(Table5[[#This Row],[Daily Hydrogen Demand{mH2}(kg/day)]]/100000,0.25)*288</f>
        <v>288</v>
      </c>
      <c r="BO65" s="64">
        <v>18</v>
      </c>
      <c r="BP65" s="99">
        <f>(0.021*Table5[[#This Row],[Investment cost for all enroute stations]])+(0.04*Table5[[#This Row],[TIC for all enroute stations]])</f>
        <v>2991322.0337618943</v>
      </c>
      <c r="BQ65" s="99">
        <f>Table5[[#This Row],[Indirect labor costs{Idl}33]]+Table5[[#This Row],[Direct labor costs{dL}22]]+Table5[[#This Row],[O&amp;Mc6]]</f>
        <v>3006874.0337618943</v>
      </c>
      <c r="BR65" s="99">
        <f>Table5[[#This Row],[Non energy cost for compressor(NE)7]]/(0.9*365*Table5[[#This Row],[Daily Hydrogen Demand{mH2}(kg/day)]])</f>
        <v>9.1533456126693891E-2</v>
      </c>
      <c r="BS65" s="99">
        <f>Table5[[#This Row],[Total rated compressor power of all enroute stations(W)]]*0.306*24*365</f>
        <v>130463276.30660065</v>
      </c>
      <c r="BT65" s="99">
        <f>Table5[[#This Row],[Annual energy cost for compression for all enroute compressors(€/yr)]]/(0.9*365*Table5[[#This Row],[Daily Hydrogen Demand{mH2}(kg/day)]]*1000)</f>
        <v>3.9714848190746015E-3</v>
      </c>
      <c r="BU65" s="99">
        <f>Table5[[#This Row],[LCOHT,E10]]+Table5[[#This Row],[LCOHT,NE8]]+Table5[[#This Row],[LCOHT,invest for all enroute stations]]</f>
        <v>0.40196178607561595</v>
      </c>
      <c r="BV65" s="99">
        <f>Table5[[#This Row],[LOCHT,pipe,C2(of all enroute stations)]]+Table5[[#This Row],[LOCHT,pipe,C1(Inlet compressor)]]+Table5[[#This Row],[LCOHT,pipe(€/kg)]]</f>
        <v>0.48613307226243702</v>
      </c>
      <c r="BW65" s="110">
        <f>0.738853503184714-Table5[[#This Row],[LCOHT,pipeline]]</f>
        <v>0.25272043092227697</v>
      </c>
    </row>
    <row r="66" spans="1:75">
      <c r="A66">
        <v>200</v>
      </c>
      <c r="B66">
        <v>100000</v>
      </c>
      <c r="C66">
        <f>Table5[[#This Row],[Total Installation Costs{TIC}(€)]]+Table5[[#This Row],[Indirect Costs{Id}]]</f>
        <v>20146000</v>
      </c>
      <c r="D66">
        <f t="shared" si="2"/>
        <v>14390000</v>
      </c>
      <c r="E66">
        <f t="shared" si="12"/>
        <v>5756000</v>
      </c>
      <c r="F66" s="3">
        <v>575.6</v>
      </c>
      <c r="G66">
        <f>25</f>
        <v>25</v>
      </c>
      <c r="H66">
        <f>I66+J66</f>
        <v>224640</v>
      </c>
      <c r="I66">
        <f>K66*L66</f>
        <v>149760</v>
      </c>
      <c r="J66">
        <f>0.5*I66</f>
        <v>74880</v>
      </c>
      <c r="K66">
        <f>POWER(B66/100000,0.25)*8320</f>
        <v>8320</v>
      </c>
      <c r="L66">
        <v>18</v>
      </c>
      <c r="M66">
        <f>0.026*C66</f>
        <v>523796</v>
      </c>
      <c r="N66">
        <f>H66+M66</f>
        <v>748436</v>
      </c>
      <c r="O66">
        <f>((1.08^50)*0.08)/((1.08^50)-1)</f>
        <v>8.174285816161557E-2</v>
      </c>
      <c r="P66">
        <v>0.9</v>
      </c>
      <c r="Q66">
        <f t="shared" si="10"/>
        <v>5.0130642938322902E-2</v>
      </c>
      <c r="R66">
        <f t="shared" si="0"/>
        <v>2.2783439878234397E-2</v>
      </c>
      <c r="S66">
        <f>Q66+R66</f>
        <v>7.2914082816557299E-2</v>
      </c>
      <c r="T66" s="64">
        <v>2</v>
      </c>
      <c r="U66" s="64">
        <v>381.35408266399998</v>
      </c>
      <c r="V66" s="64">
        <f>Table5[[#This Row],[Daily Hydrogen Demand{mH2}(kg/day)]]/(0.002*24*60*60)</f>
        <v>578.70370370370381</v>
      </c>
      <c r="W66" s="64">
        <f>Table5[[#This Row],[No of compressor stages{N}]]
* Table5[[#This Row],[Molar flow{qM}(moles/sec)]]
* 8.314
* 305.15*1.024
* (1.41 / (1.41 - 1))
* (POWER(3.5, 0.14539007 / Table5[[#This Row],[No of compressor stages{N}]]) - 1)
/ 0.8</f>
        <v>1232406.9145775391</v>
      </c>
      <c r="X66" s="64">
        <f>(Table5[[#This Row],[Compressor Power{P}]]/(0.95*1000))</f>
        <v>1297.2704363974096</v>
      </c>
      <c r="Y66" s="64">
        <f>2655.97*POWER(Table5[[#This Row],[Rated compressor power{Pc}]],0.8335)*2</f>
        <v>2089123.4317526598</v>
      </c>
      <c r="Z66" s="64">
        <f>0.4*Table5[[#This Row],[Total Installation cost for pipeline compressor {TIC}]]</f>
        <v>835649.37270106399</v>
      </c>
      <c r="AA66" s="64">
        <f>Table5[[#This Row],[Indirect costs associated with installation{Id}]]+Table5[[#This Row],[Total Installation cost for pipeline compressor {TIC}]]</f>
        <v>2924772.8044537241</v>
      </c>
      <c r="AB66" s="64">
        <f>(Table5[[#This Row],[Investment cost for inlet compressor(Invest)]]*0.1668295449)/(0.9*Table5[[#This Row],[Daily Hydrogen Demand{mH2}(kg/day)]]*365)</f>
        <v>1.4853531686542205E-2</v>
      </c>
      <c r="AC66" s="64">
        <f>Table5[[#This Row],[No of annual hours{Ann}4]]*Table5[[#This Row],[Hourly salary {S}(€/h)5]]</f>
        <v>5184</v>
      </c>
      <c r="AD66" s="64">
        <f>0.5*Table5[[#This Row],[Direct labor costs{dL}2]]</f>
        <v>2592</v>
      </c>
      <c r="AE66" s="64">
        <f>POWER(Table5[[#This Row],[Daily Hydrogen Demand{mH2}(kg/day)]]/100000,0.25)*288</f>
        <v>288</v>
      </c>
      <c r="AF66" s="64">
        <v>18</v>
      </c>
      <c r="AG66" s="64">
        <f>(0.021*Table5[[#This Row],[Investment cost for inlet compressor(Invest)]])+(0.04*Table5[[#This Row],[Total Installation cost for pipeline compressor {TIC}]])</f>
        <v>144985.16616363463</v>
      </c>
      <c r="AH66" s="64">
        <f>Table5[[#This Row],[O&amp;Mc]]+Table5[[#This Row],[Indirect labor costs{Idl}3]]+Table5[[#This Row],[Direct labor costs{dL}2]]</f>
        <v>152761.16616363463</v>
      </c>
      <c r="AI66" s="64">
        <f>(Table5[[#This Row],[Non energy cost for compressor(NE)]])/(0.9*Table5[[#This Row],[Daily Hydrogen Demand{mH2}(kg/day)]]*365)</f>
        <v>4.6502638101563049E-3</v>
      </c>
      <c r="AJ66" s="64">
        <f>Table5[[#This Row],[Rated compressor power{Pc}]] * 0.306 * 24 * 365</f>
        <v>3477411.2409894406</v>
      </c>
      <c r="AK66" s="64">
        <f>(Table5[[#This Row],[Annual energy cost for compression(Ec)(€)]])/(0.9*Table5[[#This Row],[Daily Hydrogen Demand{mH2}(kg/day)]]*365*1000)</f>
        <v>1.0585726761002863E-4</v>
      </c>
      <c r="AL66" s="64">
        <f>Table5[[#This Row],[LCOHT,E]]+Table5[[#This Row],[LCOHT,NE]]+Table5[[#This Row],[LCOHT,invest,(for inlet compressor)]]</f>
        <v>1.9609652764308538E-2</v>
      </c>
      <c r="AM66" s="64">
        <v>2</v>
      </c>
      <c r="AN66" s="64">
        <v>345.36764970000002</v>
      </c>
      <c r="AO66" s="64">
        <f>Table5[[#This Row],[Daily Hydrogen Demand{mH2}(kg/day)]]/(0.002*24*60*60)</f>
        <v>578.70370370370381</v>
      </c>
      <c r="AP66" s="94">
        <f>Table5[[#This Row],[Daily Hydrogen Demand{mH2}(kg/day)]]/0.0849318059972404</f>
        <v>1177415.2077167556</v>
      </c>
      <c r="AQ66" s="94">
        <f>Table5[[#This Row],[Mass flow rate{Qb} (m3/day)]] * (20 / 1.01) *(288.15 / 288)</f>
        <v>23327295.936715011</v>
      </c>
      <c r="AR66" s="94">
        <f>Table5[[#This Row],[Mass flow rate(Sm3/day)]]*0.0834</f>
        <v>1945496.481122032</v>
      </c>
      <c r="AS66" s="94">
        <f>Table5[[#This Row],[Capacity,pipe2]]/(0.002*24*60*60)</f>
        <v>11258.660191678428</v>
      </c>
      <c r="AT66" s="94">
        <f>(14.737*1.01*1.0006043620884*288*Table5[[#This Row],[Mass flow rate(Sm3/day)]])/(288.15*70*Table5[[#This Row],[Diameter of pipeline(mm)]]*Table5[[#This Row],[Diameter of pipeline(mm)]]*0.001*0.001*24*60*60)</f>
        <v>1435.3550385205547</v>
      </c>
      <c r="AU66" s="96">
        <f t="shared" si="1"/>
        <v>4.015425723958442E-5</v>
      </c>
      <c r="AV66" s="94">
        <f>(4.58*Table5[[#This Row],[Velocity of hydrogen{v}(m/sec)]]*Table5[[#This Row],[Diameter of pipeline(mm)]]*0.001)/Table5[[#This Row],[μ]]</f>
        <v>32743357.882080343</v>
      </c>
      <c r="AW66" s="109">
        <v>9.4000000000000004E-3</v>
      </c>
      <c r="AX66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5543.6017760360173</v>
      </c>
      <c r="AY66" s="94">
        <f>70-Table5[[#This Row],[Pressure drop (Δp) (bar)]]</f>
        <v>-5473.6017760360173</v>
      </c>
      <c r="AZ66" s="65">
        <f xml:space="preserve"> (Table5[[#This Row],[N]] *Table5[[#This Row],[qM**]]* 8.314 * 293.15 * (1.02776828999228/0.8) * (1.41 / (1.41 - 1)) * (POWER(3.5, 0.14539007 / Table5[[#This Row],[N]]) - 1))</f>
        <v>23118324.620838672</v>
      </c>
      <c r="BA66" s="64">
        <f>Table5[[#This Row],[Compressor Power]]/(0.95*1000)</f>
        <v>24335.078548251233</v>
      </c>
      <c r="BB66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355.22388059701399</v>
      </c>
      <c r="BC66" s="65">
        <v>2</v>
      </c>
      <c r="BD66" s="64">
        <f>Table5[[#This Row],[Rated compressor power for single station]]*Table5[[#This Row],[No of enroute compressor stations]]</f>
        <v>48670.157096502466</v>
      </c>
      <c r="BE66" s="64">
        <f>Table5[[#This Row],[Rated compressor power for single station]]/16000</f>
        <v>1.520942409265702</v>
      </c>
      <c r="BF66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14169709.090325901</v>
      </c>
      <c r="BG66" s="64">
        <f>Table5[[#This Row],[UC for single enroute station]]*2</f>
        <v>28339418.180651803</v>
      </c>
      <c r="BH66" s="64">
        <f>Table5[[#This Row],[TIC for single enroute station]]*Table5[[#This Row],[No of compressors at single enroute station]]</f>
        <v>43102622.964868791</v>
      </c>
      <c r="BI66" s="21">
        <f>0.4*Table5[[#This Row],[TIC for all enroute stations]]</f>
        <v>17241049.185947519</v>
      </c>
      <c r="BJ66" s="100">
        <f>Table5[[#This Row],[TIC for all enroute stations]]+Table5[[#This Row],[Indirect costs for all enroute stations]]</f>
        <v>60343672.150816306</v>
      </c>
      <c r="BK66" s="100">
        <f>(Table5[[#This Row],[Investment cost for all enroute stations]]*0.1668295449)/(0.9*365*Table5[[#This Row],[Daily Hydrogen Demand{mH2}(kg/day)]])</f>
        <v>0.30645684512984744</v>
      </c>
      <c r="BL66" s="100">
        <f>Table5[[#This Row],[No of enroute compressor stations]]*Table5[[#This Row],[No of annual hours{Ann}44]]*Table5[[#This Row],[Hourly salary {S}(€/h)55]]</f>
        <v>10368</v>
      </c>
      <c r="BM66" s="100">
        <f>0.5*Table5[[#This Row],[Direct labor costs{dL}22]]</f>
        <v>5184</v>
      </c>
      <c r="BN66" s="64">
        <f>POWER(Table5[[#This Row],[Daily Hydrogen Demand{mH2}(kg/day)]]/100000,0.25)*288</f>
        <v>288</v>
      </c>
      <c r="BO66" s="64">
        <v>18</v>
      </c>
      <c r="BP66" s="100">
        <f>(0.021*Table5[[#This Row],[Investment cost for all enroute stations]])+(0.04*Table5[[#This Row],[TIC for all enroute stations]])</f>
        <v>2991322.0337618943</v>
      </c>
      <c r="BQ66" s="100">
        <f>Table5[[#This Row],[Indirect labor costs{Idl}33]]+Table5[[#This Row],[Direct labor costs{dL}22]]+Table5[[#This Row],[O&amp;Mc6]]</f>
        <v>3006874.0337618943</v>
      </c>
      <c r="BR66" s="100">
        <f>Table5[[#This Row],[Non energy cost for compressor(NE)7]]/(0.9*365*Table5[[#This Row],[Daily Hydrogen Demand{mH2}(kg/day)]])</f>
        <v>9.1533456126693891E-2</v>
      </c>
      <c r="BS66" s="100">
        <f>Table5[[#This Row],[Total rated compressor power of all enroute stations(W)]]*0.306*24*365</f>
        <v>130463276.30660065</v>
      </c>
      <c r="BT66" s="100">
        <f>Table5[[#This Row],[Annual energy cost for compression for all enroute compressors(€/yr)]]/(0.9*365*Table5[[#This Row],[Daily Hydrogen Demand{mH2}(kg/day)]]*1000)</f>
        <v>3.9714848190746015E-3</v>
      </c>
      <c r="BU66" s="100">
        <f>Table5[[#This Row],[LCOHT,E10]]+Table5[[#This Row],[LCOHT,NE8]]+Table5[[#This Row],[LCOHT,invest for all enroute stations]]</f>
        <v>0.40196178607561595</v>
      </c>
      <c r="BV66" s="100">
        <f>Table5[[#This Row],[LOCHT,pipe,C2(of all enroute stations)]]+Table5[[#This Row],[LOCHT,pipe,C1(Inlet compressor)]]+Table5[[#This Row],[LCOHT,pipe(€/kg)]]</f>
        <v>0.4944855216564818</v>
      </c>
      <c r="BW66" s="110">
        <f>0.738853503184714-Table5[[#This Row],[LCOHT,pipeline]]</f>
        <v>0.24436798152823219</v>
      </c>
    </row>
    <row r="67" spans="1:75">
      <c r="A67">
        <f>100</f>
        <v>100</v>
      </c>
      <c r="B67">
        <v>10000</v>
      </c>
      <c r="C67">
        <f>Table5[[#This Row],[Total Installation Costs{TIC}(€)]]+Table5[[#This Row],[Indirect Costs{Id}]]</f>
        <v>60249000</v>
      </c>
      <c r="D67">
        <f t="shared" si="2"/>
        <v>43035000</v>
      </c>
      <c r="E67">
        <f t="shared" si="12"/>
        <v>17214000</v>
      </c>
      <c r="F67" s="3">
        <v>430.35</v>
      </c>
      <c r="G67">
        <f>100</f>
        <v>100</v>
      </c>
      <c r="H67">
        <f>I67+J67</f>
        <v>126324.35529076001</v>
      </c>
      <c r="I67">
        <f>K67*L67</f>
        <v>84216.236860506673</v>
      </c>
      <c r="J67">
        <f>0.5*I67</f>
        <v>42108.118430253337</v>
      </c>
      <c r="K67">
        <f>POWER(B67/100000,0.25)*8320</f>
        <v>4678.6798255837039</v>
      </c>
      <c r="L67">
        <v>18</v>
      </c>
      <c r="M67">
        <f>0.026*C67</f>
        <v>1566474</v>
      </c>
      <c r="N67">
        <f>H67+M67</f>
        <v>1692798.3552907601</v>
      </c>
      <c r="O67">
        <f>((1.08^50)*0.08)/((1.08^50)-1)</f>
        <v>8.174285816161557E-2</v>
      </c>
      <c r="P67">
        <v>0.9</v>
      </c>
      <c r="Q67">
        <f t="shared" si="10"/>
        <v>1.4992162743924433</v>
      </c>
      <c r="R67">
        <f t="shared" si="0"/>
        <v>0.51531152368059663</v>
      </c>
      <c r="S67">
        <f>Q67+R67</f>
        <v>2.0145277980730398</v>
      </c>
      <c r="T67" s="64">
        <v>2</v>
      </c>
      <c r="U67" s="64">
        <v>381.35408266399998</v>
      </c>
      <c r="V67" s="64">
        <f>Table5[[#This Row],[Daily Hydrogen Demand{mH2}(kg/day)]]/(0.002*24*60*60)</f>
        <v>57.870370370370374</v>
      </c>
      <c r="W67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67" s="64">
        <f>(Table5[[#This Row],[Compressor Power{P}]]/(0.95*1000))</f>
        <v>129.72704363974094</v>
      </c>
      <c r="Y67" s="64">
        <f>2655.97*POWER(Table5[[#This Row],[Rated compressor power{Pc}]],0.8335)*2</f>
        <v>306523.72890720674</v>
      </c>
      <c r="Z67" s="64">
        <f>0.4*Table5[[#This Row],[Total Installation cost for pipeline compressor {TIC}]]</f>
        <v>122609.4915628827</v>
      </c>
      <c r="AA67" s="64">
        <f>Table5[[#This Row],[Indirect costs associated with installation{Id}]]+Table5[[#This Row],[Total Installation cost for pipeline compressor {TIC}]]</f>
        <v>429133.22047008947</v>
      </c>
      <c r="AB67" s="64">
        <f>(Table5[[#This Row],[Investment cost for inlet compressor(Invest)]]*0.1668295449)/(0.9*Table5[[#This Row],[Daily Hydrogen Demand{mH2}(kg/day)]]*365)</f>
        <v>2.1793637708522492E-2</v>
      </c>
      <c r="AC67" s="64">
        <f>Table5[[#This Row],[No of annual hours{Ann}4]]*Table5[[#This Row],[Hourly salary {S}(€/h)5]]</f>
        <v>2915.1774297867696</v>
      </c>
      <c r="AD67" s="64">
        <f>0.5*Table5[[#This Row],[Direct labor costs{dL}2]]</f>
        <v>1457.5887148933848</v>
      </c>
      <c r="AE67" s="64">
        <f>POWER(Table5[[#This Row],[Daily Hydrogen Demand{mH2}(kg/day)]]/100000,0.25)*288</f>
        <v>161.95430165482054</v>
      </c>
      <c r="AF67" s="64">
        <v>18</v>
      </c>
      <c r="AG67" s="64">
        <f>(0.021*Table5[[#This Row],[Investment cost for inlet compressor(Invest)]])+(0.04*Table5[[#This Row],[Total Installation cost for pipeline compressor {TIC}]])</f>
        <v>21272.746786160147</v>
      </c>
      <c r="AH67" s="64">
        <f>Table5[[#This Row],[O&amp;Mc]]+Table5[[#This Row],[Indirect labor costs{Idl}3]]+Table5[[#This Row],[Direct labor costs{dL}2]]</f>
        <v>25645.512930840301</v>
      </c>
      <c r="AI67" s="64">
        <f>(Table5[[#This Row],[Non energy cost for compressor(NE)]])/(0.9*Table5[[#This Row],[Daily Hydrogen Demand{mH2}(kg/day)]]*365)</f>
        <v>7.8068532513973516E-3</v>
      </c>
      <c r="AJ67" s="64">
        <f>Table5[[#This Row],[Rated compressor power{Pc}]] * 0.306 * 24 * 365</f>
        <v>347741.12409894395</v>
      </c>
      <c r="AK67" s="64">
        <f>(Table5[[#This Row],[Annual energy cost for compression(Ec)(€)]])/(0.9*Table5[[#This Row],[Daily Hydrogen Demand{mH2}(kg/day)]]*365*1000)</f>
        <v>1.0585726761002861E-4</v>
      </c>
      <c r="AL67" s="64">
        <f>Table5[[#This Row],[LCOHT,E]]+Table5[[#This Row],[LCOHT,NE]]+Table5[[#This Row],[LCOHT,invest,(for inlet compressor)]]</f>
        <v>2.970634822752987E-2</v>
      </c>
      <c r="AM67" s="64">
        <v>2</v>
      </c>
      <c r="AN67" s="64">
        <v>345.36764970000002</v>
      </c>
      <c r="AO67" s="64">
        <f>Table5[[#This Row],[Daily Hydrogen Demand{mH2}(kg/day)]]/(0.002*24*60*60)</f>
        <v>57.870370370370374</v>
      </c>
      <c r="AP67" s="94">
        <f>Table5[[#This Row],[Daily Hydrogen Demand{mH2}(kg/day)]]/0.0849318059972404</f>
        <v>117741.52077167557</v>
      </c>
      <c r="AQ67" s="94">
        <f>Table5[[#This Row],[Mass flow rate{Qb} (m3/day)]] * (20 / 1.01) *(288.15 / 288)</f>
        <v>2332729.5936715011</v>
      </c>
      <c r="AR67" s="94">
        <f>Table5[[#This Row],[Mass flow rate(Sm3/day)]]*0.0834</f>
        <v>194549.6481122032</v>
      </c>
      <c r="AS67" s="94">
        <f>Table5[[#This Row],[Capacity,pipe2]]/(0.002*24*60*60)</f>
        <v>1125.8660191678428</v>
      </c>
      <c r="AT67" s="94">
        <f>(14.737*1.01*1.0006043620884*288*Table5[[#This Row],[Mass flow rate(Sm3/day)]])/(288.15*70*Table5[[#This Row],[Diameter of pipeline(mm)]]*Table5[[#This Row],[Diameter of pipeline(mm)]]*0.001*0.001*24*60*60)</f>
        <v>574.14201540822194</v>
      </c>
      <c r="AU67" s="96">
        <f t="shared" si="1"/>
        <v>4.015425723958442E-5</v>
      </c>
      <c r="AV67" s="94">
        <f>(4.58*Table5[[#This Row],[Velocity of hydrogen{v}(m/sec)]]*Table5[[#This Row],[Diameter of pipeline(mm)]]*0.001)/Table5[[#This Row],[μ]]</f>
        <v>6548671.5764160687</v>
      </c>
      <c r="AW67" s="109">
        <v>9.4000000000000004E-3</v>
      </c>
      <c r="AX67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7095.810273326103</v>
      </c>
      <c r="AY67" s="94">
        <f>70-Table5[[#This Row],[Pressure drop (Δp) (bar)]]</f>
        <v>-7025.810273326103</v>
      </c>
      <c r="AZ67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67" s="64">
        <f>Table5[[#This Row],[Compressor Power]]/(0.95*1000)</f>
        <v>2433.5078548251226</v>
      </c>
      <c r="BB67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67" s="65">
        <v>2</v>
      </c>
      <c r="BD67" s="64">
        <f>Table5[[#This Row],[Rated compressor power for single station]]*Table5[[#This Row],[No of enroute compressor stations]]</f>
        <v>4867.0157096502453</v>
      </c>
      <c r="BE67" s="64">
        <f>Table5[[#This Row],[Rated compressor power for single station]]/16000</f>
        <v>0.15209424092657017</v>
      </c>
      <c r="BF67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67" s="64">
        <f>Table5[[#This Row],[UC for single enroute station]]*2</f>
        <v>23156.642900224531</v>
      </c>
      <c r="BH67" s="64">
        <f>Table5[[#This Row],[TIC for single enroute station]]*Table5[[#This Row],[No of compressors at single enroute station]]</f>
        <v>3521.9920243173005</v>
      </c>
      <c r="BI67" s="98">
        <f>0.4*Table5[[#This Row],[TIC for all enroute stations]]</f>
        <v>1408.7968097269204</v>
      </c>
      <c r="BJ67" s="99">
        <f>Table5[[#This Row],[TIC for all enroute stations]]+Table5[[#This Row],[Indirect costs for all enroute stations]]</f>
        <v>4930.7888340442205</v>
      </c>
      <c r="BK67" s="99">
        <f>(Table5[[#This Row],[Investment cost for all enroute stations]]*0.1668295449)/(0.9*365*Table5[[#This Row],[Daily Hydrogen Demand{mH2}(kg/day)]])</f>
        <v>2.5041134160779264E-4</v>
      </c>
      <c r="BL67" s="99">
        <f>Table5[[#This Row],[No of enroute compressor stations]]*Table5[[#This Row],[No of annual hours{Ann}44]]*Table5[[#This Row],[Hourly salary {S}(€/h)55]]</f>
        <v>5830.3548595735392</v>
      </c>
      <c r="BM67" s="99">
        <f>0.5*Table5[[#This Row],[Direct labor costs{dL}22]]</f>
        <v>2915.1774297867696</v>
      </c>
      <c r="BN67" s="64">
        <f>POWER(Table5[[#This Row],[Daily Hydrogen Demand{mH2}(kg/day)]]/100000,0.25)*288</f>
        <v>161.95430165482054</v>
      </c>
      <c r="BO67" s="64">
        <v>18</v>
      </c>
      <c r="BP67" s="99">
        <f>(0.021*Table5[[#This Row],[Investment cost for all enroute stations]])+(0.04*Table5[[#This Row],[TIC for all enroute stations]])</f>
        <v>244.42624648762066</v>
      </c>
      <c r="BQ67" s="99">
        <f>Table5[[#This Row],[Indirect labor costs{Idl}33]]+Table5[[#This Row],[Direct labor costs{dL}22]]+Table5[[#This Row],[O&amp;Mc6]]</f>
        <v>8989.9585358479289</v>
      </c>
      <c r="BR67" s="99">
        <f>Table5[[#This Row],[Non energy cost for compressor(NE)7]]/(0.9*365*Table5[[#This Row],[Daily Hydrogen Demand{mH2}(kg/day)]])</f>
        <v>2.7366692650983042E-3</v>
      </c>
      <c r="BS67" s="99">
        <f>Table5[[#This Row],[Total rated compressor power of all enroute stations(W)]]*0.306*24*365</f>
        <v>13046327.630660063</v>
      </c>
      <c r="BT67" s="99">
        <f>Table5[[#This Row],[Annual energy cost for compression for all enroute compressors(€/yr)]]/(0.9*365*Table5[[#This Row],[Daily Hydrogen Demand{mH2}(kg/day)]]*1000)</f>
        <v>3.9714848190746006E-3</v>
      </c>
      <c r="BU67" s="99">
        <f>Table5[[#This Row],[LCOHT,E10]]+Table5[[#This Row],[LCOHT,NE8]]+Table5[[#This Row],[LCOHT,invest for all enroute stations]]</f>
        <v>6.958565425780697E-3</v>
      </c>
      <c r="BV67" s="99">
        <f>Table5[[#This Row],[LOCHT,pipe,C2(of all enroute stations)]]+Table5[[#This Row],[LOCHT,pipe,C1(Inlet compressor)]]+Table5[[#This Row],[LCOHT,pipe(€/kg)]]</f>
        <v>2.0511927117263502</v>
      </c>
      <c r="BW67" s="110">
        <f>0.942675159-2.05</f>
        <v>-1.1073248409999998</v>
      </c>
    </row>
    <row r="68" spans="1:75">
      <c r="A68">
        <f>150</f>
        <v>150</v>
      </c>
      <c r="B68">
        <v>10000</v>
      </c>
      <c r="C68">
        <f>Table5[[#This Row],[Total Installation Costs{TIC}(€)]]+Table5[[#This Row],[Indirect Costs{Id}]]</f>
        <v>70397600</v>
      </c>
      <c r="D68">
        <f t="shared" si="2"/>
        <v>50284000</v>
      </c>
      <c r="E68">
        <f t="shared" si="12"/>
        <v>20113600</v>
      </c>
      <c r="F68" s="3">
        <v>502.84</v>
      </c>
      <c r="G68">
        <f>100</f>
        <v>100</v>
      </c>
      <c r="H68">
        <f t="shared" ref="H68:H70" si="13">I68+J68</f>
        <v>126324.35529076001</v>
      </c>
      <c r="I68">
        <f t="shared" ref="I68:I70" si="14">K68*L68</f>
        <v>84216.236860506673</v>
      </c>
      <c r="J68">
        <f t="shared" ref="J68:J70" si="15">0.5*I68</f>
        <v>42108.118430253337</v>
      </c>
      <c r="K68">
        <f t="shared" ref="K68:K70" si="16">POWER(B68/100000,0.25)*8320</f>
        <v>4678.6798255837039</v>
      </c>
      <c r="L68">
        <v>18</v>
      </c>
      <c r="M68">
        <f t="shared" ref="M68:M70" si="17">0.026*C68</f>
        <v>1830337.5999999999</v>
      </c>
      <c r="N68">
        <f t="shared" ref="N68:N70" si="18">H68+M68</f>
        <v>1956661.9552907599</v>
      </c>
      <c r="O68">
        <f t="shared" ref="O68:O70" si="19">((1.08^50)*0.08)/((1.08^50)-1)</f>
        <v>8.174285816161557E-2</v>
      </c>
      <c r="P68">
        <v>0.9</v>
      </c>
      <c r="Q68">
        <f t="shared" si="10"/>
        <v>1.7517506945869552</v>
      </c>
      <c r="R68">
        <f t="shared" si="0"/>
        <v>0.59563529841423435</v>
      </c>
      <c r="S68">
        <f t="shared" ref="S68:S70" si="20">Q68+R68</f>
        <v>2.3473859930011898</v>
      </c>
      <c r="T68" s="64">
        <v>2</v>
      </c>
      <c r="U68" s="64">
        <v>381.35408266399998</v>
      </c>
      <c r="V68" s="64">
        <f>Table5[[#This Row],[Daily Hydrogen Demand{mH2}(kg/day)]]/(0.002*24*60*60)</f>
        <v>57.870370370370374</v>
      </c>
      <c r="W68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68" s="64">
        <f>(Table5[[#This Row],[Compressor Power{P}]]/(0.95*1000))</f>
        <v>129.72704363974094</v>
      </c>
      <c r="Y68" s="64">
        <f>2655.97*POWER(Table5[[#This Row],[Rated compressor power{Pc}]],0.8335)*2</f>
        <v>306523.72890720674</v>
      </c>
      <c r="Z68" s="64">
        <f>0.4*Table5[[#This Row],[Total Installation cost for pipeline compressor {TIC}]]</f>
        <v>122609.4915628827</v>
      </c>
      <c r="AA68" s="64">
        <f>Table5[[#This Row],[Indirect costs associated with installation{Id}]]+Table5[[#This Row],[Total Installation cost for pipeline compressor {TIC}]]</f>
        <v>429133.22047008947</v>
      </c>
      <c r="AB68" s="64">
        <f>(Table5[[#This Row],[Investment cost for inlet compressor(Invest)]]*0.1668295449)/(0.9*Table5[[#This Row],[Daily Hydrogen Demand{mH2}(kg/day)]]*365)</f>
        <v>2.1793637708522492E-2</v>
      </c>
      <c r="AC68" s="64">
        <f>Table5[[#This Row],[No of annual hours{Ann}4]]*Table5[[#This Row],[Hourly salary {S}(€/h)5]]</f>
        <v>2915.1774297867696</v>
      </c>
      <c r="AD68" s="64">
        <f>0.5*Table5[[#This Row],[Direct labor costs{dL}2]]</f>
        <v>1457.5887148933848</v>
      </c>
      <c r="AE68" s="64">
        <f>POWER(Table5[[#This Row],[Daily Hydrogen Demand{mH2}(kg/day)]]/100000,0.25)*288</f>
        <v>161.95430165482054</v>
      </c>
      <c r="AF68" s="64">
        <v>18</v>
      </c>
      <c r="AG68" s="64">
        <f>(0.021*Table5[[#This Row],[Investment cost for inlet compressor(Invest)]])+(0.04*Table5[[#This Row],[Total Installation cost for pipeline compressor {TIC}]])</f>
        <v>21272.746786160147</v>
      </c>
      <c r="AH68" s="64">
        <f>Table5[[#This Row],[O&amp;Mc]]+Table5[[#This Row],[Indirect labor costs{Idl}3]]+Table5[[#This Row],[Direct labor costs{dL}2]]</f>
        <v>25645.512930840301</v>
      </c>
      <c r="AI68" s="64">
        <f>(Table5[[#This Row],[Non energy cost for compressor(NE)]])/(0.9*Table5[[#This Row],[Daily Hydrogen Demand{mH2}(kg/day)]]*365)</f>
        <v>7.8068532513973516E-3</v>
      </c>
      <c r="AJ68" s="64">
        <f>Table5[[#This Row],[Rated compressor power{Pc}]] * 0.306 * 24 * 365</f>
        <v>347741.12409894395</v>
      </c>
      <c r="AK68" s="64">
        <f>(Table5[[#This Row],[Annual energy cost for compression(Ec)(€)]])/(0.9*Table5[[#This Row],[Daily Hydrogen Demand{mH2}(kg/day)]]*365*1000)</f>
        <v>1.0585726761002861E-4</v>
      </c>
      <c r="AL68" s="64">
        <f>Table5[[#This Row],[LCOHT,E]]+Table5[[#This Row],[LCOHT,NE]]+Table5[[#This Row],[LCOHT,invest,(for inlet compressor)]]</f>
        <v>2.970634822752987E-2</v>
      </c>
      <c r="AM68" s="64">
        <v>2</v>
      </c>
      <c r="AN68" s="64">
        <v>345.36764970000002</v>
      </c>
      <c r="AO68" s="64">
        <f>Table5[[#This Row],[Daily Hydrogen Demand{mH2}(kg/day)]]/(0.002*24*60*60)</f>
        <v>57.870370370370374</v>
      </c>
      <c r="AP68" s="94">
        <f>Table5[[#This Row],[Daily Hydrogen Demand{mH2}(kg/day)]]/0.0849318059972404</f>
        <v>117741.52077167557</v>
      </c>
      <c r="AQ68" s="94">
        <f>Table5[[#This Row],[Mass flow rate{Qb} (m3/day)]] * (20 / 1.01) *(288.15 / 288)</f>
        <v>2332729.5936715011</v>
      </c>
      <c r="AR68" s="94">
        <f>Table5[[#This Row],[Mass flow rate(Sm3/day)]]*0.0834</f>
        <v>194549.6481122032</v>
      </c>
      <c r="AS68" s="94">
        <f>Table5[[#This Row],[Capacity,pipe2]]/(0.002*24*60*60)</f>
        <v>1125.8660191678428</v>
      </c>
      <c r="AT68" s="94">
        <f>(14.737*1.01*1.0006043620884*288*Table5[[#This Row],[Mass flow rate(Sm3/day)]])/(288.15*70*Table5[[#This Row],[Diameter of pipeline(mm)]]*Table5[[#This Row],[Diameter of pipeline(mm)]]*0.001*0.001*24*60*60)</f>
        <v>255.17422907032085</v>
      </c>
      <c r="AU68" s="96">
        <f t="shared" si="1"/>
        <v>4.015425723958442E-5</v>
      </c>
      <c r="AV68" s="94">
        <f>(4.58*Table5[[#This Row],[Velocity of hydrogen{v}(m/sec)]]*Table5[[#This Row],[Diameter of pipeline(mm)]]*0.001)/Table5[[#This Row],[μ]]</f>
        <v>4365781.0509440461</v>
      </c>
      <c r="AW68" s="109">
        <v>9.4000000000000004E-3</v>
      </c>
      <c r="AX68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934.42769031454861</v>
      </c>
      <c r="AY68" s="94">
        <f>70-Table5[[#This Row],[Pressure drop (Δp) (bar)]]</f>
        <v>-864.42769031454861</v>
      </c>
      <c r="AZ68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68" s="64">
        <f>Table5[[#This Row],[Compressor Power]]/(0.95*1000)</f>
        <v>2433.5078548251226</v>
      </c>
      <c r="BB68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68" s="65">
        <v>2</v>
      </c>
      <c r="BD68" s="64">
        <f>Table5[[#This Row],[Rated compressor power for single station]]*Table5[[#This Row],[No of enroute compressor stations]]</f>
        <v>4867.0157096502453</v>
      </c>
      <c r="BE68" s="64">
        <f>Table5[[#This Row],[Rated compressor power for single station]]/16000</f>
        <v>0.15209424092657017</v>
      </c>
      <c r="BF68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68" s="64">
        <f>Table5[[#This Row],[UC for single enroute station]]*2</f>
        <v>23156.642900224531</v>
      </c>
      <c r="BH68" s="64">
        <f>Table5[[#This Row],[TIC for single enroute station]]*Table5[[#This Row],[No of compressors at single enroute station]]</f>
        <v>3521.9920243173005</v>
      </c>
      <c r="BI68" s="21">
        <f>0.4*Table5[[#This Row],[TIC for all enroute stations]]</f>
        <v>1408.7968097269204</v>
      </c>
      <c r="BJ68" s="100">
        <f>Table5[[#This Row],[TIC for all enroute stations]]+Table5[[#This Row],[Indirect costs for all enroute stations]]</f>
        <v>4930.7888340442205</v>
      </c>
      <c r="BK68" s="100">
        <f>(Table5[[#This Row],[Investment cost for all enroute stations]]*0.1668295449)/(0.9*365*Table5[[#This Row],[Daily Hydrogen Demand{mH2}(kg/day)]])</f>
        <v>2.5041134160779264E-4</v>
      </c>
      <c r="BL68" s="100">
        <f>Table5[[#This Row],[No of enroute compressor stations]]*Table5[[#This Row],[No of annual hours{Ann}44]]*Table5[[#This Row],[Hourly salary {S}(€/h)55]]</f>
        <v>5830.3548595735392</v>
      </c>
      <c r="BM68" s="100">
        <f>0.5*Table5[[#This Row],[Direct labor costs{dL}22]]</f>
        <v>2915.1774297867696</v>
      </c>
      <c r="BN68" s="64">
        <f>POWER(Table5[[#This Row],[Daily Hydrogen Demand{mH2}(kg/day)]]/100000,0.25)*288</f>
        <v>161.95430165482054</v>
      </c>
      <c r="BO68" s="64">
        <v>18</v>
      </c>
      <c r="BP68" s="100">
        <f>(0.021*Table5[[#This Row],[Investment cost for all enroute stations]])+(0.04*Table5[[#This Row],[TIC for all enroute stations]])</f>
        <v>244.42624648762066</v>
      </c>
      <c r="BQ68" s="100">
        <f>Table5[[#This Row],[Indirect labor costs{Idl}33]]+Table5[[#This Row],[Direct labor costs{dL}22]]+Table5[[#This Row],[O&amp;Mc6]]</f>
        <v>8989.9585358479289</v>
      </c>
      <c r="BR68" s="100">
        <f>Table5[[#This Row],[Non energy cost for compressor(NE)7]]/(0.9*365*Table5[[#This Row],[Daily Hydrogen Demand{mH2}(kg/day)]])</f>
        <v>2.7366692650983042E-3</v>
      </c>
      <c r="BS68" s="100">
        <f>Table5[[#This Row],[Total rated compressor power of all enroute stations(W)]]*0.306*24*365</f>
        <v>13046327.630660063</v>
      </c>
      <c r="BT68" s="100">
        <f>Table5[[#This Row],[Annual energy cost for compression for all enroute compressors(€/yr)]]/(0.9*365*Table5[[#This Row],[Daily Hydrogen Demand{mH2}(kg/day)]]*1000)</f>
        <v>3.9714848190746006E-3</v>
      </c>
      <c r="BU68" s="100">
        <f>Table5[[#This Row],[LCOHT,E10]]+Table5[[#This Row],[LCOHT,NE8]]+Table5[[#This Row],[LCOHT,invest for all enroute stations]]</f>
        <v>6.958565425780697E-3</v>
      </c>
      <c r="BV68" s="100">
        <f>Table5[[#This Row],[LOCHT,pipe,C2(of all enroute stations)]]+Table5[[#This Row],[LOCHT,pipe,C1(Inlet compressor)]]+Table5[[#This Row],[LCOHT,pipe(€/kg)]]</f>
        <v>2.3840509066545001</v>
      </c>
      <c r="BW68" s="110">
        <f>2.21656051-2.38</f>
        <v>-0.16343949000000002</v>
      </c>
    </row>
    <row r="69" spans="1:75">
      <c r="A69">
        <f>200</f>
        <v>200</v>
      </c>
      <c r="B69">
        <v>10000</v>
      </c>
      <c r="C69">
        <f>Table5[[#This Row],[Total Installation Costs{TIC}(€)]]+Table5[[#This Row],[Indirect Costs{Id}]]</f>
        <v>80584000</v>
      </c>
      <c r="D69">
        <f t="shared" si="2"/>
        <v>57560000</v>
      </c>
      <c r="E69">
        <f t="shared" si="12"/>
        <v>23024000</v>
      </c>
      <c r="F69" s="3">
        <v>575.6</v>
      </c>
      <c r="G69">
        <f>100</f>
        <v>100</v>
      </c>
      <c r="H69">
        <f t="shared" si="13"/>
        <v>126324.35529076001</v>
      </c>
      <c r="I69">
        <f t="shared" si="14"/>
        <v>84216.236860506673</v>
      </c>
      <c r="J69">
        <f t="shared" si="15"/>
        <v>42108.118430253337</v>
      </c>
      <c r="K69">
        <f t="shared" si="16"/>
        <v>4678.6798255837039</v>
      </c>
      <c r="L69">
        <v>18</v>
      </c>
      <c r="M69">
        <f t="shared" si="17"/>
        <v>2095184</v>
      </c>
      <c r="N69">
        <f t="shared" si="18"/>
        <v>2221508.3552907598</v>
      </c>
      <c r="O69">
        <f t="shared" si="19"/>
        <v>8.174285816161557E-2</v>
      </c>
      <c r="P69">
        <v>0.9</v>
      </c>
      <c r="Q69">
        <f t="shared" si="10"/>
        <v>2.005225717532916</v>
      </c>
      <c r="R69">
        <f t="shared" si="0"/>
        <v>0.67625825123006389</v>
      </c>
      <c r="S69">
        <f t="shared" si="20"/>
        <v>2.6814839687629801</v>
      </c>
      <c r="T69" s="64">
        <v>2</v>
      </c>
      <c r="U69" s="64">
        <v>381.35408266399998</v>
      </c>
      <c r="V69" s="64">
        <f>Table5[[#This Row],[Daily Hydrogen Demand{mH2}(kg/day)]]/(0.002*24*60*60)</f>
        <v>57.870370370370374</v>
      </c>
      <c r="W69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69" s="64">
        <f>(Table5[[#This Row],[Compressor Power{P}]]/(0.95*1000))</f>
        <v>129.72704363974094</v>
      </c>
      <c r="Y69" s="64">
        <f>2655.97*POWER(Table5[[#This Row],[Rated compressor power{Pc}]],0.8335)*2</f>
        <v>306523.72890720674</v>
      </c>
      <c r="Z69" s="64">
        <f>0.4*Table5[[#This Row],[Total Installation cost for pipeline compressor {TIC}]]</f>
        <v>122609.4915628827</v>
      </c>
      <c r="AA69" s="64">
        <f>Table5[[#This Row],[Indirect costs associated with installation{Id}]]+Table5[[#This Row],[Total Installation cost for pipeline compressor {TIC}]]</f>
        <v>429133.22047008947</v>
      </c>
      <c r="AB69" s="64">
        <f>(Table5[[#This Row],[Investment cost for inlet compressor(Invest)]]*0.1668295449)/(0.9*Table5[[#This Row],[Daily Hydrogen Demand{mH2}(kg/day)]]*365)</f>
        <v>2.1793637708522492E-2</v>
      </c>
      <c r="AC69" s="64">
        <f>Table5[[#This Row],[No of annual hours{Ann}4]]*Table5[[#This Row],[Hourly salary {S}(€/h)5]]</f>
        <v>2915.1774297867696</v>
      </c>
      <c r="AD69" s="64">
        <f>0.5*Table5[[#This Row],[Direct labor costs{dL}2]]</f>
        <v>1457.5887148933848</v>
      </c>
      <c r="AE69" s="64">
        <f>POWER(Table5[[#This Row],[Daily Hydrogen Demand{mH2}(kg/day)]]/100000,0.25)*288</f>
        <v>161.95430165482054</v>
      </c>
      <c r="AF69" s="64">
        <v>18</v>
      </c>
      <c r="AG69" s="64">
        <f>(0.021*Table5[[#This Row],[Investment cost for inlet compressor(Invest)]])+(0.04*Table5[[#This Row],[Total Installation cost for pipeline compressor {TIC}]])</f>
        <v>21272.746786160147</v>
      </c>
      <c r="AH69" s="64">
        <f>Table5[[#This Row],[O&amp;Mc]]+Table5[[#This Row],[Indirect labor costs{Idl}3]]+Table5[[#This Row],[Direct labor costs{dL}2]]</f>
        <v>25645.512930840301</v>
      </c>
      <c r="AI69" s="64">
        <f>(Table5[[#This Row],[Non energy cost for compressor(NE)]])/(0.9*Table5[[#This Row],[Daily Hydrogen Demand{mH2}(kg/day)]]*365)</f>
        <v>7.8068532513973516E-3</v>
      </c>
      <c r="AJ69" s="64">
        <f>Table5[[#This Row],[Rated compressor power{Pc}]] * 0.306 * 24 * 365</f>
        <v>347741.12409894395</v>
      </c>
      <c r="AK69" s="64">
        <f>(Table5[[#This Row],[Annual energy cost for compression(Ec)(€)]])/(0.9*Table5[[#This Row],[Daily Hydrogen Demand{mH2}(kg/day)]]*365*1000)</f>
        <v>1.0585726761002861E-4</v>
      </c>
      <c r="AL69" s="64">
        <f>Table5[[#This Row],[LCOHT,E]]+Table5[[#This Row],[LCOHT,NE]]+Table5[[#This Row],[LCOHT,invest,(for inlet compressor)]]</f>
        <v>2.970634822752987E-2</v>
      </c>
      <c r="AM69" s="64">
        <v>2</v>
      </c>
      <c r="AN69" s="64">
        <v>345.36764970000002</v>
      </c>
      <c r="AO69" s="64">
        <f>Table5[[#This Row],[Daily Hydrogen Demand{mH2}(kg/day)]]/(0.002*24*60*60)</f>
        <v>57.870370370370374</v>
      </c>
      <c r="AP69" s="94">
        <f>Table5[[#This Row],[Daily Hydrogen Demand{mH2}(kg/day)]]/0.0849318059972404</f>
        <v>117741.52077167557</v>
      </c>
      <c r="AQ69" s="94">
        <f>Table5[[#This Row],[Mass flow rate{Qb} (m3/day)]] * (20 / 1.01) *(288.15 / 288)</f>
        <v>2332729.5936715011</v>
      </c>
      <c r="AR69" s="94">
        <f>Table5[[#This Row],[Mass flow rate(Sm3/day)]]*0.0834</f>
        <v>194549.6481122032</v>
      </c>
      <c r="AS69" s="94">
        <f>Table5[[#This Row],[Capacity,pipe2]]/(0.002*24*60*60)</f>
        <v>1125.8660191678428</v>
      </c>
      <c r="AT69" s="94">
        <f>(14.737*1.01*1.0006043620884*288*Table5[[#This Row],[Mass flow rate(Sm3/day)]])/(288.15*70*Table5[[#This Row],[Diameter of pipeline(mm)]]*Table5[[#This Row],[Diameter of pipeline(mm)]]*0.001*0.001*24*60*60)</f>
        <v>143.53550385205548</v>
      </c>
      <c r="AU69" s="96">
        <f t="shared" si="1"/>
        <v>4.015425723958442E-5</v>
      </c>
      <c r="AV69" s="94">
        <f>(4.58*Table5[[#This Row],[Velocity of hydrogen{v}(m/sec)]]*Table5[[#This Row],[Diameter of pipeline(mm)]]*0.001)/Table5[[#This Row],[μ]]</f>
        <v>3274335.7882080344</v>
      </c>
      <c r="AW69" s="109">
        <v>9.4000000000000004E-3</v>
      </c>
      <c r="AX69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221.74407104144072</v>
      </c>
      <c r="AY69" s="94">
        <f>70-Table5[[#This Row],[Pressure drop (Δp) (bar)]]</f>
        <v>-151.74407104144072</v>
      </c>
      <c r="AZ69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69" s="64">
        <f>Table5[[#This Row],[Compressor Power]]/(0.95*1000)</f>
        <v>2433.5078548251226</v>
      </c>
      <c r="BB69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69" s="65">
        <v>2</v>
      </c>
      <c r="BD69" s="64">
        <f>Table5[[#This Row],[Rated compressor power for single station]]*Table5[[#This Row],[No of enroute compressor stations]]</f>
        <v>4867.0157096502453</v>
      </c>
      <c r="BE69" s="64">
        <f>Table5[[#This Row],[Rated compressor power for single station]]/16000</f>
        <v>0.15209424092657017</v>
      </c>
      <c r="BF69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69" s="64">
        <f>Table5[[#This Row],[UC for single enroute station]]*2</f>
        <v>23156.642900224531</v>
      </c>
      <c r="BH69" s="64">
        <f>Table5[[#This Row],[TIC for single enroute station]]*Table5[[#This Row],[No of compressors at single enroute station]]</f>
        <v>3521.9920243173005</v>
      </c>
      <c r="BI69" s="98">
        <f>0.4*Table5[[#This Row],[TIC for all enroute stations]]</f>
        <v>1408.7968097269204</v>
      </c>
      <c r="BJ69" s="99">
        <f>Table5[[#This Row],[TIC for all enroute stations]]+Table5[[#This Row],[Indirect costs for all enroute stations]]</f>
        <v>4930.7888340442205</v>
      </c>
      <c r="BK69" s="99">
        <f>(Table5[[#This Row],[Investment cost for all enroute stations]]*0.1668295449)/(0.9*365*Table5[[#This Row],[Daily Hydrogen Demand{mH2}(kg/day)]])</f>
        <v>2.5041134160779264E-4</v>
      </c>
      <c r="BL69" s="99">
        <f>Table5[[#This Row],[No of enroute compressor stations]]*Table5[[#This Row],[No of annual hours{Ann}44]]*Table5[[#This Row],[Hourly salary {S}(€/h)55]]</f>
        <v>5830.3548595735392</v>
      </c>
      <c r="BM69" s="99">
        <f>0.5*Table5[[#This Row],[Direct labor costs{dL}22]]</f>
        <v>2915.1774297867696</v>
      </c>
      <c r="BN69" s="64">
        <f>POWER(Table5[[#This Row],[Daily Hydrogen Demand{mH2}(kg/day)]]/100000,0.25)*288</f>
        <v>161.95430165482054</v>
      </c>
      <c r="BO69" s="64">
        <v>18</v>
      </c>
      <c r="BP69" s="99">
        <f>(0.021*Table5[[#This Row],[Investment cost for all enroute stations]])+(0.04*Table5[[#This Row],[TIC for all enroute stations]])</f>
        <v>244.42624648762066</v>
      </c>
      <c r="BQ69" s="99">
        <f>Table5[[#This Row],[Indirect labor costs{Idl}33]]+Table5[[#This Row],[Direct labor costs{dL}22]]+Table5[[#This Row],[O&amp;Mc6]]</f>
        <v>8989.9585358479289</v>
      </c>
      <c r="BR69" s="99">
        <f>Table5[[#This Row],[Non energy cost for compressor(NE)7]]/(0.9*365*Table5[[#This Row],[Daily Hydrogen Demand{mH2}(kg/day)]])</f>
        <v>2.7366692650983042E-3</v>
      </c>
      <c r="BS69" s="99">
        <f>Table5[[#This Row],[Total rated compressor power of all enroute stations(W)]]*0.306*24*365</f>
        <v>13046327.630660063</v>
      </c>
      <c r="BT69" s="99">
        <f>Table5[[#This Row],[Annual energy cost for compression for all enroute compressors(€/yr)]]/(0.9*365*Table5[[#This Row],[Daily Hydrogen Demand{mH2}(kg/day)]]*1000)</f>
        <v>3.9714848190746006E-3</v>
      </c>
      <c r="BU69" s="99">
        <f>Table5[[#This Row],[LCOHT,E10]]+Table5[[#This Row],[LCOHT,NE8]]+Table5[[#This Row],[LCOHT,invest for all enroute stations]]</f>
        <v>6.958565425780697E-3</v>
      </c>
      <c r="BV69" s="99">
        <f>Table5[[#This Row],[LOCHT,pipe,C2(of all enroute stations)]]+Table5[[#This Row],[LOCHT,pipe,C1(Inlet compressor)]]+Table5[[#This Row],[LCOHT,pipe(€/kg)]]</f>
        <v>2.7181488824162905</v>
      </c>
      <c r="BW69" s="3">
        <f>2.57324840764331-2.72</f>
        <v>-0.14675159235669</v>
      </c>
    </row>
    <row r="70" spans="1:75">
      <c r="A70">
        <v>100</v>
      </c>
      <c r="B70">
        <v>30000</v>
      </c>
      <c r="C70">
        <f>Table5[[#This Row],[Total Installation Costs{TIC}(€)]]+Table5[[#This Row],[Indirect Costs{Id}]]</f>
        <v>60249000</v>
      </c>
      <c r="D70">
        <f t="shared" si="2"/>
        <v>43035000</v>
      </c>
      <c r="E70">
        <f t="shared" si="12"/>
        <v>17214000</v>
      </c>
      <c r="F70" s="3">
        <v>430.35</v>
      </c>
      <c r="G70">
        <f>100</f>
        <v>100</v>
      </c>
      <c r="H70">
        <f t="shared" si="13"/>
        <v>166252.20120114693</v>
      </c>
      <c r="I70">
        <f t="shared" si="14"/>
        <v>110834.80080076463</v>
      </c>
      <c r="J70">
        <f t="shared" si="15"/>
        <v>55417.400400382314</v>
      </c>
      <c r="K70">
        <f t="shared" si="16"/>
        <v>6157.4889333758128</v>
      </c>
      <c r="L70">
        <v>18</v>
      </c>
      <c r="M70">
        <f t="shared" si="17"/>
        <v>1566474</v>
      </c>
      <c r="N70">
        <f t="shared" si="18"/>
        <v>1732726.2012011469</v>
      </c>
      <c r="O70">
        <f t="shared" si="19"/>
        <v>8.174285816161557E-2</v>
      </c>
      <c r="P70">
        <v>0.9</v>
      </c>
      <c r="Q70">
        <f t="shared" si="10"/>
        <v>0.49973875813081442</v>
      </c>
      <c r="R70">
        <f t="shared" si="0"/>
        <v>0.17582203969570237</v>
      </c>
      <c r="S70">
        <f t="shared" si="20"/>
        <v>0.67556079782651679</v>
      </c>
      <c r="T70" s="64">
        <v>2</v>
      </c>
      <c r="U70" s="64">
        <v>381.35408266399998</v>
      </c>
      <c r="V70" s="64">
        <f>Table5[[#This Row],[Daily Hydrogen Demand{mH2}(kg/day)]]/(0.002*24*60*60)</f>
        <v>173.61111111111111</v>
      </c>
      <c r="W70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70" s="64">
        <f>(Table5[[#This Row],[Compressor Power{P}]]/(0.95*1000))</f>
        <v>389.18113091922294</v>
      </c>
      <c r="Y70" s="64">
        <f>2655.97*POWER(Table5[[#This Row],[Rated compressor power{Pc}]],0.8335)*2</f>
        <v>765851.67401262943</v>
      </c>
      <c r="Z70" s="64">
        <f>0.4*Table5[[#This Row],[Total Installation cost for pipeline compressor {TIC}]]</f>
        <v>306340.66960505181</v>
      </c>
      <c r="AA70" s="64">
        <f>Table5[[#This Row],[Indirect costs associated with installation{Id}]]+Table5[[#This Row],[Total Installation cost for pipeline compressor {TIC}]]</f>
        <v>1072192.3436176812</v>
      </c>
      <c r="AB70" s="64">
        <f>(Table5[[#This Row],[Investment cost for inlet compressor(Invest)]]*0.1668295449)/(0.9*Table5[[#This Row],[Daily Hydrogen Demand{mH2}(kg/day)]]*365)</f>
        <v>1.8150518592694283E-2</v>
      </c>
      <c r="AC70" s="64">
        <f>Table5[[#This Row],[No of annual hours{Ann}4]]*Table5[[#This Row],[Hourly salary {S}(€/h)5]]</f>
        <v>3836.5892584880066</v>
      </c>
      <c r="AD70" s="64">
        <f>0.5*Table5[[#This Row],[Direct labor costs{dL}2]]</f>
        <v>1918.2946292440033</v>
      </c>
      <c r="AE70" s="64">
        <f>POWER(Table5[[#This Row],[Daily Hydrogen Demand{mH2}(kg/day)]]/100000,0.25)*288</f>
        <v>213.14384769377816</v>
      </c>
      <c r="AF70" s="64">
        <v>18</v>
      </c>
      <c r="AG70" s="64">
        <f>(0.021*Table5[[#This Row],[Investment cost for inlet compressor(Invest)]])+(0.04*Table5[[#This Row],[Total Installation cost for pipeline compressor {TIC}]])</f>
        <v>53150.106176476482</v>
      </c>
      <c r="AH70" s="64">
        <f>Table5[[#This Row],[O&amp;Mc]]+Table5[[#This Row],[Indirect labor costs{Idl}3]]+Table5[[#This Row],[Direct labor costs{dL}2]]</f>
        <v>58904.99006420849</v>
      </c>
      <c r="AI70" s="64">
        <f>(Table5[[#This Row],[Non energy cost for compressor(NE)]])/(0.9*Table5[[#This Row],[Daily Hydrogen Demand{mH2}(kg/day)]]*365)</f>
        <v>5.9771679415736674E-3</v>
      </c>
      <c r="AJ70" s="64">
        <f>Table5[[#This Row],[Rated compressor power{Pc}]] * 0.306 * 24 * 365</f>
        <v>1043223.3722968322</v>
      </c>
      <c r="AK70" s="64">
        <f>(Table5[[#This Row],[Annual energy cost for compression(Ec)(€)]])/(0.9*Table5[[#This Row],[Daily Hydrogen Demand{mH2}(kg/day)]]*365*1000)</f>
        <v>1.0585726761002863E-4</v>
      </c>
      <c r="AL70" s="64">
        <f>Table5[[#This Row],[LCOHT,E]]+Table5[[#This Row],[LCOHT,NE]]+Table5[[#This Row],[LCOHT,invest,(for inlet compressor)]]</f>
        <v>2.423354380187798E-2</v>
      </c>
      <c r="AM70" s="64">
        <v>2</v>
      </c>
      <c r="AN70" s="64">
        <v>345.36764970000002</v>
      </c>
      <c r="AO70" s="64">
        <f>Table5[[#This Row],[Daily Hydrogen Demand{mH2}(kg/day)]]/(0.002*24*60*60)</f>
        <v>173.61111111111111</v>
      </c>
      <c r="AP70" s="94">
        <f>Table5[[#This Row],[Daily Hydrogen Demand{mH2}(kg/day)]]/0.0849318059972404</f>
        <v>353224.56231502671</v>
      </c>
      <c r="AQ70" s="94">
        <f>Table5[[#This Row],[Mass flow rate{Qb} (m3/day)]] * (20 / 1.01) *(288.15 / 288)</f>
        <v>6998188.7810145039</v>
      </c>
      <c r="AR70" s="94">
        <f>Table5[[#This Row],[Mass flow rate(Sm3/day)]]*0.0834</f>
        <v>583648.94433660968</v>
      </c>
      <c r="AS70" s="94">
        <f>Table5[[#This Row],[Capacity,pipe2]]/(0.002*24*60*60)</f>
        <v>3377.5980575035287</v>
      </c>
      <c r="AT70" s="94">
        <f>(14.737*1.01*1.0006043620884*288*Table5[[#This Row],[Mass flow rate(Sm3/day)]])/(288.15*70*Table5[[#This Row],[Diameter of pipeline(mm)]]*Table5[[#This Row],[Diameter of pipeline(mm)]]*0.001*0.001*24*60*60)</f>
        <v>1722.4260462246657</v>
      </c>
      <c r="AU70" s="96">
        <f t="shared" si="1"/>
        <v>4.015425723958442E-5</v>
      </c>
      <c r="AV70" s="94">
        <f>(4.58*Table5[[#This Row],[Velocity of hydrogen{v}(m/sec)]]*Table5[[#This Row],[Diameter of pipeline(mm)]]*0.001)/Table5[[#This Row],[μ]]</f>
        <v>19646014.729248207</v>
      </c>
      <c r="AW70" s="109">
        <v>9.4000000000000004E-3</v>
      </c>
      <c r="AX70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63862.292459934928</v>
      </c>
      <c r="AY70" s="94">
        <f>70-Table5[[#This Row],[Pressure drop (Δp) (bar)]]</f>
        <v>-63792.292459934928</v>
      </c>
      <c r="AZ70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70" s="64">
        <f>Table5[[#This Row],[Compressor Power]]/(0.95*1000)</f>
        <v>7300.5235644753693</v>
      </c>
      <c r="BB70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108.561643835616</v>
      </c>
      <c r="BC70" s="65">
        <v>2</v>
      </c>
      <c r="BD70" s="64">
        <f>Table5[[#This Row],[Rated compressor power for single station]]*Table5[[#This Row],[No of enroute compressor stations]]</f>
        <v>14601.047128950739</v>
      </c>
      <c r="BE70" s="64">
        <f>Table5[[#This Row],[Rated compressor power for single station]]/16000</f>
        <v>0.4562827227797106</v>
      </c>
      <c r="BF70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70" s="64">
        <f>Table5[[#This Row],[UC for single enroute station]]*2</f>
        <v>440068.69303083618</v>
      </c>
      <c r="BH70" s="64">
        <f>Table5[[#This Row],[TIC for single enroute station]]*Table5[[#This Row],[No of compressors at single enroute station]]</f>
        <v>200795.74146621858</v>
      </c>
      <c r="BI70" s="21">
        <f>0.4*Table5[[#This Row],[TIC for all enroute stations]]</f>
        <v>80318.296586487442</v>
      </c>
      <c r="BJ70" s="100">
        <f>Table5[[#This Row],[TIC for all enroute stations]]+Table5[[#This Row],[Indirect costs for all enroute stations]]</f>
        <v>281114.03805270605</v>
      </c>
      <c r="BK70" s="100">
        <f>(Table5[[#This Row],[Investment cost for all enroute stations]]*0.1668295449)/(0.9*365*Table5[[#This Row],[Daily Hydrogen Demand{mH2}(kg/day)]])</f>
        <v>4.7588155284966236E-3</v>
      </c>
      <c r="BL70" s="100">
        <f>Table5[[#This Row],[No of enroute compressor stations]]*Table5[[#This Row],[No of annual hours{Ann}44]]*Table5[[#This Row],[Hourly salary {S}(€/h)55]]</f>
        <v>7673.1785169760133</v>
      </c>
      <c r="BM70" s="100">
        <f>0.5*Table5[[#This Row],[Direct labor costs{dL}22]]</f>
        <v>3836.5892584880066</v>
      </c>
      <c r="BN70" s="64">
        <f>POWER(Table5[[#This Row],[Daily Hydrogen Demand{mH2}(kg/day)]]/100000,0.25)*288</f>
        <v>213.14384769377816</v>
      </c>
      <c r="BO70" s="64">
        <v>18</v>
      </c>
      <c r="BP70" s="100">
        <f>(0.021*Table5[[#This Row],[Investment cost for all enroute stations]])+(0.04*Table5[[#This Row],[TIC for all enroute stations]])</f>
        <v>13935.22445775557</v>
      </c>
      <c r="BQ70" s="100">
        <f>Table5[[#This Row],[Indirect labor costs{Idl}33]]+Table5[[#This Row],[Direct labor costs{dL}22]]+Table5[[#This Row],[O&amp;Mc6]]</f>
        <v>25444.992233219593</v>
      </c>
      <c r="BR70" s="100">
        <f>Table5[[#This Row],[Non energy cost for compressor(NE)7]]/(0.9*365*Table5[[#This Row],[Daily Hydrogen Demand{mH2}(kg/day)]])</f>
        <v>2.5819373143804764E-3</v>
      </c>
      <c r="BS70" s="100">
        <f>Table5[[#This Row],[Total rated compressor power of all enroute stations(W)]]*0.306*24*365</f>
        <v>39138982.891980194</v>
      </c>
      <c r="BT70" s="100">
        <f>Table5[[#This Row],[Annual energy cost for compression for all enroute compressors(€/yr)]]/(0.9*365*Table5[[#This Row],[Daily Hydrogen Demand{mH2}(kg/day)]]*1000)</f>
        <v>3.9714848190746015E-3</v>
      </c>
      <c r="BU70" s="100">
        <f>Table5[[#This Row],[LCOHT,E10]]+Table5[[#This Row],[LCOHT,NE8]]+Table5[[#This Row],[LCOHT,invest for all enroute stations]]</f>
        <v>1.1312237661951701E-2</v>
      </c>
      <c r="BV70" s="100">
        <f>Table5[[#This Row],[LOCHT,pipe,C2(of all enroute stations)]]+Table5[[#This Row],[LOCHT,pipe,C1(Inlet compressor)]]+Table5[[#This Row],[LCOHT,pipe(€/kg)]]</f>
        <v>0.71110657929034649</v>
      </c>
      <c r="BW70" s="110">
        <f>0.738853503184714-Table5[[#This Row],[LCOHT,pipeline]]</f>
        <v>2.7746923894367503E-2</v>
      </c>
    </row>
    <row r="71" spans="1:75">
      <c r="A71">
        <f>150</f>
        <v>150</v>
      </c>
      <c r="B71">
        <v>30000</v>
      </c>
      <c r="C71">
        <f>Table5[[#This Row],[Total Installation Costs{TIC}(€)]]+Table5[[#This Row],[Indirect Costs{Id}]]</f>
        <v>70397600</v>
      </c>
      <c r="D71">
        <f t="shared" si="2"/>
        <v>50284000</v>
      </c>
      <c r="E71">
        <f t="shared" si="12"/>
        <v>20113600</v>
      </c>
      <c r="F71" s="3">
        <v>502.84</v>
      </c>
      <c r="G71">
        <f>100</f>
        <v>100</v>
      </c>
      <c r="H71">
        <f t="shared" ref="H71:H74" si="21">I71+J71</f>
        <v>166252.20120114693</v>
      </c>
      <c r="I71">
        <f t="shared" ref="I71:I74" si="22">K71*L71</f>
        <v>110834.80080076463</v>
      </c>
      <c r="J71">
        <f t="shared" ref="J71:J74" si="23">0.5*I71</f>
        <v>55417.400400382314</v>
      </c>
      <c r="K71">
        <f t="shared" ref="K71:K74" si="24">POWER(B71/100000,0.25)*8320</f>
        <v>6157.4889333758128</v>
      </c>
      <c r="L71">
        <v>18</v>
      </c>
      <c r="M71">
        <f t="shared" ref="M71:M74" si="25">0.026*C71</f>
        <v>1830337.5999999999</v>
      </c>
      <c r="N71">
        <f t="shared" ref="N71:N74" si="26">H71+M71</f>
        <v>1996589.8012011468</v>
      </c>
      <c r="O71">
        <f t="shared" ref="O71:O74" si="27">((1.08^50)*0.08)/((1.08^50)-1)</f>
        <v>8.174285816161557E-2</v>
      </c>
      <c r="P71">
        <v>0.9</v>
      </c>
      <c r="Q71">
        <f t="shared" si="10"/>
        <v>0.58391689819565173</v>
      </c>
      <c r="R71">
        <f t="shared" si="0"/>
        <v>0.2025966312735816</v>
      </c>
      <c r="S71">
        <f t="shared" ref="S71:S74" si="28">Q71+R71</f>
        <v>0.78651352946923336</v>
      </c>
      <c r="T71" s="64">
        <v>2</v>
      </c>
      <c r="U71" s="64">
        <v>381.35408266399998</v>
      </c>
      <c r="V71" s="64">
        <f>Table5[[#This Row],[Daily Hydrogen Demand{mH2}(kg/day)]]/(0.002*24*60*60)</f>
        <v>173.61111111111111</v>
      </c>
      <c r="W71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71" s="64">
        <f>(Table5[[#This Row],[Compressor Power{P}]]/(0.95*1000))</f>
        <v>389.18113091922294</v>
      </c>
      <c r="Y71" s="64">
        <f>2655.97*POWER(Table5[[#This Row],[Rated compressor power{Pc}]],0.8335)*2</f>
        <v>765851.67401262943</v>
      </c>
      <c r="Z71" s="64">
        <f>0.4*Table5[[#This Row],[Total Installation cost for pipeline compressor {TIC}]]</f>
        <v>306340.66960505181</v>
      </c>
      <c r="AA71" s="64">
        <f>Table5[[#This Row],[Indirect costs associated with installation{Id}]]+Table5[[#This Row],[Total Installation cost for pipeline compressor {TIC}]]</f>
        <v>1072192.3436176812</v>
      </c>
      <c r="AB71" s="64">
        <f>(Table5[[#This Row],[Investment cost for inlet compressor(Invest)]]*0.1668295449)/(0.9*Table5[[#This Row],[Daily Hydrogen Demand{mH2}(kg/day)]]*365)</f>
        <v>1.8150518592694283E-2</v>
      </c>
      <c r="AC71" s="64">
        <f>Table5[[#This Row],[No of annual hours{Ann}4]]*Table5[[#This Row],[Hourly salary {S}(€/h)5]]</f>
        <v>3836.5892584880066</v>
      </c>
      <c r="AD71" s="64">
        <f>0.5*Table5[[#This Row],[Direct labor costs{dL}2]]</f>
        <v>1918.2946292440033</v>
      </c>
      <c r="AE71" s="64">
        <f>POWER(Table5[[#This Row],[Daily Hydrogen Demand{mH2}(kg/day)]]/100000,0.25)*288</f>
        <v>213.14384769377816</v>
      </c>
      <c r="AF71" s="64">
        <v>18</v>
      </c>
      <c r="AG71" s="64">
        <f>(0.021*Table5[[#This Row],[Investment cost for inlet compressor(Invest)]])+(0.04*Table5[[#This Row],[Total Installation cost for pipeline compressor {TIC}]])</f>
        <v>53150.106176476482</v>
      </c>
      <c r="AH71" s="64">
        <f>Table5[[#This Row],[O&amp;Mc]]+Table5[[#This Row],[Indirect labor costs{Idl}3]]+Table5[[#This Row],[Direct labor costs{dL}2]]</f>
        <v>58904.99006420849</v>
      </c>
      <c r="AI71" s="64">
        <f>(Table5[[#This Row],[Non energy cost for compressor(NE)]])/(0.9*Table5[[#This Row],[Daily Hydrogen Demand{mH2}(kg/day)]]*365)</f>
        <v>5.9771679415736674E-3</v>
      </c>
      <c r="AJ71" s="64">
        <f>Table5[[#This Row],[Rated compressor power{Pc}]] * 0.306 * 24 * 365</f>
        <v>1043223.3722968322</v>
      </c>
      <c r="AK71" s="64">
        <f>(Table5[[#This Row],[Annual energy cost for compression(Ec)(€)]])/(0.9*Table5[[#This Row],[Daily Hydrogen Demand{mH2}(kg/day)]]*365*1000)</f>
        <v>1.0585726761002863E-4</v>
      </c>
      <c r="AL71" s="64">
        <f>Table5[[#This Row],[LCOHT,E]]+Table5[[#This Row],[LCOHT,NE]]+Table5[[#This Row],[LCOHT,invest,(for inlet compressor)]]</f>
        <v>2.423354380187798E-2</v>
      </c>
      <c r="AM71" s="64">
        <v>2</v>
      </c>
      <c r="AN71" s="64">
        <v>345.36764970000002</v>
      </c>
      <c r="AO71" s="64">
        <f>Table5[[#This Row],[Daily Hydrogen Demand{mH2}(kg/day)]]/(0.002*24*60*60)</f>
        <v>173.61111111111111</v>
      </c>
      <c r="AP71" s="94">
        <f>Table5[[#This Row],[Daily Hydrogen Demand{mH2}(kg/day)]]/0.0849318059972404</f>
        <v>353224.56231502671</v>
      </c>
      <c r="AQ71" s="94">
        <f>Table5[[#This Row],[Mass flow rate{Qb} (m3/day)]] * (20 / 1.01) *(288.15 / 288)</f>
        <v>6998188.7810145039</v>
      </c>
      <c r="AR71" s="94">
        <f>Table5[[#This Row],[Mass flow rate(Sm3/day)]]*0.0834</f>
        <v>583648.94433660968</v>
      </c>
      <c r="AS71" s="94">
        <f>Table5[[#This Row],[Capacity,pipe2]]/(0.002*24*60*60)</f>
        <v>3377.5980575035287</v>
      </c>
      <c r="AT71" s="94">
        <f>(14.737*1.01*1.0006043620884*288*Table5[[#This Row],[Mass flow rate(Sm3/day)]])/(288.15*70*Table5[[#This Row],[Diameter of pipeline(mm)]]*Table5[[#This Row],[Diameter of pipeline(mm)]]*0.001*0.001*24*60*60)</f>
        <v>765.52268721096254</v>
      </c>
      <c r="AU71" s="96">
        <f t="shared" si="1"/>
        <v>4.015425723958442E-5</v>
      </c>
      <c r="AV71" s="94">
        <f>(4.58*Table5[[#This Row],[Velocity of hydrogen{v}(m/sec)]]*Table5[[#This Row],[Diameter of pipeline(mm)]]*0.001)/Table5[[#This Row],[μ]]</f>
        <v>13097343.152832137</v>
      </c>
      <c r="AW71" s="109">
        <v>9.4000000000000004E-3</v>
      </c>
      <c r="AX71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8409.849212830939</v>
      </c>
      <c r="AY71" s="94">
        <f>70-Table5[[#This Row],[Pressure drop (Δp) (bar)]]</f>
        <v>-8339.849212830939</v>
      </c>
      <c r="AZ71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71" s="64">
        <f>Table5[[#This Row],[Compressor Power]]/(0.95*1000)</f>
        <v>7300.5235644753693</v>
      </c>
      <c r="BB71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71" s="65">
        <v>2</v>
      </c>
      <c r="BD71" s="64">
        <f>Table5[[#This Row],[Rated compressor power for single station]]*Table5[[#This Row],[No of enroute compressor stations]]</f>
        <v>14601.047128950739</v>
      </c>
      <c r="BE71" s="64">
        <f>Table5[[#This Row],[Rated compressor power for single station]]/16000</f>
        <v>0.4562827227797106</v>
      </c>
      <c r="BF71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71" s="64">
        <f>Table5[[#This Row],[UC for single enroute station]]*2</f>
        <v>440068.69303083618</v>
      </c>
      <c r="BH71" s="64">
        <f>Table5[[#This Row],[TIC for single enroute station]]*Table5[[#This Row],[No of compressors at single enroute station]]</f>
        <v>200795.74146621858</v>
      </c>
      <c r="BI71" s="98">
        <f>0.4*Table5[[#This Row],[TIC for all enroute stations]]</f>
        <v>80318.296586487442</v>
      </c>
      <c r="BJ71" s="99">
        <f>Table5[[#This Row],[TIC for all enroute stations]]+Table5[[#This Row],[Indirect costs for all enroute stations]]</f>
        <v>281114.03805270605</v>
      </c>
      <c r="BK71" s="99">
        <f>(Table5[[#This Row],[Investment cost for all enroute stations]]*0.1668295449)/(0.9*365*Table5[[#This Row],[Daily Hydrogen Demand{mH2}(kg/day)]])</f>
        <v>4.7588155284966236E-3</v>
      </c>
      <c r="BL71" s="99">
        <f>Table5[[#This Row],[No of enroute compressor stations]]*Table5[[#This Row],[No of annual hours{Ann}44]]*Table5[[#This Row],[Hourly salary {S}(€/h)55]]</f>
        <v>7673.1785169760133</v>
      </c>
      <c r="BM71" s="99">
        <f>0.5*Table5[[#This Row],[Direct labor costs{dL}22]]</f>
        <v>3836.5892584880066</v>
      </c>
      <c r="BN71" s="64">
        <f>POWER(Table5[[#This Row],[Daily Hydrogen Demand{mH2}(kg/day)]]/100000,0.25)*288</f>
        <v>213.14384769377816</v>
      </c>
      <c r="BO71" s="64">
        <v>18</v>
      </c>
      <c r="BP71" s="99">
        <f>(0.021*Table5[[#This Row],[Investment cost for all enroute stations]])+(0.04*Table5[[#This Row],[TIC for all enroute stations]])</f>
        <v>13935.22445775557</v>
      </c>
      <c r="BQ71" s="99">
        <f>Table5[[#This Row],[Indirect labor costs{Idl}33]]+Table5[[#This Row],[Direct labor costs{dL}22]]+Table5[[#This Row],[O&amp;Mc6]]</f>
        <v>25444.992233219593</v>
      </c>
      <c r="BR71" s="99">
        <f>Table5[[#This Row],[Non energy cost for compressor(NE)7]]/(0.9*365*Table5[[#This Row],[Daily Hydrogen Demand{mH2}(kg/day)]])</f>
        <v>2.5819373143804764E-3</v>
      </c>
      <c r="BS71" s="99">
        <f>Table5[[#This Row],[Total rated compressor power of all enroute stations(W)]]*0.306*24*365</f>
        <v>39138982.891980194</v>
      </c>
      <c r="BT71" s="99">
        <f>Table5[[#This Row],[Annual energy cost for compression for all enroute compressors(€/yr)]]/(0.9*365*Table5[[#This Row],[Daily Hydrogen Demand{mH2}(kg/day)]]*1000)</f>
        <v>3.9714848190746015E-3</v>
      </c>
      <c r="BU71" s="99">
        <f>Table5[[#This Row],[LCOHT,E10]]+Table5[[#This Row],[LCOHT,NE8]]+Table5[[#This Row],[LCOHT,invest for all enroute stations]]</f>
        <v>1.1312237661951701E-2</v>
      </c>
      <c r="BV71" s="99">
        <f>Table5[[#This Row],[LOCHT,pipe,C2(of all enroute stations)]]+Table5[[#This Row],[LOCHT,pipe,C1(Inlet compressor)]]+Table5[[#This Row],[LCOHT,pipe(€/kg)]]</f>
        <v>0.82205931093306306</v>
      </c>
      <c r="BW71" s="110">
        <f>0.738853503184714-Table5[[#This Row],[LCOHT,pipeline]]</f>
        <v>-8.320580774834907E-2</v>
      </c>
    </row>
    <row r="72" spans="1:75">
      <c r="A72">
        <f>200</f>
        <v>200</v>
      </c>
      <c r="B72">
        <v>30000</v>
      </c>
      <c r="C72">
        <f>Table5[[#This Row],[Total Installation Costs{TIC}(€)]]+Table5[[#This Row],[Indirect Costs{Id}]]</f>
        <v>80584000</v>
      </c>
      <c r="D72">
        <f t="shared" si="2"/>
        <v>57560000</v>
      </c>
      <c r="E72">
        <f t="shared" si="12"/>
        <v>23024000</v>
      </c>
      <c r="F72" s="3">
        <v>575.6</v>
      </c>
      <c r="G72">
        <f>100</f>
        <v>100</v>
      </c>
      <c r="H72">
        <f t="shared" si="21"/>
        <v>166252.20120114693</v>
      </c>
      <c r="I72">
        <f t="shared" si="22"/>
        <v>110834.80080076463</v>
      </c>
      <c r="J72">
        <f t="shared" si="23"/>
        <v>55417.400400382314</v>
      </c>
      <c r="K72">
        <f t="shared" si="24"/>
        <v>6157.4889333758128</v>
      </c>
      <c r="L72">
        <v>18</v>
      </c>
      <c r="M72">
        <f t="shared" si="25"/>
        <v>2095184</v>
      </c>
      <c r="N72">
        <f t="shared" si="26"/>
        <v>2261436.2012011469</v>
      </c>
      <c r="O72">
        <f t="shared" si="27"/>
        <v>8.174285816161557E-2</v>
      </c>
      <c r="P72">
        <v>0.9</v>
      </c>
      <c r="Q72">
        <f t="shared" si="10"/>
        <v>0.66840857251097197</v>
      </c>
      <c r="R72">
        <f t="shared" si="0"/>
        <v>0.22947094887885813</v>
      </c>
      <c r="S72">
        <f t="shared" si="28"/>
        <v>0.89787952138983007</v>
      </c>
      <c r="T72" s="64">
        <v>2</v>
      </c>
      <c r="U72" s="64">
        <v>381.35408266399998</v>
      </c>
      <c r="V72" s="64">
        <f>Table5[[#This Row],[Daily Hydrogen Demand{mH2}(kg/day)]]/(0.002*24*60*60)</f>
        <v>173.61111111111111</v>
      </c>
      <c r="W72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72" s="64">
        <f>(Table5[[#This Row],[Compressor Power{P}]]/(0.95*1000))</f>
        <v>389.18113091922294</v>
      </c>
      <c r="Y72" s="64">
        <f>2655.97*POWER(Table5[[#This Row],[Rated compressor power{Pc}]],0.8335)*2</f>
        <v>765851.67401262943</v>
      </c>
      <c r="Z72" s="64">
        <f>0.4*Table5[[#This Row],[Total Installation cost for pipeline compressor {TIC}]]</f>
        <v>306340.66960505181</v>
      </c>
      <c r="AA72" s="64">
        <f>Table5[[#This Row],[Indirect costs associated with installation{Id}]]+Table5[[#This Row],[Total Installation cost for pipeline compressor {TIC}]]</f>
        <v>1072192.3436176812</v>
      </c>
      <c r="AB72" s="64">
        <f>(Table5[[#This Row],[Investment cost for inlet compressor(Invest)]]*0.1668295449)/(0.9*Table5[[#This Row],[Daily Hydrogen Demand{mH2}(kg/day)]]*365)</f>
        <v>1.8150518592694283E-2</v>
      </c>
      <c r="AC72" s="64">
        <f>Table5[[#This Row],[No of annual hours{Ann}4]]*Table5[[#This Row],[Hourly salary {S}(€/h)5]]</f>
        <v>3836.5892584880066</v>
      </c>
      <c r="AD72" s="64">
        <f>0.5*Table5[[#This Row],[Direct labor costs{dL}2]]</f>
        <v>1918.2946292440033</v>
      </c>
      <c r="AE72" s="64">
        <f>POWER(Table5[[#This Row],[Daily Hydrogen Demand{mH2}(kg/day)]]/100000,0.25)*288</f>
        <v>213.14384769377816</v>
      </c>
      <c r="AF72" s="64">
        <v>18</v>
      </c>
      <c r="AG72" s="64">
        <f>(0.021*Table5[[#This Row],[Investment cost for inlet compressor(Invest)]])+(0.04*Table5[[#This Row],[Total Installation cost for pipeline compressor {TIC}]])</f>
        <v>53150.106176476482</v>
      </c>
      <c r="AH72" s="64">
        <f>Table5[[#This Row],[O&amp;Mc]]+Table5[[#This Row],[Indirect labor costs{Idl}3]]+Table5[[#This Row],[Direct labor costs{dL}2]]</f>
        <v>58904.99006420849</v>
      </c>
      <c r="AI72" s="64">
        <f>(Table5[[#This Row],[Non energy cost for compressor(NE)]])/(0.9*Table5[[#This Row],[Daily Hydrogen Demand{mH2}(kg/day)]]*365)</f>
        <v>5.9771679415736674E-3</v>
      </c>
      <c r="AJ72" s="64">
        <f>Table5[[#This Row],[Rated compressor power{Pc}]] * 0.306 * 24 * 365</f>
        <v>1043223.3722968322</v>
      </c>
      <c r="AK72" s="64">
        <f>(Table5[[#This Row],[Annual energy cost for compression(Ec)(€)]])/(0.9*Table5[[#This Row],[Daily Hydrogen Demand{mH2}(kg/day)]]*365*1000)</f>
        <v>1.0585726761002863E-4</v>
      </c>
      <c r="AL72" s="64">
        <f>Table5[[#This Row],[LCOHT,E]]+Table5[[#This Row],[LCOHT,NE]]+Table5[[#This Row],[LCOHT,invest,(for inlet compressor)]]</f>
        <v>2.423354380187798E-2</v>
      </c>
      <c r="AM72" s="64">
        <v>2</v>
      </c>
      <c r="AN72" s="64">
        <v>345.36764970000002</v>
      </c>
      <c r="AO72" s="64">
        <f>Table5[[#This Row],[Daily Hydrogen Demand{mH2}(kg/day)]]/(0.002*24*60*60)</f>
        <v>173.61111111111111</v>
      </c>
      <c r="AP72" s="94">
        <f>Table5[[#This Row],[Daily Hydrogen Demand{mH2}(kg/day)]]/0.0849318059972404</f>
        <v>353224.56231502671</v>
      </c>
      <c r="AQ72" s="94">
        <f>Table5[[#This Row],[Mass flow rate{Qb} (m3/day)]] * (20 / 1.01) *(288.15 / 288)</f>
        <v>6998188.7810145039</v>
      </c>
      <c r="AR72" s="94">
        <f>Table5[[#This Row],[Mass flow rate(Sm3/day)]]*0.0834</f>
        <v>583648.94433660968</v>
      </c>
      <c r="AS72" s="94">
        <f>Table5[[#This Row],[Capacity,pipe2]]/(0.002*24*60*60)</f>
        <v>3377.5980575035287</v>
      </c>
      <c r="AT72" s="94">
        <f>(14.737*1.01*1.0006043620884*288*Table5[[#This Row],[Mass flow rate(Sm3/day)]])/(288.15*70*Table5[[#This Row],[Diameter of pipeline(mm)]]*Table5[[#This Row],[Diameter of pipeline(mm)]]*0.001*0.001*24*60*60)</f>
        <v>430.60651155616642</v>
      </c>
      <c r="AU72" s="96">
        <f t="shared" si="1"/>
        <v>4.015425723958442E-5</v>
      </c>
      <c r="AV72" s="94">
        <f>(4.58*Table5[[#This Row],[Velocity of hydrogen{v}(m/sec)]]*Table5[[#This Row],[Diameter of pipeline(mm)]]*0.001)/Table5[[#This Row],[μ]]</f>
        <v>9823007.3646241035</v>
      </c>
      <c r="AW72" s="109">
        <v>9.4000000000000004E-3</v>
      </c>
      <c r="AX72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1995.6966393729665</v>
      </c>
      <c r="AY72" s="94">
        <f>70-Table5[[#This Row],[Pressure drop (Δp) (bar)]]</f>
        <v>-1925.6966393729665</v>
      </c>
      <c r="AZ72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72" s="64">
        <f>Table5[[#This Row],[Compressor Power]]/(0.95*1000)</f>
        <v>7300.5235644753693</v>
      </c>
      <c r="BB72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72" s="65">
        <v>2</v>
      </c>
      <c r="BD72" s="64">
        <f>Table5[[#This Row],[Rated compressor power for single station]]*Table5[[#This Row],[No of enroute compressor stations]]</f>
        <v>14601.047128950739</v>
      </c>
      <c r="BE72" s="64">
        <f>Table5[[#This Row],[Rated compressor power for single station]]/16000</f>
        <v>0.4562827227797106</v>
      </c>
      <c r="BF72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72" s="64">
        <f>Table5[[#This Row],[UC for single enroute station]]*2</f>
        <v>440068.69303083618</v>
      </c>
      <c r="BH72" s="64">
        <f>Table5[[#This Row],[TIC for single enroute station]]*Table5[[#This Row],[No of compressors at single enroute station]]</f>
        <v>200795.74146621858</v>
      </c>
      <c r="BI72" s="21">
        <f>0.4*Table5[[#This Row],[TIC for all enroute stations]]</f>
        <v>80318.296586487442</v>
      </c>
      <c r="BJ72" s="100">
        <f>Table5[[#This Row],[TIC for all enroute stations]]+Table5[[#This Row],[Indirect costs for all enroute stations]]</f>
        <v>281114.03805270605</v>
      </c>
      <c r="BK72" s="100">
        <f>(Table5[[#This Row],[Investment cost for all enroute stations]]*0.1668295449)/(0.9*365*Table5[[#This Row],[Daily Hydrogen Demand{mH2}(kg/day)]])</f>
        <v>4.7588155284966236E-3</v>
      </c>
      <c r="BL72" s="100">
        <f>Table5[[#This Row],[No of enroute compressor stations]]*Table5[[#This Row],[No of annual hours{Ann}44]]*Table5[[#This Row],[Hourly salary {S}(€/h)55]]</f>
        <v>7673.1785169760133</v>
      </c>
      <c r="BM72" s="100">
        <f>0.5*Table5[[#This Row],[Direct labor costs{dL}22]]</f>
        <v>3836.5892584880066</v>
      </c>
      <c r="BN72" s="64">
        <f>POWER(Table5[[#This Row],[Daily Hydrogen Demand{mH2}(kg/day)]]/100000,0.25)*288</f>
        <v>213.14384769377816</v>
      </c>
      <c r="BO72" s="64">
        <v>18</v>
      </c>
      <c r="BP72" s="100">
        <f>(0.021*Table5[[#This Row],[Investment cost for all enroute stations]])+(0.04*Table5[[#This Row],[TIC for all enroute stations]])</f>
        <v>13935.22445775557</v>
      </c>
      <c r="BQ72" s="100">
        <f>Table5[[#This Row],[Indirect labor costs{Idl}33]]+Table5[[#This Row],[Direct labor costs{dL}22]]+Table5[[#This Row],[O&amp;Mc6]]</f>
        <v>25444.992233219593</v>
      </c>
      <c r="BR72" s="100">
        <f>Table5[[#This Row],[Non energy cost for compressor(NE)7]]/(0.9*365*Table5[[#This Row],[Daily Hydrogen Demand{mH2}(kg/day)]])</f>
        <v>2.5819373143804764E-3</v>
      </c>
      <c r="BS72" s="100">
        <f>Table5[[#This Row],[Total rated compressor power of all enroute stations(W)]]*0.306*24*365</f>
        <v>39138982.891980194</v>
      </c>
      <c r="BT72" s="100">
        <f>Table5[[#This Row],[Annual energy cost for compression for all enroute compressors(€/yr)]]/(0.9*365*Table5[[#This Row],[Daily Hydrogen Demand{mH2}(kg/day)]]*1000)</f>
        <v>3.9714848190746015E-3</v>
      </c>
      <c r="BU72" s="100">
        <f>Table5[[#This Row],[LCOHT,E10]]+Table5[[#This Row],[LCOHT,NE8]]+Table5[[#This Row],[LCOHT,invest for all enroute stations]]</f>
        <v>1.1312237661951701E-2</v>
      </c>
      <c r="BV72" s="100">
        <f>Table5[[#This Row],[LOCHT,pipe,C2(of all enroute stations)]]+Table5[[#This Row],[LOCHT,pipe,C1(Inlet compressor)]]+Table5[[#This Row],[LCOHT,pipe(€/kg)]]</f>
        <v>0.93342530285365977</v>
      </c>
      <c r="BW72" s="110">
        <f>0.738853503184714-Table5[[#This Row],[LCOHT,pipeline]]</f>
        <v>-0.19457179966894578</v>
      </c>
    </row>
    <row r="73" spans="1:75">
      <c r="A73">
        <v>150</v>
      </c>
      <c r="B73">
        <v>100000</v>
      </c>
      <c r="C73">
        <f>Table5[[#This Row],[Total Installation Costs{TIC}(€)]]+Table5[[#This Row],[Indirect Costs{Id}]]</f>
        <v>70397600</v>
      </c>
      <c r="D73">
        <f t="shared" si="2"/>
        <v>50284000</v>
      </c>
      <c r="E73">
        <f t="shared" si="12"/>
        <v>20113600</v>
      </c>
      <c r="F73" s="3">
        <v>502.84</v>
      </c>
      <c r="G73">
        <f>100</f>
        <v>100</v>
      </c>
      <c r="H73">
        <f t="shared" si="21"/>
        <v>224640</v>
      </c>
      <c r="I73">
        <f t="shared" si="22"/>
        <v>149760</v>
      </c>
      <c r="J73">
        <f t="shared" si="23"/>
        <v>74880</v>
      </c>
      <c r="K73">
        <f t="shared" si="24"/>
        <v>8320</v>
      </c>
      <c r="L73">
        <v>18</v>
      </c>
      <c r="M73">
        <f t="shared" si="25"/>
        <v>1830337.5999999999</v>
      </c>
      <c r="N73">
        <f t="shared" si="26"/>
        <v>2054977.5999999999</v>
      </c>
      <c r="O73">
        <f t="shared" si="27"/>
        <v>8.174285816161557E-2</v>
      </c>
      <c r="P73">
        <v>0.9</v>
      </c>
      <c r="Q73">
        <f t="shared" si="10"/>
        <v>0.17517506945869551</v>
      </c>
      <c r="R73">
        <f t="shared" si="0"/>
        <v>6.2556395738203957E-2</v>
      </c>
      <c r="S73">
        <f t="shared" si="28"/>
        <v>0.23773146519689947</v>
      </c>
      <c r="T73" s="64">
        <v>2</v>
      </c>
      <c r="U73" s="64">
        <v>381.35408266399998</v>
      </c>
      <c r="V73" s="64">
        <f>Table5[[#This Row],[Daily Hydrogen Demand{mH2}(kg/day)]]/(0.002*24*60*60)</f>
        <v>578.70370370370381</v>
      </c>
      <c r="W73" s="64">
        <f>Table5[[#This Row],[No of compressor stages{N}]]
* Table5[[#This Row],[Molar flow{qM}(moles/sec)]]
* 8.314
* 305.15*1.024
* (1.41 / (1.41 - 1))
* (POWER(3.5, 0.14539007 / Table5[[#This Row],[No of compressor stages{N}]]) - 1)
/ 0.8</f>
        <v>1232406.9145775391</v>
      </c>
      <c r="X73" s="64">
        <f>(Table5[[#This Row],[Compressor Power{P}]]/(0.95*1000))</f>
        <v>1297.2704363974096</v>
      </c>
      <c r="Y73" s="64">
        <f>2655.97*POWER(Table5[[#This Row],[Rated compressor power{Pc}]],0.8335)*2</f>
        <v>2089123.4317526598</v>
      </c>
      <c r="Z73" s="64">
        <f>0.4*Table5[[#This Row],[Total Installation cost for pipeline compressor {TIC}]]</f>
        <v>835649.37270106399</v>
      </c>
      <c r="AA73" s="64">
        <f>Table5[[#This Row],[Indirect costs associated with installation{Id}]]+Table5[[#This Row],[Total Installation cost for pipeline compressor {TIC}]]</f>
        <v>2924772.8044537241</v>
      </c>
      <c r="AB73" s="64">
        <f>(Table5[[#This Row],[Investment cost for inlet compressor(Invest)]]*0.1668295449)/(0.9*Table5[[#This Row],[Daily Hydrogen Demand{mH2}(kg/day)]]*365)</f>
        <v>1.4853531686542205E-2</v>
      </c>
      <c r="AC73" s="64">
        <f>Table5[[#This Row],[No of annual hours{Ann}4]]*Table5[[#This Row],[Hourly salary {S}(€/h)5]]</f>
        <v>5184</v>
      </c>
      <c r="AD73" s="64">
        <f>0.5*Table5[[#This Row],[Direct labor costs{dL}2]]</f>
        <v>2592</v>
      </c>
      <c r="AE73" s="64">
        <f>POWER(Table5[[#This Row],[Daily Hydrogen Demand{mH2}(kg/day)]]/100000,0.25)*288</f>
        <v>288</v>
      </c>
      <c r="AF73" s="64">
        <v>18</v>
      </c>
      <c r="AG73" s="64">
        <f>(0.021*Table5[[#This Row],[Investment cost for inlet compressor(Invest)]])+(0.04*Table5[[#This Row],[Total Installation cost for pipeline compressor {TIC}]])</f>
        <v>144985.16616363463</v>
      </c>
      <c r="AH73" s="64">
        <f>Table5[[#This Row],[O&amp;Mc]]+Table5[[#This Row],[Indirect labor costs{Idl}3]]+Table5[[#This Row],[Direct labor costs{dL}2]]</f>
        <v>152761.16616363463</v>
      </c>
      <c r="AI73" s="64">
        <f>(Table5[[#This Row],[Non energy cost for compressor(NE)]])/(0.9*Table5[[#This Row],[Daily Hydrogen Demand{mH2}(kg/day)]]*365)</f>
        <v>4.6502638101563049E-3</v>
      </c>
      <c r="AJ73" s="64">
        <f>Table5[[#This Row],[Rated compressor power{Pc}]] * 0.306 * 24 * 365</f>
        <v>3477411.2409894406</v>
      </c>
      <c r="AK73" s="64">
        <f>(Table5[[#This Row],[Annual energy cost for compression(Ec)(€)]])/(0.9*Table5[[#This Row],[Daily Hydrogen Demand{mH2}(kg/day)]]*365*1000)</f>
        <v>1.0585726761002863E-4</v>
      </c>
      <c r="AL73" s="64">
        <f>Table5[[#This Row],[LCOHT,E]]+Table5[[#This Row],[LCOHT,NE]]+Table5[[#This Row],[LCOHT,invest,(for inlet compressor)]]</f>
        <v>1.9609652764308538E-2</v>
      </c>
      <c r="AM73" s="64">
        <v>2</v>
      </c>
      <c r="AN73" s="64">
        <v>345.36764970000002</v>
      </c>
      <c r="AO73" s="64">
        <f>Table5[[#This Row],[Daily Hydrogen Demand{mH2}(kg/day)]]/(0.002*24*60*60)</f>
        <v>578.70370370370381</v>
      </c>
      <c r="AP73" s="94">
        <f>Table5[[#This Row],[Daily Hydrogen Demand{mH2}(kg/day)]]/0.0849318059972404</f>
        <v>1177415.2077167556</v>
      </c>
      <c r="AQ73" s="94">
        <f>Table5[[#This Row],[Mass flow rate{Qb} (m3/day)]] * (20 / 1.01) *(288.15 / 288)</f>
        <v>23327295.936715011</v>
      </c>
      <c r="AR73" s="94">
        <f>Table5[[#This Row],[Mass flow rate(Sm3/day)]]*0.0834</f>
        <v>1945496.481122032</v>
      </c>
      <c r="AS73" s="94">
        <f>Table5[[#This Row],[Capacity,pipe2]]/(0.002*24*60*60)</f>
        <v>11258.660191678428</v>
      </c>
      <c r="AT73" s="94">
        <f>(14.737*1.01*1.0006043620884*288*Table5[[#This Row],[Mass flow rate(Sm3/day)]])/(288.15*70*Table5[[#This Row],[Diameter of pipeline(mm)]]*Table5[[#This Row],[Diameter of pipeline(mm)]]*0.001*0.001*24*60*60)</f>
        <v>2551.7422907032083</v>
      </c>
      <c r="AU73" s="96">
        <f t="shared" si="1"/>
        <v>4.015425723958442E-5</v>
      </c>
      <c r="AV73" s="94">
        <f>(4.58*Table5[[#This Row],[Velocity of hydrogen{v}(m/sec)]]*Table5[[#This Row],[Diameter of pipeline(mm)]]*0.001)/Table5[[#This Row],[μ]]</f>
        <v>43657810.509440452</v>
      </c>
      <c r="AW73" s="109">
        <v>9.4000000000000004E-3</v>
      </c>
      <c r="AX73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93442.769031454853</v>
      </c>
      <c r="AY73" s="94">
        <f>70-Table5[[#This Row],[Pressure drop (Δp) (bar)]]</f>
        <v>-93372.769031454853</v>
      </c>
      <c r="AZ73" s="65">
        <f xml:space="preserve"> (Table5[[#This Row],[N]] *Table5[[#This Row],[qM**]]* 8.314 * 293.15 * (1.02776828999228/0.8) * (1.41 / (1.41 - 1)) * (POWER(3.5, 0.14539007 / Table5[[#This Row],[N]]) - 1))</f>
        <v>23118324.620838672</v>
      </c>
      <c r="BA73" s="64">
        <f>Table5[[#This Row],[Compressor Power]]/(0.95*1000)</f>
        <v>24335.078548251233</v>
      </c>
      <c r="BB73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73" s="65">
        <v>2</v>
      </c>
      <c r="BD73" s="64">
        <f>Table5[[#This Row],[Rated compressor power for single station]]*Table5[[#This Row],[No of enroute compressor stations]]</f>
        <v>48670.157096502466</v>
      </c>
      <c r="BE73" s="64">
        <f>Table5[[#This Row],[Rated compressor power for single station]]/16000</f>
        <v>1.520942409265702</v>
      </c>
      <c r="BF73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14169709.090325901</v>
      </c>
      <c r="BG73" s="64">
        <f>Table5[[#This Row],[UC for single enroute station]]*2</f>
        <v>28339418.180651803</v>
      </c>
      <c r="BH73" s="64">
        <f>Table5[[#This Row],[TIC for single enroute station]]*Table5[[#This Row],[No of compressors at single enroute station]]</f>
        <v>43102622.964868791</v>
      </c>
      <c r="BI73" s="98">
        <f>0.4*Table5[[#This Row],[TIC for all enroute stations]]</f>
        <v>17241049.185947519</v>
      </c>
      <c r="BJ73" s="99">
        <f>Table5[[#This Row],[TIC for all enroute stations]]+Table5[[#This Row],[Indirect costs for all enroute stations]]</f>
        <v>60343672.150816306</v>
      </c>
      <c r="BK73" s="99">
        <f>(Table5[[#This Row],[Investment cost for all enroute stations]]*0.1668295449)/(0.9*365*Table5[[#This Row],[Daily Hydrogen Demand{mH2}(kg/day)]])</f>
        <v>0.30645684512984744</v>
      </c>
      <c r="BL73" s="99">
        <f>Table5[[#This Row],[No of enroute compressor stations]]*Table5[[#This Row],[No of annual hours{Ann}44]]*Table5[[#This Row],[Hourly salary {S}(€/h)55]]</f>
        <v>10368</v>
      </c>
      <c r="BM73" s="99">
        <f>0.5*Table5[[#This Row],[Direct labor costs{dL}22]]</f>
        <v>5184</v>
      </c>
      <c r="BN73" s="64">
        <f>POWER(Table5[[#This Row],[Daily Hydrogen Demand{mH2}(kg/day)]]/100000,0.25)*288</f>
        <v>288</v>
      </c>
      <c r="BO73" s="64">
        <v>18</v>
      </c>
      <c r="BP73" s="99">
        <f>(0.021*Table5[[#This Row],[Investment cost for all enroute stations]])+(0.04*Table5[[#This Row],[TIC for all enroute stations]])</f>
        <v>2991322.0337618943</v>
      </c>
      <c r="BQ73" s="99">
        <f>Table5[[#This Row],[Indirect labor costs{Idl}33]]+Table5[[#This Row],[Direct labor costs{dL}22]]+Table5[[#This Row],[O&amp;Mc6]]</f>
        <v>3006874.0337618943</v>
      </c>
      <c r="BR73" s="99">
        <f>Table5[[#This Row],[Non energy cost for compressor(NE)7]]/(0.9*365*Table5[[#This Row],[Daily Hydrogen Demand{mH2}(kg/day)]])</f>
        <v>9.1533456126693891E-2</v>
      </c>
      <c r="BS73" s="99">
        <f>Table5[[#This Row],[Total rated compressor power of all enroute stations(W)]]*0.306*24*365</f>
        <v>130463276.30660065</v>
      </c>
      <c r="BT73" s="99">
        <f>Table5[[#This Row],[Annual energy cost for compression for all enroute compressors(€/yr)]]/(0.9*365*Table5[[#This Row],[Daily Hydrogen Demand{mH2}(kg/day)]]*1000)</f>
        <v>3.9714848190746015E-3</v>
      </c>
      <c r="BU73" s="99">
        <f>Table5[[#This Row],[LCOHT,E10]]+Table5[[#This Row],[LCOHT,NE8]]+Table5[[#This Row],[LCOHT,invest for all enroute stations]]</f>
        <v>0.40196178607561595</v>
      </c>
      <c r="BV73" s="99">
        <f>Table5[[#This Row],[LOCHT,pipe,C2(of all enroute stations)]]+Table5[[#This Row],[LOCHT,pipe,C1(Inlet compressor)]]+Table5[[#This Row],[LCOHT,pipe(€/kg)]]</f>
        <v>0.6593029040368239</v>
      </c>
      <c r="BW73" s="110">
        <f>0.738853503184714-Table5[[#This Row],[LCOHT,pipeline]]</f>
        <v>7.9550599147890089E-2</v>
      </c>
    </row>
    <row r="74" spans="1:75">
      <c r="A74">
        <v>200</v>
      </c>
      <c r="B74">
        <v>100000</v>
      </c>
      <c r="C74">
        <f>Table5[[#This Row],[Total Installation Costs{TIC}(€)]]+Table5[[#This Row],[Indirect Costs{Id}]]</f>
        <v>80584000</v>
      </c>
      <c r="D74">
        <f t="shared" si="2"/>
        <v>57560000</v>
      </c>
      <c r="E74">
        <f t="shared" si="12"/>
        <v>23024000</v>
      </c>
      <c r="F74" s="3">
        <v>575.6</v>
      </c>
      <c r="G74">
        <f>100</f>
        <v>100</v>
      </c>
      <c r="H74">
        <f t="shared" si="21"/>
        <v>224640</v>
      </c>
      <c r="I74">
        <f t="shared" si="22"/>
        <v>149760</v>
      </c>
      <c r="J74">
        <f t="shared" si="23"/>
        <v>74880</v>
      </c>
      <c r="K74">
        <f t="shared" si="24"/>
        <v>8320</v>
      </c>
      <c r="L74">
        <v>18</v>
      </c>
      <c r="M74">
        <f t="shared" si="25"/>
        <v>2095184</v>
      </c>
      <c r="N74">
        <f t="shared" si="26"/>
        <v>2319824</v>
      </c>
      <c r="O74">
        <f t="shared" si="27"/>
        <v>8.174285816161557E-2</v>
      </c>
      <c r="P74">
        <v>0.9</v>
      </c>
      <c r="Q74">
        <f t="shared" si="10"/>
        <v>0.20052257175329161</v>
      </c>
      <c r="R74">
        <f t="shared" si="0"/>
        <v>7.0618691019786906E-2</v>
      </c>
      <c r="S74">
        <f t="shared" si="28"/>
        <v>0.27114126277307848</v>
      </c>
      <c r="T74" s="64">
        <v>2</v>
      </c>
      <c r="U74" s="64">
        <v>381.35408266399998</v>
      </c>
      <c r="V74" s="64">
        <f>Table5[[#This Row],[Daily Hydrogen Demand{mH2}(kg/day)]]/(0.002*24*60*60)</f>
        <v>578.70370370370381</v>
      </c>
      <c r="W74" s="64">
        <f>Table5[[#This Row],[No of compressor stages{N}]]
* Table5[[#This Row],[Molar flow{qM}(moles/sec)]]
* 8.314
* 305.15*1.024
* (1.41 / (1.41 - 1))
* (POWER(3.5, 0.14539007 / Table5[[#This Row],[No of compressor stages{N}]]) - 1)
/ 0.8</f>
        <v>1232406.9145775391</v>
      </c>
      <c r="X74" s="64">
        <f>(Table5[[#This Row],[Compressor Power{P}]]/(0.95*1000))</f>
        <v>1297.2704363974096</v>
      </c>
      <c r="Y74" s="64">
        <f>2655.97*POWER(Table5[[#This Row],[Rated compressor power{Pc}]],0.8335)*2</f>
        <v>2089123.4317526598</v>
      </c>
      <c r="Z74" s="64">
        <f>0.4*Table5[[#This Row],[Total Installation cost for pipeline compressor {TIC}]]</f>
        <v>835649.37270106399</v>
      </c>
      <c r="AA74" s="64">
        <f>Table5[[#This Row],[Indirect costs associated with installation{Id}]]+Table5[[#This Row],[Total Installation cost for pipeline compressor {TIC}]]</f>
        <v>2924772.8044537241</v>
      </c>
      <c r="AB74" s="64">
        <f>(Table5[[#This Row],[Investment cost for inlet compressor(Invest)]]*0.1668295449)/(0.9*Table5[[#This Row],[Daily Hydrogen Demand{mH2}(kg/day)]]*365)</f>
        <v>1.4853531686542205E-2</v>
      </c>
      <c r="AC74" s="64">
        <f>Table5[[#This Row],[No of annual hours{Ann}4]]*Table5[[#This Row],[Hourly salary {S}(€/h)5]]</f>
        <v>5184</v>
      </c>
      <c r="AD74" s="64">
        <f>0.5*Table5[[#This Row],[Direct labor costs{dL}2]]</f>
        <v>2592</v>
      </c>
      <c r="AE74" s="64">
        <f>POWER(Table5[[#This Row],[Daily Hydrogen Demand{mH2}(kg/day)]]/100000,0.25)*288</f>
        <v>288</v>
      </c>
      <c r="AF74" s="64">
        <v>18</v>
      </c>
      <c r="AG74" s="64">
        <f>(0.021*Table5[[#This Row],[Investment cost for inlet compressor(Invest)]])+(0.04*Table5[[#This Row],[Total Installation cost for pipeline compressor {TIC}]])</f>
        <v>144985.16616363463</v>
      </c>
      <c r="AH74" s="64">
        <f>Table5[[#This Row],[O&amp;Mc]]+Table5[[#This Row],[Indirect labor costs{Idl}3]]+Table5[[#This Row],[Direct labor costs{dL}2]]</f>
        <v>152761.16616363463</v>
      </c>
      <c r="AI74" s="64">
        <f>(Table5[[#This Row],[Non energy cost for compressor(NE)]])/(0.9*Table5[[#This Row],[Daily Hydrogen Demand{mH2}(kg/day)]]*365)</f>
        <v>4.6502638101563049E-3</v>
      </c>
      <c r="AJ74" s="64">
        <f>Table5[[#This Row],[Rated compressor power{Pc}]] * 0.306 * 24 * 365</f>
        <v>3477411.2409894406</v>
      </c>
      <c r="AK74" s="64">
        <f>(Table5[[#This Row],[Annual energy cost for compression(Ec)(€)]])/(0.9*Table5[[#This Row],[Daily Hydrogen Demand{mH2}(kg/day)]]*365*1000)</f>
        <v>1.0585726761002863E-4</v>
      </c>
      <c r="AL74" s="64">
        <f>Table5[[#This Row],[LCOHT,E]]+Table5[[#This Row],[LCOHT,NE]]+Table5[[#This Row],[LCOHT,invest,(for inlet compressor)]]</f>
        <v>1.9609652764308538E-2</v>
      </c>
      <c r="AM74" s="64">
        <v>2</v>
      </c>
      <c r="AN74" s="64">
        <v>345.36764970000002</v>
      </c>
      <c r="AO74" s="64">
        <f>Table5[[#This Row],[Daily Hydrogen Demand{mH2}(kg/day)]]/(0.002*24*60*60)</f>
        <v>578.70370370370381</v>
      </c>
      <c r="AP74" s="94">
        <f>Table5[[#This Row],[Daily Hydrogen Demand{mH2}(kg/day)]]/0.0849318059972404</f>
        <v>1177415.2077167556</v>
      </c>
      <c r="AQ74" s="94">
        <f>Table5[[#This Row],[Mass flow rate{Qb} (m3/day)]] * (20 / 1.01) *(288.15 / 288)</f>
        <v>23327295.936715011</v>
      </c>
      <c r="AR74" s="94">
        <f>Table5[[#This Row],[Mass flow rate(Sm3/day)]]*0.0834</f>
        <v>1945496.481122032</v>
      </c>
      <c r="AS74" s="94">
        <f>Table5[[#This Row],[Capacity,pipe2]]/(0.002*24*60*60)</f>
        <v>11258.660191678428</v>
      </c>
      <c r="AT74" s="94">
        <f>(14.737*1.01*1.0006043620884*288*Table5[[#This Row],[Mass flow rate(Sm3/day)]])/(288.15*70*Table5[[#This Row],[Diameter of pipeline(mm)]]*Table5[[#This Row],[Diameter of pipeline(mm)]]*0.001*0.001*24*60*60)</f>
        <v>1435.3550385205547</v>
      </c>
      <c r="AU74" s="96">
        <f t="shared" si="1"/>
        <v>4.015425723958442E-5</v>
      </c>
      <c r="AV74" s="94">
        <f>(4.58*Table5[[#This Row],[Velocity of hydrogen{v}(m/sec)]]*Table5[[#This Row],[Diameter of pipeline(mm)]]*0.001)/Table5[[#This Row],[μ]]</f>
        <v>32743357.882080343</v>
      </c>
      <c r="AW74" s="109">
        <v>9.4000000000000004E-3</v>
      </c>
      <c r="AX74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22174.407104144069</v>
      </c>
      <c r="AY74" s="94">
        <f>70-Table5[[#This Row],[Pressure drop (Δp) (bar)]]</f>
        <v>-22104.407104144069</v>
      </c>
      <c r="AZ74" s="65">
        <f xml:space="preserve"> (Table5[[#This Row],[N]] *Table5[[#This Row],[qM**]]* 8.314 * 293.15 * (1.02776828999228/0.8) * (1.41 / (1.41 - 1)) * (POWER(3.5, 0.14539007 / Table5[[#This Row],[N]]) - 1))</f>
        <v>23118324.620838672</v>
      </c>
      <c r="BA74" s="64">
        <f>Table5[[#This Row],[Compressor Power]]/(0.95*1000)</f>
        <v>24335.078548251233</v>
      </c>
      <c r="BB74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355.22388059701399</v>
      </c>
      <c r="BC74" s="65">
        <v>2</v>
      </c>
      <c r="BD74" s="64">
        <f>Table5[[#This Row],[Rated compressor power for single station]]*Table5[[#This Row],[No of enroute compressor stations]]</f>
        <v>48670.157096502466</v>
      </c>
      <c r="BE74" s="64">
        <f>Table5[[#This Row],[Rated compressor power for single station]]/16000</f>
        <v>1.520942409265702</v>
      </c>
      <c r="BF74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14169709.090325901</v>
      </c>
      <c r="BG74" s="64">
        <f>Table5[[#This Row],[UC for single enroute station]]*2</f>
        <v>28339418.180651803</v>
      </c>
      <c r="BH74" s="64">
        <f>Table5[[#This Row],[TIC for single enroute station]]*Table5[[#This Row],[No of compressors at single enroute station]]</f>
        <v>43102622.964868791</v>
      </c>
      <c r="BI74" s="21">
        <f>0.4*Table5[[#This Row],[TIC for all enroute stations]]</f>
        <v>17241049.185947519</v>
      </c>
      <c r="BJ74" s="100">
        <f>Table5[[#This Row],[TIC for all enroute stations]]+Table5[[#This Row],[Indirect costs for all enroute stations]]</f>
        <v>60343672.150816306</v>
      </c>
      <c r="BK74" s="100">
        <f>(Table5[[#This Row],[Investment cost for all enroute stations]]*0.1668295449)/(0.9*365*Table5[[#This Row],[Daily Hydrogen Demand{mH2}(kg/day)]])</f>
        <v>0.30645684512984744</v>
      </c>
      <c r="BL74" s="100">
        <f>Table5[[#This Row],[No of enroute compressor stations]]*Table5[[#This Row],[No of annual hours{Ann}44]]*Table5[[#This Row],[Hourly salary {S}(€/h)55]]</f>
        <v>10368</v>
      </c>
      <c r="BM74" s="100">
        <f>0.5*Table5[[#This Row],[Direct labor costs{dL}22]]</f>
        <v>5184</v>
      </c>
      <c r="BN74" s="64">
        <f>POWER(Table5[[#This Row],[Daily Hydrogen Demand{mH2}(kg/day)]]/100000,0.25)*288</f>
        <v>288</v>
      </c>
      <c r="BO74" s="64">
        <v>18</v>
      </c>
      <c r="BP74" s="100">
        <f>(0.021*Table5[[#This Row],[Investment cost for all enroute stations]])+(0.04*Table5[[#This Row],[TIC for all enroute stations]])</f>
        <v>2991322.0337618943</v>
      </c>
      <c r="BQ74" s="100">
        <f>Table5[[#This Row],[Indirect labor costs{Idl}33]]+Table5[[#This Row],[Direct labor costs{dL}22]]+Table5[[#This Row],[O&amp;Mc6]]</f>
        <v>3006874.0337618943</v>
      </c>
      <c r="BR74" s="100">
        <f>Table5[[#This Row],[Non energy cost for compressor(NE)7]]/(0.9*365*Table5[[#This Row],[Daily Hydrogen Demand{mH2}(kg/day)]])</f>
        <v>9.1533456126693891E-2</v>
      </c>
      <c r="BS74" s="100">
        <f>Table5[[#This Row],[Total rated compressor power of all enroute stations(W)]]*0.306*24*365</f>
        <v>130463276.30660065</v>
      </c>
      <c r="BT74" s="100">
        <f>Table5[[#This Row],[Annual energy cost for compression for all enroute compressors(€/yr)]]/(0.9*365*Table5[[#This Row],[Daily Hydrogen Demand{mH2}(kg/day)]]*1000)</f>
        <v>3.9714848190746015E-3</v>
      </c>
      <c r="BU74" s="100">
        <f>Table5[[#This Row],[LCOHT,E10]]+Table5[[#This Row],[LCOHT,NE8]]+Table5[[#This Row],[LCOHT,invest for all enroute stations]]</f>
        <v>0.40196178607561595</v>
      </c>
      <c r="BV74" s="100">
        <f>Table5[[#This Row],[LOCHT,pipe,C2(of all enroute stations)]]+Table5[[#This Row],[LOCHT,pipe,C1(Inlet compressor)]]+Table5[[#This Row],[LCOHT,pipe(€/kg)]]</f>
        <v>0.69271270161300302</v>
      </c>
      <c r="BW74" s="110">
        <f>0.738853503184714-Table5[[#This Row],[LCOHT,pipeline]]</f>
        <v>4.6140801571710965E-2</v>
      </c>
    </row>
    <row r="75" spans="1:75">
      <c r="A75">
        <f>100</f>
        <v>100</v>
      </c>
      <c r="B75">
        <v>10000</v>
      </c>
      <c r="C75">
        <f>Table5[[#This Row],[Total Installation Costs{TIC}(€)]]+Table5[[#This Row],[Indirect Costs{Id}]]</f>
        <v>150622500</v>
      </c>
      <c r="D75">
        <f t="shared" si="2"/>
        <v>107587500</v>
      </c>
      <c r="E75">
        <f t="shared" si="12"/>
        <v>43035000</v>
      </c>
      <c r="F75" s="3">
        <v>430.35</v>
      </c>
      <c r="G75">
        <v>250</v>
      </c>
      <c r="H75">
        <f>I75+J75</f>
        <v>126324.35529076001</v>
      </c>
      <c r="I75">
        <f>K75*L75</f>
        <v>84216.236860506673</v>
      </c>
      <c r="J75">
        <f>0.5*I75</f>
        <v>42108.118430253337</v>
      </c>
      <c r="K75">
        <f>POWER(B75/100000,0.25)*8320</f>
        <v>4678.6798255837039</v>
      </c>
      <c r="L75">
        <v>18</v>
      </c>
      <c r="M75">
        <f>0.026*C75</f>
        <v>3916185</v>
      </c>
      <c r="N75">
        <f>H75+M75</f>
        <v>4042509.3552907598</v>
      </c>
      <c r="O75">
        <f>((1.08^50)*0.08)/((1.08^50)-1)</f>
        <v>8.174285816161557E-2</v>
      </c>
      <c r="P75">
        <v>0.9</v>
      </c>
      <c r="Q75">
        <f t="shared" si="10"/>
        <v>3.7480406859811084</v>
      </c>
      <c r="R75">
        <f t="shared" si="0"/>
        <v>1.230596455187446</v>
      </c>
      <c r="S75">
        <f>Q75+R75</f>
        <v>4.9786371411685542</v>
      </c>
      <c r="T75" s="64">
        <v>2</v>
      </c>
      <c r="U75" s="64">
        <v>381.35408266399998</v>
      </c>
      <c r="V75" s="64">
        <f>Table5[[#This Row],[Daily Hydrogen Demand{mH2}(kg/day)]]/(0.002*24*60*60)</f>
        <v>57.870370370370374</v>
      </c>
      <c r="W75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75" s="64">
        <f>(Table5[[#This Row],[Compressor Power{P}]]/(0.95*1000))</f>
        <v>129.72704363974094</v>
      </c>
      <c r="Y75" s="64">
        <f>2655.97*POWER(Table5[[#This Row],[Rated compressor power{Pc}]],0.8335)*2</f>
        <v>306523.72890720674</v>
      </c>
      <c r="Z75" s="64">
        <f>0.4*Table5[[#This Row],[Total Installation cost for pipeline compressor {TIC}]]</f>
        <v>122609.4915628827</v>
      </c>
      <c r="AA75" s="64">
        <f>Table5[[#This Row],[Indirect costs associated with installation{Id}]]+Table5[[#This Row],[Total Installation cost for pipeline compressor {TIC}]]</f>
        <v>429133.22047008947</v>
      </c>
      <c r="AB75" s="64">
        <f>(Table5[[#This Row],[Investment cost for inlet compressor(Invest)]]*0.1668295449)/(0.9*Table5[[#This Row],[Daily Hydrogen Demand{mH2}(kg/day)]]*365)</f>
        <v>2.1793637708522492E-2</v>
      </c>
      <c r="AC75" s="64">
        <f>Table5[[#This Row],[No of annual hours{Ann}4]]*Table5[[#This Row],[Hourly salary {S}(€/h)5]]</f>
        <v>2915.1774297867696</v>
      </c>
      <c r="AD75" s="64">
        <f>0.5*Table5[[#This Row],[Direct labor costs{dL}2]]</f>
        <v>1457.5887148933848</v>
      </c>
      <c r="AE75" s="64">
        <f>POWER(Table5[[#This Row],[Daily Hydrogen Demand{mH2}(kg/day)]]/100000,0.25)*288</f>
        <v>161.95430165482054</v>
      </c>
      <c r="AF75" s="64">
        <v>18</v>
      </c>
      <c r="AG75" s="64">
        <f>(0.021*Table5[[#This Row],[Investment cost for inlet compressor(Invest)]])+(0.04*Table5[[#This Row],[Total Installation cost for pipeline compressor {TIC}]])</f>
        <v>21272.746786160147</v>
      </c>
      <c r="AH75" s="64">
        <f>Table5[[#This Row],[O&amp;Mc]]+Table5[[#This Row],[Indirect labor costs{Idl}3]]+Table5[[#This Row],[Direct labor costs{dL}2]]</f>
        <v>25645.512930840301</v>
      </c>
      <c r="AI75" s="64">
        <f>(Table5[[#This Row],[Non energy cost for compressor(NE)]])/(0.9*Table5[[#This Row],[Daily Hydrogen Demand{mH2}(kg/day)]]*365)</f>
        <v>7.8068532513973516E-3</v>
      </c>
      <c r="AJ75" s="64">
        <f>Table5[[#This Row],[Rated compressor power{Pc}]] * 0.306 * 24 * 365</f>
        <v>347741.12409894395</v>
      </c>
      <c r="AK75" s="64">
        <f>(Table5[[#This Row],[Annual energy cost for compression(Ec)(€)]])/(0.9*Table5[[#This Row],[Daily Hydrogen Demand{mH2}(kg/day)]]*365*1000)</f>
        <v>1.0585726761002861E-4</v>
      </c>
      <c r="AL75" s="64">
        <f>Table5[[#This Row],[LCOHT,E]]+Table5[[#This Row],[LCOHT,NE]]+Table5[[#This Row],[LCOHT,invest,(for inlet compressor)]]</f>
        <v>2.970634822752987E-2</v>
      </c>
      <c r="AM75" s="64">
        <v>2</v>
      </c>
      <c r="AN75" s="64">
        <v>345.36764970000002</v>
      </c>
      <c r="AO75" s="64">
        <f>Table5[[#This Row],[Daily Hydrogen Demand{mH2}(kg/day)]]/(0.002*24*60*60)</f>
        <v>57.870370370370374</v>
      </c>
      <c r="AP75" s="94">
        <f>Table5[[#This Row],[Daily Hydrogen Demand{mH2}(kg/day)]]/0.0849318059972404</f>
        <v>117741.52077167557</v>
      </c>
      <c r="AQ75" s="94">
        <f>Table5[[#This Row],[Mass flow rate{Qb} (m3/day)]] * (20 / 1.01) *(288.15 / 288)</f>
        <v>2332729.5936715011</v>
      </c>
      <c r="AR75" s="94">
        <f>Table5[[#This Row],[Mass flow rate(Sm3/day)]]*0.0834</f>
        <v>194549.6481122032</v>
      </c>
      <c r="AS75" s="94">
        <f>Table5[[#This Row],[Capacity,pipe2]]/(0.002*24*60*60)</f>
        <v>1125.8660191678428</v>
      </c>
      <c r="AT75" s="94">
        <f>(14.737*1.01*1.0006043620884*288*Table5[[#This Row],[Mass flow rate(Sm3/day)]])/(288.15*70*Table5[[#This Row],[Diameter of pipeline(mm)]]*Table5[[#This Row],[Diameter of pipeline(mm)]]*0.001*0.001*24*60*60)</f>
        <v>574.14201540822194</v>
      </c>
      <c r="AU75" s="96">
        <f t="shared" si="1"/>
        <v>4.015425723958442E-5</v>
      </c>
      <c r="AV75" s="94">
        <f>(4.58*Table5[[#This Row],[Velocity of hydrogen{v}(m/sec)]]*Table5[[#This Row],[Diameter of pipeline(mm)]]*0.001)/Table5[[#This Row],[μ]]</f>
        <v>6548671.5764160687</v>
      </c>
      <c r="AW75" s="109">
        <v>9.4000000000000004E-3</v>
      </c>
      <c r="AX75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17739.52568331526</v>
      </c>
      <c r="AY75" s="94">
        <f>70-Table5[[#This Row],[Pressure drop (Δp) (bar)]]</f>
        <v>-17669.52568331526</v>
      </c>
      <c r="AZ75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75" s="64">
        <f>Table5[[#This Row],[Compressor Power]]/(0.95*1000)</f>
        <v>2433.5078548251226</v>
      </c>
      <c r="BB75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75" s="65">
        <v>2</v>
      </c>
      <c r="BD75" s="64">
        <f>Table5[[#This Row],[Rated compressor power for single station]]*Table5[[#This Row],[No of enroute compressor stations]]</f>
        <v>4867.0157096502453</v>
      </c>
      <c r="BE75" s="64">
        <f>Table5[[#This Row],[Rated compressor power for single station]]/16000</f>
        <v>0.15209424092657017</v>
      </c>
      <c r="BF75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75" s="64">
        <f>Table5[[#This Row],[UC for single enroute station]]*2</f>
        <v>23156.642900224531</v>
      </c>
      <c r="BH75" s="64">
        <f>Table5[[#This Row],[TIC for single enroute station]]*Table5[[#This Row],[No of compressors at single enroute station]]</f>
        <v>3521.9920243173005</v>
      </c>
      <c r="BI75" s="98">
        <f>0.4*Table5[[#This Row],[TIC for all enroute stations]]</f>
        <v>1408.7968097269204</v>
      </c>
      <c r="BJ75" s="99">
        <f>Table5[[#This Row],[TIC for all enroute stations]]+Table5[[#This Row],[Indirect costs for all enroute stations]]</f>
        <v>4930.7888340442205</v>
      </c>
      <c r="BK75" s="99">
        <f>(Table5[[#This Row],[Investment cost for all enroute stations]]*0.1668295449)/(0.9*365*Table5[[#This Row],[Daily Hydrogen Demand{mH2}(kg/day)]])</f>
        <v>2.5041134160779264E-4</v>
      </c>
      <c r="BL75" s="99">
        <f>Table5[[#This Row],[No of enroute compressor stations]]*Table5[[#This Row],[No of annual hours{Ann}44]]*Table5[[#This Row],[Hourly salary {S}(€/h)55]]</f>
        <v>5830.3548595735392</v>
      </c>
      <c r="BM75" s="99">
        <f>0.5*Table5[[#This Row],[Direct labor costs{dL}22]]</f>
        <v>2915.1774297867696</v>
      </c>
      <c r="BN75" s="64">
        <f>POWER(Table5[[#This Row],[Daily Hydrogen Demand{mH2}(kg/day)]]/100000,0.25)*288</f>
        <v>161.95430165482054</v>
      </c>
      <c r="BO75" s="64">
        <v>18</v>
      </c>
      <c r="BP75" s="99">
        <f>(0.021*Table5[[#This Row],[Investment cost for all enroute stations]])+(0.04*Table5[[#This Row],[TIC for all enroute stations]])</f>
        <v>244.42624648762066</v>
      </c>
      <c r="BQ75" s="99">
        <f>Table5[[#This Row],[Indirect labor costs{Idl}33]]+Table5[[#This Row],[Direct labor costs{dL}22]]+Table5[[#This Row],[O&amp;Mc6]]</f>
        <v>8989.9585358479289</v>
      </c>
      <c r="BR75" s="99">
        <f>Table5[[#This Row],[Non energy cost for compressor(NE)7]]/(0.9*365*Table5[[#This Row],[Daily Hydrogen Demand{mH2}(kg/day)]])</f>
        <v>2.7366692650983042E-3</v>
      </c>
      <c r="BS75" s="99">
        <f>Table5[[#This Row],[Total rated compressor power of all enroute stations(W)]]*0.306*24*365</f>
        <v>13046327.630660063</v>
      </c>
      <c r="BT75" s="99">
        <f>Table5[[#This Row],[Annual energy cost for compression for all enroute compressors(€/yr)]]/(0.9*365*Table5[[#This Row],[Daily Hydrogen Demand{mH2}(kg/day)]]*1000)</f>
        <v>3.9714848190746006E-3</v>
      </c>
      <c r="BU75" s="99">
        <f>Table5[[#This Row],[LCOHT,E10]]+Table5[[#This Row],[LCOHT,NE8]]+Table5[[#This Row],[LCOHT,invest for all enroute stations]]</f>
        <v>6.958565425780697E-3</v>
      </c>
      <c r="BV75" s="99">
        <f>Table5[[#This Row],[LOCHT,pipe,C2(of all enroute stations)]]+Table5[[#This Row],[LOCHT,pipe,C1(Inlet compressor)]]+Table5[[#This Row],[LCOHT,pipe(€/kg)]]</f>
        <v>5.0153020548218645</v>
      </c>
      <c r="BW75" s="110">
        <f>2.929936306-3.04</f>
        <v>-0.11006369399999993</v>
      </c>
    </row>
    <row r="76" spans="1:75">
      <c r="A76">
        <f>150</f>
        <v>150</v>
      </c>
      <c r="B76">
        <v>10000</v>
      </c>
      <c r="C76">
        <f>Table5[[#This Row],[Total Installation Costs{TIC}(€)]]+Table5[[#This Row],[Indirect Costs{Id}]]</f>
        <v>175994000</v>
      </c>
      <c r="D76">
        <f t="shared" si="2"/>
        <v>125710000</v>
      </c>
      <c r="E76">
        <f t="shared" si="12"/>
        <v>50284000</v>
      </c>
      <c r="F76" s="3">
        <v>502.84</v>
      </c>
      <c r="G76">
        <v>250</v>
      </c>
      <c r="H76">
        <f t="shared" ref="H76:H82" si="29">I76+J76</f>
        <v>126324.35529076001</v>
      </c>
      <c r="I76">
        <f t="shared" ref="I76:I82" si="30">K76*L76</f>
        <v>84216.236860506673</v>
      </c>
      <c r="J76">
        <f t="shared" ref="J76:J82" si="31">0.5*I76</f>
        <v>42108.118430253337</v>
      </c>
      <c r="K76">
        <f t="shared" ref="K76:K82" si="32">POWER(B76/100000,0.25)*8320</f>
        <v>4678.6798255837039</v>
      </c>
      <c r="L76">
        <v>18</v>
      </c>
      <c r="M76">
        <f t="shared" ref="M76:M82" si="33">0.026*C76</f>
        <v>4575844</v>
      </c>
      <c r="N76">
        <f t="shared" ref="N76:N82" si="34">H76+M76</f>
        <v>4702168.3552907603</v>
      </c>
      <c r="O76">
        <f t="shared" ref="O76:O82" si="35">((1.08^50)*0.08)/((1.08^50)-1)</f>
        <v>8.174285816161557E-2</v>
      </c>
      <c r="P76">
        <v>0.9</v>
      </c>
      <c r="Q76">
        <f t="shared" si="10"/>
        <v>4.3793767364673881</v>
      </c>
      <c r="R76">
        <f t="shared" si="0"/>
        <v>1.4314058920215404</v>
      </c>
      <c r="S76">
        <f t="shared" ref="S76:S82" si="36">Q76+R76</f>
        <v>5.8107826284889281</v>
      </c>
      <c r="T76" s="64">
        <v>2</v>
      </c>
      <c r="U76" s="64">
        <v>381.35408266399998</v>
      </c>
      <c r="V76" s="64">
        <f>Table5[[#This Row],[Daily Hydrogen Demand{mH2}(kg/day)]]/(0.002*24*60*60)</f>
        <v>57.870370370370374</v>
      </c>
      <c r="W76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76" s="64">
        <f>(Table5[[#This Row],[Compressor Power{P}]]/(0.95*1000))</f>
        <v>129.72704363974094</v>
      </c>
      <c r="Y76" s="64">
        <f>2655.97*POWER(Table5[[#This Row],[Rated compressor power{Pc}]],0.8335)*2</f>
        <v>306523.72890720674</v>
      </c>
      <c r="Z76" s="64">
        <f>0.4*Table5[[#This Row],[Total Installation cost for pipeline compressor {TIC}]]</f>
        <v>122609.4915628827</v>
      </c>
      <c r="AA76" s="64">
        <f>Table5[[#This Row],[Indirect costs associated with installation{Id}]]+Table5[[#This Row],[Total Installation cost for pipeline compressor {TIC}]]</f>
        <v>429133.22047008947</v>
      </c>
      <c r="AB76" s="64">
        <f>(Table5[[#This Row],[Investment cost for inlet compressor(Invest)]]*0.1668295449)/(0.9*Table5[[#This Row],[Daily Hydrogen Demand{mH2}(kg/day)]]*365)</f>
        <v>2.1793637708522492E-2</v>
      </c>
      <c r="AC76" s="64">
        <f>Table5[[#This Row],[No of annual hours{Ann}4]]*Table5[[#This Row],[Hourly salary {S}(€/h)5]]</f>
        <v>2915.1774297867696</v>
      </c>
      <c r="AD76" s="64">
        <f>0.5*Table5[[#This Row],[Direct labor costs{dL}2]]</f>
        <v>1457.5887148933848</v>
      </c>
      <c r="AE76" s="64">
        <f>POWER(Table5[[#This Row],[Daily Hydrogen Demand{mH2}(kg/day)]]/100000,0.25)*288</f>
        <v>161.95430165482054</v>
      </c>
      <c r="AF76" s="64">
        <v>18</v>
      </c>
      <c r="AG76" s="64">
        <f>(0.021*Table5[[#This Row],[Investment cost for inlet compressor(Invest)]])+(0.04*Table5[[#This Row],[Total Installation cost for pipeline compressor {TIC}]])</f>
        <v>21272.746786160147</v>
      </c>
      <c r="AH76" s="64">
        <f>Table5[[#This Row],[O&amp;Mc]]+Table5[[#This Row],[Indirect labor costs{Idl}3]]+Table5[[#This Row],[Direct labor costs{dL}2]]</f>
        <v>25645.512930840301</v>
      </c>
      <c r="AI76" s="64">
        <f>(Table5[[#This Row],[Non energy cost for compressor(NE)]])/(0.9*Table5[[#This Row],[Daily Hydrogen Demand{mH2}(kg/day)]]*365)</f>
        <v>7.8068532513973516E-3</v>
      </c>
      <c r="AJ76" s="64">
        <f>Table5[[#This Row],[Rated compressor power{Pc}]] * 0.306 * 24 * 365</f>
        <v>347741.12409894395</v>
      </c>
      <c r="AK76" s="64">
        <f>(Table5[[#This Row],[Annual energy cost for compression(Ec)(€)]])/(0.9*Table5[[#This Row],[Daily Hydrogen Demand{mH2}(kg/day)]]*365*1000)</f>
        <v>1.0585726761002861E-4</v>
      </c>
      <c r="AL76" s="64">
        <f>Table5[[#This Row],[LCOHT,E]]+Table5[[#This Row],[LCOHT,NE]]+Table5[[#This Row],[LCOHT,invest,(for inlet compressor)]]</f>
        <v>2.970634822752987E-2</v>
      </c>
      <c r="AM76" s="64">
        <v>2</v>
      </c>
      <c r="AN76" s="64">
        <v>345.36764970000002</v>
      </c>
      <c r="AO76" s="64">
        <f>Table5[[#This Row],[Daily Hydrogen Demand{mH2}(kg/day)]]/(0.002*24*60*60)</f>
        <v>57.870370370370374</v>
      </c>
      <c r="AP76" s="94">
        <f>Table5[[#This Row],[Daily Hydrogen Demand{mH2}(kg/day)]]/0.0849318059972404</f>
        <v>117741.52077167557</v>
      </c>
      <c r="AQ76" s="94">
        <f>Table5[[#This Row],[Mass flow rate{Qb} (m3/day)]] * (20 / 1.01) *(288.15 / 288)</f>
        <v>2332729.5936715011</v>
      </c>
      <c r="AR76" s="94">
        <f>Table5[[#This Row],[Mass flow rate(Sm3/day)]]*0.0834</f>
        <v>194549.6481122032</v>
      </c>
      <c r="AS76" s="94">
        <f>Table5[[#This Row],[Capacity,pipe2]]/(0.002*24*60*60)</f>
        <v>1125.8660191678428</v>
      </c>
      <c r="AT76" s="94">
        <f>(14.737*1.01*1.0006043620884*288*Table5[[#This Row],[Mass flow rate(Sm3/day)]])/(288.15*70*Table5[[#This Row],[Diameter of pipeline(mm)]]*Table5[[#This Row],[Diameter of pipeline(mm)]]*0.001*0.001*24*60*60)</f>
        <v>255.17422907032085</v>
      </c>
      <c r="AU76" s="96">
        <f t="shared" si="1"/>
        <v>4.015425723958442E-5</v>
      </c>
      <c r="AV76" s="94">
        <f>(4.58*Table5[[#This Row],[Velocity of hydrogen{v}(m/sec)]]*Table5[[#This Row],[Diameter of pipeline(mm)]]*0.001)/Table5[[#This Row],[μ]]</f>
        <v>4365781.0509440461</v>
      </c>
      <c r="AW76" s="109">
        <v>9.4000000000000004E-3</v>
      </c>
      <c r="AX76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2336.069225786372</v>
      </c>
      <c r="AY76" s="94">
        <f>70-Table5[[#This Row],[Pressure drop (Δp) (bar)]]</f>
        <v>-2266.069225786372</v>
      </c>
      <c r="AZ76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76" s="64">
        <f>Table5[[#This Row],[Compressor Power]]/(0.95*1000)</f>
        <v>2433.5078548251226</v>
      </c>
      <c r="BB76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76" s="65">
        <v>2</v>
      </c>
      <c r="BD76" s="64">
        <f>Table5[[#This Row],[Rated compressor power for single station]]*Table5[[#This Row],[No of enroute compressor stations]]</f>
        <v>4867.0157096502453</v>
      </c>
      <c r="BE76" s="64">
        <f>Table5[[#This Row],[Rated compressor power for single station]]/16000</f>
        <v>0.15209424092657017</v>
      </c>
      <c r="BF76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76" s="64">
        <f>Table5[[#This Row],[UC for single enroute station]]*2</f>
        <v>23156.642900224531</v>
      </c>
      <c r="BH76" s="64">
        <f>Table5[[#This Row],[TIC for single enroute station]]*Table5[[#This Row],[No of compressors at single enroute station]]</f>
        <v>3521.9920243173005</v>
      </c>
      <c r="BI76" s="21">
        <f>0.4*Table5[[#This Row],[TIC for all enroute stations]]</f>
        <v>1408.7968097269204</v>
      </c>
      <c r="BJ76" s="100">
        <f>Table5[[#This Row],[TIC for all enroute stations]]+Table5[[#This Row],[Indirect costs for all enroute stations]]</f>
        <v>4930.7888340442205</v>
      </c>
      <c r="BK76" s="100">
        <f>(Table5[[#This Row],[Investment cost for all enroute stations]]*0.1668295449)/(0.9*365*Table5[[#This Row],[Daily Hydrogen Demand{mH2}(kg/day)]])</f>
        <v>2.5041134160779264E-4</v>
      </c>
      <c r="BL76" s="100">
        <f>Table5[[#This Row],[No of enroute compressor stations]]*Table5[[#This Row],[No of annual hours{Ann}44]]*Table5[[#This Row],[Hourly salary {S}(€/h)55]]</f>
        <v>5830.3548595735392</v>
      </c>
      <c r="BM76" s="100">
        <f>0.5*Table5[[#This Row],[Direct labor costs{dL}22]]</f>
        <v>2915.1774297867696</v>
      </c>
      <c r="BN76" s="64">
        <f>POWER(Table5[[#This Row],[Daily Hydrogen Demand{mH2}(kg/day)]]/100000,0.25)*288</f>
        <v>161.95430165482054</v>
      </c>
      <c r="BO76" s="64">
        <v>18</v>
      </c>
      <c r="BP76" s="100">
        <f>(0.021*Table5[[#This Row],[Investment cost for all enroute stations]])+(0.04*Table5[[#This Row],[TIC for all enroute stations]])</f>
        <v>244.42624648762066</v>
      </c>
      <c r="BQ76" s="100">
        <f>Table5[[#This Row],[Indirect labor costs{Idl}33]]+Table5[[#This Row],[Direct labor costs{dL}22]]+Table5[[#This Row],[O&amp;Mc6]]</f>
        <v>8989.9585358479289</v>
      </c>
      <c r="BR76" s="100">
        <f>Table5[[#This Row],[Non energy cost for compressor(NE)7]]/(0.9*365*Table5[[#This Row],[Daily Hydrogen Demand{mH2}(kg/day)]])</f>
        <v>2.7366692650983042E-3</v>
      </c>
      <c r="BS76" s="100">
        <f>Table5[[#This Row],[Total rated compressor power of all enroute stations(W)]]*0.306*24*365</f>
        <v>13046327.630660063</v>
      </c>
      <c r="BT76" s="100">
        <f>Table5[[#This Row],[Annual energy cost for compression for all enroute compressors(€/yr)]]/(0.9*365*Table5[[#This Row],[Daily Hydrogen Demand{mH2}(kg/day)]]*1000)</f>
        <v>3.9714848190746006E-3</v>
      </c>
      <c r="BU76" s="100">
        <f>Table5[[#This Row],[LCOHT,E10]]+Table5[[#This Row],[LCOHT,NE8]]+Table5[[#This Row],[LCOHT,invest for all enroute stations]]</f>
        <v>6.958565425780697E-3</v>
      </c>
      <c r="BV76" s="100">
        <f>Table5[[#This Row],[LOCHT,pipe,C2(of all enroute stations)]]+Table5[[#This Row],[LOCHT,pipe,C1(Inlet compressor)]]+Table5[[#This Row],[LCOHT,pipe(€/kg)]]</f>
        <v>5.8474475421422385</v>
      </c>
      <c r="BW76" s="110">
        <f>5.222929936-3.54</f>
        <v>1.6829299359999998</v>
      </c>
    </row>
    <row r="77" spans="1:75">
      <c r="A77">
        <f>200</f>
        <v>200</v>
      </c>
      <c r="B77">
        <v>10000</v>
      </c>
      <c r="C77">
        <f>Table5[[#This Row],[Total Installation Costs{TIC}(€)]]+Table5[[#This Row],[Indirect Costs{Id}]]</f>
        <v>201460000</v>
      </c>
      <c r="D77">
        <f t="shared" si="2"/>
        <v>143900000</v>
      </c>
      <c r="E77">
        <f t="shared" si="12"/>
        <v>57560000</v>
      </c>
      <c r="F77" s="3">
        <v>575.6</v>
      </c>
      <c r="G77">
        <v>250</v>
      </c>
      <c r="H77">
        <f t="shared" si="29"/>
        <v>126324.35529076001</v>
      </c>
      <c r="I77">
        <f t="shared" si="30"/>
        <v>84216.236860506673</v>
      </c>
      <c r="J77">
        <f t="shared" si="31"/>
        <v>42108.118430253337</v>
      </c>
      <c r="K77">
        <f t="shared" si="32"/>
        <v>4678.6798255837039</v>
      </c>
      <c r="L77">
        <v>18</v>
      </c>
      <c r="M77">
        <f t="shared" si="33"/>
        <v>5237960</v>
      </c>
      <c r="N77">
        <f t="shared" si="34"/>
        <v>5364284.3552907603</v>
      </c>
      <c r="O77">
        <f t="shared" si="35"/>
        <v>8.174285816161557E-2</v>
      </c>
      <c r="P77">
        <v>0.9</v>
      </c>
      <c r="Q77">
        <f t="shared" si="10"/>
        <v>5.01306429383229</v>
      </c>
      <c r="R77">
        <f t="shared" si="0"/>
        <v>1.6329632740611142</v>
      </c>
      <c r="S77">
        <f t="shared" si="36"/>
        <v>6.6460275678934044</v>
      </c>
      <c r="T77" s="64">
        <v>2</v>
      </c>
      <c r="U77" s="64">
        <v>381.35408266399998</v>
      </c>
      <c r="V77" s="64">
        <f>Table5[[#This Row],[Daily Hydrogen Demand{mH2}(kg/day)]]/(0.002*24*60*60)</f>
        <v>57.870370370370374</v>
      </c>
      <c r="W77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77" s="64">
        <f>(Table5[[#This Row],[Compressor Power{P}]]/(0.95*1000))</f>
        <v>129.72704363974094</v>
      </c>
      <c r="Y77" s="64">
        <f>2655.97*POWER(Table5[[#This Row],[Rated compressor power{Pc}]],0.8335)*2</f>
        <v>306523.72890720674</v>
      </c>
      <c r="Z77" s="64">
        <f>0.4*Table5[[#This Row],[Total Installation cost for pipeline compressor {TIC}]]</f>
        <v>122609.4915628827</v>
      </c>
      <c r="AA77" s="64">
        <f>Table5[[#This Row],[Indirect costs associated with installation{Id}]]+Table5[[#This Row],[Total Installation cost for pipeline compressor {TIC}]]</f>
        <v>429133.22047008947</v>
      </c>
      <c r="AB77" s="64">
        <f>(Table5[[#This Row],[Investment cost for inlet compressor(Invest)]]*0.1668295449)/(0.9*Table5[[#This Row],[Daily Hydrogen Demand{mH2}(kg/day)]]*365)</f>
        <v>2.1793637708522492E-2</v>
      </c>
      <c r="AC77" s="64">
        <f>Table5[[#This Row],[No of annual hours{Ann}4]]*Table5[[#This Row],[Hourly salary {S}(€/h)5]]</f>
        <v>2915.1774297867696</v>
      </c>
      <c r="AD77" s="64">
        <f>0.5*Table5[[#This Row],[Direct labor costs{dL}2]]</f>
        <v>1457.5887148933848</v>
      </c>
      <c r="AE77" s="64">
        <f>POWER(Table5[[#This Row],[Daily Hydrogen Demand{mH2}(kg/day)]]/100000,0.25)*288</f>
        <v>161.95430165482054</v>
      </c>
      <c r="AF77" s="64">
        <v>18</v>
      </c>
      <c r="AG77" s="64">
        <f>(0.021*Table5[[#This Row],[Investment cost for inlet compressor(Invest)]])+(0.04*Table5[[#This Row],[Total Installation cost for pipeline compressor {TIC}]])</f>
        <v>21272.746786160147</v>
      </c>
      <c r="AH77" s="64">
        <f>Table5[[#This Row],[O&amp;Mc]]+Table5[[#This Row],[Indirect labor costs{Idl}3]]+Table5[[#This Row],[Direct labor costs{dL}2]]</f>
        <v>25645.512930840301</v>
      </c>
      <c r="AI77" s="64">
        <f>(Table5[[#This Row],[Non energy cost for compressor(NE)]])/(0.9*Table5[[#This Row],[Daily Hydrogen Demand{mH2}(kg/day)]]*365)</f>
        <v>7.8068532513973516E-3</v>
      </c>
      <c r="AJ77" s="64">
        <f>Table5[[#This Row],[Rated compressor power{Pc}]] * 0.306 * 24 * 365</f>
        <v>347741.12409894395</v>
      </c>
      <c r="AK77" s="64">
        <f>(Table5[[#This Row],[Annual energy cost for compression(Ec)(€)]])/(0.9*Table5[[#This Row],[Daily Hydrogen Demand{mH2}(kg/day)]]*365*1000)</f>
        <v>1.0585726761002861E-4</v>
      </c>
      <c r="AL77" s="64">
        <f>Table5[[#This Row],[LCOHT,E]]+Table5[[#This Row],[LCOHT,NE]]+Table5[[#This Row],[LCOHT,invest,(for inlet compressor)]]</f>
        <v>2.970634822752987E-2</v>
      </c>
      <c r="AM77" s="64">
        <v>2</v>
      </c>
      <c r="AN77" s="64">
        <v>345.36764970000002</v>
      </c>
      <c r="AO77" s="64">
        <f>Table5[[#This Row],[Daily Hydrogen Demand{mH2}(kg/day)]]/(0.002*24*60*60)</f>
        <v>57.870370370370374</v>
      </c>
      <c r="AP77" s="94">
        <f>Table5[[#This Row],[Daily Hydrogen Demand{mH2}(kg/day)]]/0.0849318059972404</f>
        <v>117741.52077167557</v>
      </c>
      <c r="AQ77" s="94">
        <f>Table5[[#This Row],[Mass flow rate{Qb} (m3/day)]] * (20 / 1.01) *(288.15 / 288)</f>
        <v>2332729.5936715011</v>
      </c>
      <c r="AR77" s="94">
        <f>Table5[[#This Row],[Mass flow rate(Sm3/day)]]*0.0834</f>
        <v>194549.6481122032</v>
      </c>
      <c r="AS77" s="94">
        <f>Table5[[#This Row],[Capacity,pipe2]]/(0.002*24*60*60)</f>
        <v>1125.8660191678428</v>
      </c>
      <c r="AT77" s="94">
        <f>(14.737*1.01*1.0006043620884*288*Table5[[#This Row],[Mass flow rate(Sm3/day)]])/(288.15*70*Table5[[#This Row],[Diameter of pipeline(mm)]]*Table5[[#This Row],[Diameter of pipeline(mm)]]*0.001*0.001*24*60*60)</f>
        <v>143.53550385205548</v>
      </c>
      <c r="AU77" s="96">
        <f t="shared" si="1"/>
        <v>4.015425723958442E-5</v>
      </c>
      <c r="AV77" s="94">
        <f>(4.58*Table5[[#This Row],[Velocity of hydrogen{v}(m/sec)]]*Table5[[#This Row],[Diameter of pipeline(mm)]]*0.001)/Table5[[#This Row],[μ]]</f>
        <v>3274335.7882080344</v>
      </c>
      <c r="AW77" s="109">
        <v>9.4000000000000004E-3</v>
      </c>
      <c r="AX77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554.36017760360187</v>
      </c>
      <c r="AY77" s="94">
        <f>70-Table5[[#This Row],[Pressure drop (Δp) (bar)]]</f>
        <v>-484.36017760360187</v>
      </c>
      <c r="AZ77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77" s="64">
        <f>Table5[[#This Row],[Compressor Power]]/(0.95*1000)</f>
        <v>2433.5078548251226</v>
      </c>
      <c r="BB77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77" s="65">
        <v>2</v>
      </c>
      <c r="BD77" s="64">
        <f>Table5[[#This Row],[Rated compressor power for single station]]*Table5[[#This Row],[No of enroute compressor stations]]</f>
        <v>4867.0157096502453</v>
      </c>
      <c r="BE77" s="64">
        <f>Table5[[#This Row],[Rated compressor power for single station]]/16000</f>
        <v>0.15209424092657017</v>
      </c>
      <c r="BF77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77" s="64">
        <f>Table5[[#This Row],[UC for single enroute station]]*2</f>
        <v>23156.642900224531</v>
      </c>
      <c r="BH77" s="64">
        <f>Table5[[#This Row],[TIC for single enroute station]]*Table5[[#This Row],[No of compressors at single enroute station]]</f>
        <v>3521.9920243173005</v>
      </c>
      <c r="BI77" s="98">
        <f>0.4*Table5[[#This Row],[TIC for all enroute stations]]</f>
        <v>1408.7968097269204</v>
      </c>
      <c r="BJ77" s="99">
        <f>Table5[[#This Row],[TIC for all enroute stations]]+Table5[[#This Row],[Indirect costs for all enroute stations]]</f>
        <v>4930.7888340442205</v>
      </c>
      <c r="BK77" s="99">
        <f>(Table5[[#This Row],[Investment cost for all enroute stations]]*0.1668295449)/(0.9*365*Table5[[#This Row],[Daily Hydrogen Demand{mH2}(kg/day)]])</f>
        <v>2.5041134160779264E-4</v>
      </c>
      <c r="BL77" s="99">
        <f>Table5[[#This Row],[No of enroute compressor stations]]*Table5[[#This Row],[No of annual hours{Ann}44]]*Table5[[#This Row],[Hourly salary {S}(€/h)55]]</f>
        <v>5830.3548595735392</v>
      </c>
      <c r="BM77" s="99">
        <f>0.5*Table5[[#This Row],[Direct labor costs{dL}22]]</f>
        <v>2915.1774297867696</v>
      </c>
      <c r="BN77" s="64">
        <f>POWER(Table5[[#This Row],[Daily Hydrogen Demand{mH2}(kg/day)]]/100000,0.25)*288</f>
        <v>161.95430165482054</v>
      </c>
      <c r="BO77" s="64">
        <v>18</v>
      </c>
      <c r="BP77" s="99">
        <f>(0.021*Table5[[#This Row],[Investment cost for all enroute stations]])+(0.04*Table5[[#This Row],[TIC for all enroute stations]])</f>
        <v>244.42624648762066</v>
      </c>
      <c r="BQ77" s="99">
        <f>Table5[[#This Row],[Indirect labor costs{Idl}33]]+Table5[[#This Row],[Direct labor costs{dL}22]]+Table5[[#This Row],[O&amp;Mc6]]</f>
        <v>8989.9585358479289</v>
      </c>
      <c r="BR77" s="99">
        <f>Table5[[#This Row],[Non energy cost for compressor(NE)7]]/(0.9*365*Table5[[#This Row],[Daily Hydrogen Demand{mH2}(kg/day)]])</f>
        <v>2.7366692650983042E-3</v>
      </c>
      <c r="BS77" s="99">
        <f>Table5[[#This Row],[Total rated compressor power of all enroute stations(W)]]*0.306*24*365</f>
        <v>13046327.630660063</v>
      </c>
      <c r="BT77" s="99">
        <f>Table5[[#This Row],[Annual energy cost for compression for all enroute compressors(€/yr)]]/(0.9*365*Table5[[#This Row],[Daily Hydrogen Demand{mH2}(kg/day)]]*1000)</f>
        <v>3.9714848190746006E-3</v>
      </c>
      <c r="BU77" s="99">
        <f>Table5[[#This Row],[LCOHT,E10]]+Table5[[#This Row],[LCOHT,NE8]]+Table5[[#This Row],[LCOHT,invest for all enroute stations]]</f>
        <v>6.958565425780697E-3</v>
      </c>
      <c r="BV77" s="99">
        <f>Table5[[#This Row],[LOCHT,pipe,C2(of all enroute stations)]]+Table5[[#This Row],[LOCHT,pipe,C1(Inlet compressor)]]+Table5[[#This Row],[LCOHT,pipe(€/kg)]]</f>
        <v>6.6826924815467148</v>
      </c>
      <c r="BW77" s="110">
        <f>6.089171975-4.04</f>
        <v>2.0491719750000001</v>
      </c>
    </row>
    <row r="78" spans="1:75">
      <c r="A78">
        <v>100</v>
      </c>
      <c r="B78">
        <v>30000</v>
      </c>
      <c r="C78">
        <f>Table5[[#This Row],[Total Installation Costs{TIC}(€)]]+Table5[[#This Row],[Indirect Costs{Id}]]</f>
        <v>150622500</v>
      </c>
      <c r="D78">
        <f t="shared" si="2"/>
        <v>107587500</v>
      </c>
      <c r="E78">
        <f t="shared" si="12"/>
        <v>43035000</v>
      </c>
      <c r="F78" s="3">
        <v>430.35</v>
      </c>
      <c r="G78">
        <v>250</v>
      </c>
      <c r="H78">
        <f t="shared" si="29"/>
        <v>166252.20120114693</v>
      </c>
      <c r="I78">
        <f t="shared" si="30"/>
        <v>110834.80080076463</v>
      </c>
      <c r="J78">
        <f t="shared" si="31"/>
        <v>55417.400400382314</v>
      </c>
      <c r="K78">
        <f t="shared" si="32"/>
        <v>6157.4889333758128</v>
      </c>
      <c r="L78">
        <v>18</v>
      </c>
      <c r="M78">
        <f t="shared" si="33"/>
        <v>3916185</v>
      </c>
      <c r="N78">
        <f t="shared" si="34"/>
        <v>4082437.2012011469</v>
      </c>
      <c r="O78">
        <f t="shared" si="35"/>
        <v>8.174285816161557E-2</v>
      </c>
      <c r="P78">
        <v>0.9</v>
      </c>
      <c r="Q78">
        <f t="shared" si="10"/>
        <v>1.2493468953270361</v>
      </c>
      <c r="R78">
        <f t="shared" si="0"/>
        <v>0.41425035019798551</v>
      </c>
      <c r="S78">
        <f t="shared" si="36"/>
        <v>1.6635972455250216</v>
      </c>
      <c r="T78" s="64">
        <v>2</v>
      </c>
      <c r="U78" s="64">
        <v>381.35408266399998</v>
      </c>
      <c r="V78" s="64">
        <f>Table5[[#This Row],[Daily Hydrogen Demand{mH2}(kg/day)]]/(0.002*24*60*60)</f>
        <v>173.61111111111111</v>
      </c>
      <c r="W78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78" s="64">
        <f>(Table5[[#This Row],[Compressor Power{P}]]/(0.95*1000))</f>
        <v>389.18113091922294</v>
      </c>
      <c r="Y78" s="64">
        <f>2655.97*POWER(Table5[[#This Row],[Rated compressor power{Pc}]],0.8335)*2</f>
        <v>765851.67401262943</v>
      </c>
      <c r="Z78" s="64">
        <f>0.4*Table5[[#This Row],[Total Installation cost for pipeline compressor {TIC}]]</f>
        <v>306340.66960505181</v>
      </c>
      <c r="AA78" s="64">
        <f>Table5[[#This Row],[Indirect costs associated with installation{Id}]]+Table5[[#This Row],[Total Installation cost for pipeline compressor {TIC}]]</f>
        <v>1072192.3436176812</v>
      </c>
      <c r="AB78" s="64">
        <f>(Table5[[#This Row],[Investment cost for inlet compressor(Invest)]]*0.1668295449)/(0.9*Table5[[#This Row],[Daily Hydrogen Demand{mH2}(kg/day)]]*365)</f>
        <v>1.8150518592694283E-2</v>
      </c>
      <c r="AC78" s="64">
        <f>Table5[[#This Row],[No of annual hours{Ann}4]]*Table5[[#This Row],[Hourly salary {S}(€/h)5]]</f>
        <v>3836.5892584880066</v>
      </c>
      <c r="AD78" s="64">
        <f>0.5*Table5[[#This Row],[Direct labor costs{dL}2]]</f>
        <v>1918.2946292440033</v>
      </c>
      <c r="AE78" s="64">
        <f>POWER(Table5[[#This Row],[Daily Hydrogen Demand{mH2}(kg/day)]]/100000,0.25)*288</f>
        <v>213.14384769377816</v>
      </c>
      <c r="AF78" s="64">
        <v>18</v>
      </c>
      <c r="AG78" s="64">
        <f>(0.021*Table5[[#This Row],[Investment cost for inlet compressor(Invest)]])+(0.04*Table5[[#This Row],[Total Installation cost for pipeline compressor {TIC}]])</f>
        <v>53150.106176476482</v>
      </c>
      <c r="AH78" s="64">
        <f>Table5[[#This Row],[O&amp;Mc]]+Table5[[#This Row],[Indirect labor costs{Idl}3]]+Table5[[#This Row],[Direct labor costs{dL}2]]</f>
        <v>58904.99006420849</v>
      </c>
      <c r="AI78" s="64">
        <f>(Table5[[#This Row],[Non energy cost for compressor(NE)]])/(0.9*Table5[[#This Row],[Daily Hydrogen Demand{mH2}(kg/day)]]*365)</f>
        <v>5.9771679415736674E-3</v>
      </c>
      <c r="AJ78" s="64">
        <f>Table5[[#This Row],[Rated compressor power{Pc}]] * 0.306 * 24 * 365</f>
        <v>1043223.3722968322</v>
      </c>
      <c r="AK78" s="64">
        <f>(Table5[[#This Row],[Annual energy cost for compression(Ec)(€)]])/(0.9*Table5[[#This Row],[Daily Hydrogen Demand{mH2}(kg/day)]]*365*1000)</f>
        <v>1.0585726761002863E-4</v>
      </c>
      <c r="AL78" s="64">
        <f>Table5[[#This Row],[LCOHT,E]]+Table5[[#This Row],[LCOHT,NE]]+Table5[[#This Row],[LCOHT,invest,(for inlet compressor)]]</f>
        <v>2.423354380187798E-2</v>
      </c>
      <c r="AM78" s="64">
        <v>2</v>
      </c>
      <c r="AN78" s="64">
        <v>345.36764970000002</v>
      </c>
      <c r="AO78" s="64">
        <f>Table5[[#This Row],[Daily Hydrogen Demand{mH2}(kg/day)]]/(0.002*24*60*60)</f>
        <v>173.61111111111111</v>
      </c>
      <c r="AP78" s="94">
        <f>Table5[[#This Row],[Daily Hydrogen Demand{mH2}(kg/day)]]/0.0849318059972404</f>
        <v>353224.56231502671</v>
      </c>
      <c r="AQ78" s="94">
        <f>Table5[[#This Row],[Mass flow rate{Qb} (m3/day)]] * (20 / 1.01) *(288.15 / 288)</f>
        <v>6998188.7810145039</v>
      </c>
      <c r="AR78" s="94">
        <f>Table5[[#This Row],[Mass flow rate(Sm3/day)]]*0.0834</f>
        <v>583648.94433660968</v>
      </c>
      <c r="AS78" s="94">
        <f>Table5[[#This Row],[Capacity,pipe2]]/(0.002*24*60*60)</f>
        <v>3377.5980575035287</v>
      </c>
      <c r="AT78" s="94">
        <f>(14.737*1.01*1.0006043620884*288*Table5[[#This Row],[Mass flow rate(Sm3/day)]])/(288.15*70*Table5[[#This Row],[Diameter of pipeline(mm)]]*Table5[[#This Row],[Diameter of pipeline(mm)]]*0.001*0.001*24*60*60)</f>
        <v>1722.4260462246657</v>
      </c>
      <c r="AU78" s="96">
        <f t="shared" si="1"/>
        <v>4.015425723958442E-5</v>
      </c>
      <c r="AV78" s="94">
        <f>(4.58*Table5[[#This Row],[Velocity of hydrogen{v}(m/sec)]]*Table5[[#This Row],[Diameter of pipeline(mm)]]*0.001)/Table5[[#This Row],[μ]]</f>
        <v>19646014.729248207</v>
      </c>
      <c r="AW78" s="109">
        <v>9.4000000000000004E-3</v>
      </c>
      <c r="AX78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159655.73114983732</v>
      </c>
      <c r="AY78" s="94">
        <f>70-Table5[[#This Row],[Pressure drop (Δp) (bar)]]</f>
        <v>-159585.73114983732</v>
      </c>
      <c r="AZ78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78" s="64">
        <f>Table5[[#This Row],[Compressor Power]]/(0.95*1000)</f>
        <v>7300.5235644753693</v>
      </c>
      <c r="BB78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108.561643835616</v>
      </c>
      <c r="BC78" s="65">
        <v>2</v>
      </c>
      <c r="BD78" s="64">
        <f>Table5[[#This Row],[Rated compressor power for single station]]*Table5[[#This Row],[No of enroute compressor stations]]</f>
        <v>14601.047128950739</v>
      </c>
      <c r="BE78" s="64">
        <f>Table5[[#This Row],[Rated compressor power for single station]]/16000</f>
        <v>0.4562827227797106</v>
      </c>
      <c r="BF78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78" s="64">
        <f>Table5[[#This Row],[UC for single enroute station]]*2</f>
        <v>440068.69303083618</v>
      </c>
      <c r="BH78" s="64">
        <f>Table5[[#This Row],[TIC for single enroute station]]*Table5[[#This Row],[No of compressors at single enroute station]]</f>
        <v>200795.74146621858</v>
      </c>
      <c r="BI78" s="21">
        <f>0.4*Table5[[#This Row],[TIC for all enroute stations]]</f>
        <v>80318.296586487442</v>
      </c>
      <c r="BJ78" s="100">
        <f>Table5[[#This Row],[TIC for all enroute stations]]+Table5[[#This Row],[Indirect costs for all enroute stations]]</f>
        <v>281114.03805270605</v>
      </c>
      <c r="BK78" s="100">
        <f>(Table5[[#This Row],[Investment cost for all enroute stations]]*0.1668295449)/(0.9*365*Table5[[#This Row],[Daily Hydrogen Demand{mH2}(kg/day)]])</f>
        <v>4.7588155284966236E-3</v>
      </c>
      <c r="BL78" s="100">
        <f>Table5[[#This Row],[No of enroute compressor stations]]*Table5[[#This Row],[No of annual hours{Ann}44]]*Table5[[#This Row],[Hourly salary {S}(€/h)55]]</f>
        <v>7673.1785169760133</v>
      </c>
      <c r="BM78" s="100">
        <f>0.5*Table5[[#This Row],[Direct labor costs{dL}22]]</f>
        <v>3836.5892584880066</v>
      </c>
      <c r="BN78" s="64">
        <f>POWER(Table5[[#This Row],[Daily Hydrogen Demand{mH2}(kg/day)]]/100000,0.25)*288</f>
        <v>213.14384769377816</v>
      </c>
      <c r="BO78" s="64">
        <v>18</v>
      </c>
      <c r="BP78" s="100">
        <f>(0.021*Table5[[#This Row],[Investment cost for all enroute stations]])+(0.04*Table5[[#This Row],[TIC for all enroute stations]])</f>
        <v>13935.22445775557</v>
      </c>
      <c r="BQ78" s="100">
        <f>Table5[[#This Row],[Indirect labor costs{Idl}33]]+Table5[[#This Row],[Direct labor costs{dL}22]]+Table5[[#This Row],[O&amp;Mc6]]</f>
        <v>25444.992233219593</v>
      </c>
      <c r="BR78" s="100">
        <f>Table5[[#This Row],[Non energy cost for compressor(NE)7]]/(0.9*365*Table5[[#This Row],[Daily Hydrogen Demand{mH2}(kg/day)]])</f>
        <v>2.5819373143804764E-3</v>
      </c>
      <c r="BS78" s="100">
        <f>Table5[[#This Row],[Total rated compressor power of all enroute stations(W)]]*0.306*24*365</f>
        <v>39138982.891980194</v>
      </c>
      <c r="BT78" s="100">
        <f>Table5[[#This Row],[Annual energy cost for compression for all enroute compressors(€/yr)]]/(0.9*365*Table5[[#This Row],[Daily Hydrogen Demand{mH2}(kg/day)]]*1000)</f>
        <v>3.9714848190746015E-3</v>
      </c>
      <c r="BU78" s="100">
        <f>Table5[[#This Row],[LCOHT,E10]]+Table5[[#This Row],[LCOHT,NE8]]+Table5[[#This Row],[LCOHT,invest for all enroute stations]]</f>
        <v>1.1312237661951701E-2</v>
      </c>
      <c r="BV78" s="100">
        <f>Table5[[#This Row],[LOCHT,pipe,C2(of all enroute stations)]]+Table5[[#This Row],[LOCHT,pipe,C1(Inlet compressor)]]+Table5[[#This Row],[LCOHT,pipe(€/kg)]]</f>
        <v>1.6991430269888512</v>
      </c>
      <c r="BW78" s="110">
        <f>0.738853503184714-Table5[[#This Row],[LCOHT,pipeline]]</f>
        <v>-0.96028952380413723</v>
      </c>
    </row>
    <row r="79" spans="1:75">
      <c r="A79">
        <f>150</f>
        <v>150</v>
      </c>
      <c r="B79">
        <v>30000</v>
      </c>
      <c r="C79">
        <f>Table5[[#This Row],[Total Installation Costs{TIC}(€)]]+Table5[[#This Row],[Indirect Costs{Id}]]</f>
        <v>175994000</v>
      </c>
      <c r="D79">
        <f t="shared" si="2"/>
        <v>125710000</v>
      </c>
      <c r="E79">
        <f t="shared" si="12"/>
        <v>50284000</v>
      </c>
      <c r="F79" s="3">
        <v>502.84</v>
      </c>
      <c r="G79">
        <v>250</v>
      </c>
      <c r="H79">
        <f t="shared" si="29"/>
        <v>166252.20120114693</v>
      </c>
      <c r="I79">
        <f t="shared" si="30"/>
        <v>110834.80080076463</v>
      </c>
      <c r="J79">
        <f t="shared" si="31"/>
        <v>55417.400400382314</v>
      </c>
      <c r="K79">
        <f t="shared" si="32"/>
        <v>6157.4889333758128</v>
      </c>
      <c r="L79">
        <v>18</v>
      </c>
      <c r="M79">
        <f t="shared" si="33"/>
        <v>4575844</v>
      </c>
      <c r="N79">
        <f t="shared" si="34"/>
        <v>4742096.2012011465</v>
      </c>
      <c r="O79">
        <f t="shared" si="35"/>
        <v>8.174285816161557E-2</v>
      </c>
      <c r="P79">
        <v>0.9</v>
      </c>
      <c r="Q79">
        <f t="shared" si="10"/>
        <v>1.4597922454891294</v>
      </c>
      <c r="R79">
        <f t="shared" si="0"/>
        <v>0.48118682914268357</v>
      </c>
      <c r="S79">
        <f t="shared" si="36"/>
        <v>1.940979074631813</v>
      </c>
      <c r="T79" s="64">
        <v>2</v>
      </c>
      <c r="U79" s="64">
        <v>381.35408266399998</v>
      </c>
      <c r="V79" s="64">
        <f>Table5[[#This Row],[Daily Hydrogen Demand{mH2}(kg/day)]]/(0.002*24*60*60)</f>
        <v>173.61111111111111</v>
      </c>
      <c r="W79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79" s="64">
        <f>(Table5[[#This Row],[Compressor Power{P}]]/(0.95*1000))</f>
        <v>389.18113091922294</v>
      </c>
      <c r="Y79" s="64">
        <f>2655.97*POWER(Table5[[#This Row],[Rated compressor power{Pc}]],0.8335)*2</f>
        <v>765851.67401262943</v>
      </c>
      <c r="Z79" s="64">
        <f>0.4*Table5[[#This Row],[Total Installation cost for pipeline compressor {TIC}]]</f>
        <v>306340.66960505181</v>
      </c>
      <c r="AA79" s="64">
        <f>Table5[[#This Row],[Indirect costs associated with installation{Id}]]+Table5[[#This Row],[Total Installation cost for pipeline compressor {TIC}]]</f>
        <v>1072192.3436176812</v>
      </c>
      <c r="AB79" s="64">
        <f>(Table5[[#This Row],[Investment cost for inlet compressor(Invest)]]*0.1668295449)/(0.9*Table5[[#This Row],[Daily Hydrogen Demand{mH2}(kg/day)]]*365)</f>
        <v>1.8150518592694283E-2</v>
      </c>
      <c r="AC79" s="64">
        <f>Table5[[#This Row],[No of annual hours{Ann}4]]*Table5[[#This Row],[Hourly salary {S}(€/h)5]]</f>
        <v>3836.5892584880066</v>
      </c>
      <c r="AD79" s="64">
        <f>0.5*Table5[[#This Row],[Direct labor costs{dL}2]]</f>
        <v>1918.2946292440033</v>
      </c>
      <c r="AE79" s="64">
        <f>POWER(Table5[[#This Row],[Daily Hydrogen Demand{mH2}(kg/day)]]/100000,0.25)*288</f>
        <v>213.14384769377816</v>
      </c>
      <c r="AF79" s="64">
        <v>18</v>
      </c>
      <c r="AG79" s="64">
        <f>(0.021*Table5[[#This Row],[Investment cost for inlet compressor(Invest)]])+(0.04*Table5[[#This Row],[Total Installation cost for pipeline compressor {TIC}]])</f>
        <v>53150.106176476482</v>
      </c>
      <c r="AH79" s="64">
        <f>Table5[[#This Row],[O&amp;Mc]]+Table5[[#This Row],[Indirect labor costs{Idl}3]]+Table5[[#This Row],[Direct labor costs{dL}2]]</f>
        <v>58904.99006420849</v>
      </c>
      <c r="AI79" s="64">
        <f>(Table5[[#This Row],[Non energy cost for compressor(NE)]])/(0.9*Table5[[#This Row],[Daily Hydrogen Demand{mH2}(kg/day)]]*365)</f>
        <v>5.9771679415736674E-3</v>
      </c>
      <c r="AJ79" s="64">
        <f>Table5[[#This Row],[Rated compressor power{Pc}]] * 0.306 * 24 * 365</f>
        <v>1043223.3722968322</v>
      </c>
      <c r="AK79" s="64">
        <f>(Table5[[#This Row],[Annual energy cost for compression(Ec)(€)]])/(0.9*Table5[[#This Row],[Daily Hydrogen Demand{mH2}(kg/day)]]*365*1000)</f>
        <v>1.0585726761002863E-4</v>
      </c>
      <c r="AL79" s="64">
        <f>Table5[[#This Row],[LCOHT,E]]+Table5[[#This Row],[LCOHT,NE]]+Table5[[#This Row],[LCOHT,invest,(for inlet compressor)]]</f>
        <v>2.423354380187798E-2</v>
      </c>
      <c r="AM79" s="64">
        <v>2</v>
      </c>
      <c r="AN79" s="64">
        <v>345.36764970000002</v>
      </c>
      <c r="AO79" s="64">
        <f>Table5[[#This Row],[Daily Hydrogen Demand{mH2}(kg/day)]]/(0.002*24*60*60)</f>
        <v>173.61111111111111</v>
      </c>
      <c r="AP79" s="94">
        <f>Table5[[#This Row],[Daily Hydrogen Demand{mH2}(kg/day)]]/0.0849318059972404</f>
        <v>353224.56231502671</v>
      </c>
      <c r="AQ79" s="94">
        <f>Table5[[#This Row],[Mass flow rate{Qb} (m3/day)]] * (20 / 1.01) *(288.15 / 288)</f>
        <v>6998188.7810145039</v>
      </c>
      <c r="AR79" s="94">
        <f>Table5[[#This Row],[Mass flow rate(Sm3/day)]]*0.0834</f>
        <v>583648.94433660968</v>
      </c>
      <c r="AS79" s="94">
        <f>Table5[[#This Row],[Capacity,pipe2]]/(0.002*24*60*60)</f>
        <v>3377.5980575035287</v>
      </c>
      <c r="AT79" s="94">
        <f>(14.737*1.01*1.0006043620884*288*Table5[[#This Row],[Mass flow rate(Sm3/day)]])/(288.15*70*Table5[[#This Row],[Diameter of pipeline(mm)]]*Table5[[#This Row],[Diameter of pipeline(mm)]]*0.001*0.001*24*60*60)</f>
        <v>765.52268721096254</v>
      </c>
      <c r="AU79" s="96">
        <f t="shared" si="1"/>
        <v>4.015425723958442E-5</v>
      </c>
      <c r="AV79" s="94">
        <f>(4.58*Table5[[#This Row],[Velocity of hydrogen{v}(m/sec)]]*Table5[[#This Row],[Diameter of pipeline(mm)]]*0.001)/Table5[[#This Row],[μ]]</f>
        <v>13097343.152832137</v>
      </c>
      <c r="AW79" s="109">
        <v>9.4000000000000004E-3</v>
      </c>
      <c r="AX79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21024.623032077347</v>
      </c>
      <c r="AY79" s="94">
        <f>70-Table5[[#This Row],[Pressure drop (Δp) (bar)]]</f>
        <v>-20954.623032077347</v>
      </c>
      <c r="AZ79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79" s="64">
        <f>Table5[[#This Row],[Compressor Power]]/(0.95*1000)</f>
        <v>7300.5235644753693</v>
      </c>
      <c r="BB79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79" s="65">
        <v>2</v>
      </c>
      <c r="BD79" s="64">
        <f>Table5[[#This Row],[Rated compressor power for single station]]*Table5[[#This Row],[No of enroute compressor stations]]</f>
        <v>14601.047128950739</v>
      </c>
      <c r="BE79" s="64">
        <f>Table5[[#This Row],[Rated compressor power for single station]]/16000</f>
        <v>0.4562827227797106</v>
      </c>
      <c r="BF79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79" s="64">
        <f>Table5[[#This Row],[UC for single enroute station]]*2</f>
        <v>440068.69303083618</v>
      </c>
      <c r="BH79" s="64">
        <f>Table5[[#This Row],[TIC for single enroute station]]*Table5[[#This Row],[No of compressors at single enroute station]]</f>
        <v>200795.74146621858</v>
      </c>
      <c r="BI79" s="98">
        <f>0.4*Table5[[#This Row],[TIC for all enroute stations]]</f>
        <v>80318.296586487442</v>
      </c>
      <c r="BJ79" s="99">
        <f>Table5[[#This Row],[TIC for all enroute stations]]+Table5[[#This Row],[Indirect costs for all enroute stations]]</f>
        <v>281114.03805270605</v>
      </c>
      <c r="BK79" s="99">
        <f>(Table5[[#This Row],[Investment cost for all enroute stations]]*0.1668295449)/(0.9*365*Table5[[#This Row],[Daily Hydrogen Demand{mH2}(kg/day)]])</f>
        <v>4.7588155284966236E-3</v>
      </c>
      <c r="BL79" s="99">
        <f>Table5[[#This Row],[No of enroute compressor stations]]*Table5[[#This Row],[No of annual hours{Ann}44]]*Table5[[#This Row],[Hourly salary {S}(€/h)55]]</f>
        <v>7673.1785169760133</v>
      </c>
      <c r="BM79" s="99">
        <f>0.5*Table5[[#This Row],[Direct labor costs{dL}22]]</f>
        <v>3836.5892584880066</v>
      </c>
      <c r="BN79" s="64">
        <f>POWER(Table5[[#This Row],[Daily Hydrogen Demand{mH2}(kg/day)]]/100000,0.25)*288</f>
        <v>213.14384769377816</v>
      </c>
      <c r="BO79" s="64">
        <v>18</v>
      </c>
      <c r="BP79" s="99">
        <f>(0.021*Table5[[#This Row],[Investment cost for all enroute stations]])+(0.04*Table5[[#This Row],[TIC for all enroute stations]])</f>
        <v>13935.22445775557</v>
      </c>
      <c r="BQ79" s="99">
        <f>Table5[[#This Row],[Indirect labor costs{Idl}33]]+Table5[[#This Row],[Direct labor costs{dL}22]]+Table5[[#This Row],[O&amp;Mc6]]</f>
        <v>25444.992233219593</v>
      </c>
      <c r="BR79" s="99">
        <f>Table5[[#This Row],[Non energy cost for compressor(NE)7]]/(0.9*365*Table5[[#This Row],[Daily Hydrogen Demand{mH2}(kg/day)]])</f>
        <v>2.5819373143804764E-3</v>
      </c>
      <c r="BS79" s="99">
        <f>Table5[[#This Row],[Total rated compressor power of all enroute stations(W)]]*0.306*24*365</f>
        <v>39138982.891980194</v>
      </c>
      <c r="BT79" s="99">
        <f>Table5[[#This Row],[Annual energy cost for compression for all enroute compressors(€/yr)]]/(0.9*365*Table5[[#This Row],[Daily Hydrogen Demand{mH2}(kg/day)]]*1000)</f>
        <v>3.9714848190746015E-3</v>
      </c>
      <c r="BU79" s="99">
        <f>Table5[[#This Row],[LCOHT,E10]]+Table5[[#This Row],[LCOHT,NE8]]+Table5[[#This Row],[LCOHT,invest for all enroute stations]]</f>
        <v>1.1312237661951701E-2</v>
      </c>
      <c r="BV79" s="99">
        <f>Table5[[#This Row],[LOCHT,pipe,C2(of all enroute stations)]]+Table5[[#This Row],[LOCHT,pipe,C1(Inlet compressor)]]+Table5[[#This Row],[LCOHT,pipe(€/kg)]]</f>
        <v>1.9765248560956425</v>
      </c>
      <c r="BW79" s="110">
        <f>0.738853503184714-Table5[[#This Row],[LCOHT,pipeline]]</f>
        <v>-1.2376713529109287</v>
      </c>
    </row>
    <row r="80" spans="1:75">
      <c r="A80">
        <f>200</f>
        <v>200</v>
      </c>
      <c r="B80">
        <v>30000</v>
      </c>
      <c r="C80">
        <f>Table5[[#This Row],[Total Installation Costs{TIC}(€)]]+Table5[[#This Row],[Indirect Costs{Id}]]</f>
        <v>201460000</v>
      </c>
      <c r="D80">
        <f t="shared" si="2"/>
        <v>143900000</v>
      </c>
      <c r="E80">
        <f t="shared" si="12"/>
        <v>57560000</v>
      </c>
      <c r="F80" s="3">
        <v>575.6</v>
      </c>
      <c r="G80">
        <v>250</v>
      </c>
      <c r="H80">
        <f t="shared" si="29"/>
        <v>166252.20120114693</v>
      </c>
      <c r="I80">
        <f t="shared" si="30"/>
        <v>110834.80080076463</v>
      </c>
      <c r="J80">
        <f t="shared" si="31"/>
        <v>55417.400400382314</v>
      </c>
      <c r="K80">
        <f t="shared" si="32"/>
        <v>6157.4889333758128</v>
      </c>
      <c r="L80">
        <v>18</v>
      </c>
      <c r="M80">
        <f t="shared" si="33"/>
        <v>5237960</v>
      </c>
      <c r="N80">
        <f t="shared" si="34"/>
        <v>5404212.2012011465</v>
      </c>
      <c r="O80">
        <f t="shared" si="35"/>
        <v>8.174285816161557E-2</v>
      </c>
      <c r="P80">
        <v>0.9</v>
      </c>
      <c r="Q80">
        <f t="shared" si="10"/>
        <v>1.6710214312774301</v>
      </c>
      <c r="R80">
        <f t="shared" si="0"/>
        <v>0.54837262315587487</v>
      </c>
      <c r="S80">
        <f t="shared" si="36"/>
        <v>2.2193940544333048</v>
      </c>
      <c r="T80" s="64">
        <v>2</v>
      </c>
      <c r="U80" s="64">
        <v>381.35408266399998</v>
      </c>
      <c r="V80" s="64">
        <f>Table5[[#This Row],[Daily Hydrogen Demand{mH2}(kg/day)]]/(0.002*24*60*60)</f>
        <v>173.61111111111111</v>
      </c>
      <c r="W80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80" s="64">
        <f>(Table5[[#This Row],[Compressor Power{P}]]/(0.95*1000))</f>
        <v>389.18113091922294</v>
      </c>
      <c r="Y80" s="64">
        <f>2655.97*POWER(Table5[[#This Row],[Rated compressor power{Pc}]],0.8335)*2</f>
        <v>765851.67401262943</v>
      </c>
      <c r="Z80" s="64">
        <f>0.4*Table5[[#This Row],[Total Installation cost for pipeline compressor {TIC}]]</f>
        <v>306340.66960505181</v>
      </c>
      <c r="AA80" s="64">
        <f>Table5[[#This Row],[Indirect costs associated with installation{Id}]]+Table5[[#This Row],[Total Installation cost for pipeline compressor {TIC}]]</f>
        <v>1072192.3436176812</v>
      </c>
      <c r="AB80" s="64">
        <f>(Table5[[#This Row],[Investment cost for inlet compressor(Invest)]]*0.1668295449)/(0.9*Table5[[#This Row],[Daily Hydrogen Demand{mH2}(kg/day)]]*365)</f>
        <v>1.8150518592694283E-2</v>
      </c>
      <c r="AC80" s="64">
        <f>Table5[[#This Row],[No of annual hours{Ann}4]]*Table5[[#This Row],[Hourly salary {S}(€/h)5]]</f>
        <v>3836.5892584880066</v>
      </c>
      <c r="AD80" s="64">
        <f>0.5*Table5[[#This Row],[Direct labor costs{dL}2]]</f>
        <v>1918.2946292440033</v>
      </c>
      <c r="AE80" s="64">
        <f>POWER(Table5[[#This Row],[Daily Hydrogen Demand{mH2}(kg/day)]]/100000,0.25)*288</f>
        <v>213.14384769377816</v>
      </c>
      <c r="AF80" s="64">
        <v>18</v>
      </c>
      <c r="AG80" s="64">
        <f>(0.021*Table5[[#This Row],[Investment cost for inlet compressor(Invest)]])+(0.04*Table5[[#This Row],[Total Installation cost for pipeline compressor {TIC}]])</f>
        <v>53150.106176476482</v>
      </c>
      <c r="AH80" s="64">
        <f>Table5[[#This Row],[O&amp;Mc]]+Table5[[#This Row],[Indirect labor costs{Idl}3]]+Table5[[#This Row],[Direct labor costs{dL}2]]</f>
        <v>58904.99006420849</v>
      </c>
      <c r="AI80" s="64">
        <f>(Table5[[#This Row],[Non energy cost for compressor(NE)]])/(0.9*Table5[[#This Row],[Daily Hydrogen Demand{mH2}(kg/day)]]*365)</f>
        <v>5.9771679415736674E-3</v>
      </c>
      <c r="AJ80" s="64">
        <f>Table5[[#This Row],[Rated compressor power{Pc}]] * 0.306 * 24 * 365</f>
        <v>1043223.3722968322</v>
      </c>
      <c r="AK80" s="64">
        <f>(Table5[[#This Row],[Annual energy cost for compression(Ec)(€)]])/(0.9*Table5[[#This Row],[Daily Hydrogen Demand{mH2}(kg/day)]]*365*1000)</f>
        <v>1.0585726761002863E-4</v>
      </c>
      <c r="AL80" s="64">
        <f>Table5[[#This Row],[LCOHT,E]]+Table5[[#This Row],[LCOHT,NE]]+Table5[[#This Row],[LCOHT,invest,(for inlet compressor)]]</f>
        <v>2.423354380187798E-2</v>
      </c>
      <c r="AM80" s="64">
        <v>2</v>
      </c>
      <c r="AN80" s="64">
        <v>345.36764970000002</v>
      </c>
      <c r="AO80" s="64">
        <f>Table5[[#This Row],[Daily Hydrogen Demand{mH2}(kg/day)]]/(0.002*24*60*60)</f>
        <v>173.61111111111111</v>
      </c>
      <c r="AP80" s="94">
        <f>Table5[[#This Row],[Daily Hydrogen Demand{mH2}(kg/day)]]/0.0849318059972404</f>
        <v>353224.56231502671</v>
      </c>
      <c r="AQ80" s="94">
        <f>Table5[[#This Row],[Mass flow rate{Qb} (m3/day)]] * (20 / 1.01) *(288.15 / 288)</f>
        <v>6998188.7810145039</v>
      </c>
      <c r="AR80" s="94">
        <f>Table5[[#This Row],[Mass flow rate(Sm3/day)]]*0.0834</f>
        <v>583648.94433660968</v>
      </c>
      <c r="AS80" s="94">
        <f>Table5[[#This Row],[Capacity,pipe2]]/(0.002*24*60*60)</f>
        <v>3377.5980575035287</v>
      </c>
      <c r="AT80" s="94">
        <f>(14.737*1.01*1.0006043620884*288*Table5[[#This Row],[Mass flow rate(Sm3/day)]])/(288.15*70*Table5[[#This Row],[Diameter of pipeline(mm)]]*Table5[[#This Row],[Diameter of pipeline(mm)]]*0.001*0.001*24*60*60)</f>
        <v>430.60651155616642</v>
      </c>
      <c r="AU80" s="96">
        <f t="shared" si="1"/>
        <v>4.015425723958442E-5</v>
      </c>
      <c r="AV80" s="94">
        <f>(4.58*Table5[[#This Row],[Velocity of hydrogen{v}(m/sec)]]*Table5[[#This Row],[Diameter of pipeline(mm)]]*0.001)/Table5[[#This Row],[μ]]</f>
        <v>9823007.3646241035</v>
      </c>
      <c r="AW80" s="109">
        <v>9.4000000000000004E-3</v>
      </c>
      <c r="AX80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4989.2415984324161</v>
      </c>
      <c r="AY80" s="94">
        <f>70-Table5[[#This Row],[Pressure drop (Δp) (bar)]]</f>
        <v>-4919.2415984324161</v>
      </c>
      <c r="AZ80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80" s="64">
        <f>Table5[[#This Row],[Compressor Power]]/(0.95*1000)</f>
        <v>7300.5235644753693</v>
      </c>
      <c r="BB80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80" s="65">
        <v>2</v>
      </c>
      <c r="BD80" s="64">
        <f>Table5[[#This Row],[Rated compressor power for single station]]*Table5[[#This Row],[No of enroute compressor stations]]</f>
        <v>14601.047128950739</v>
      </c>
      <c r="BE80" s="64">
        <f>Table5[[#This Row],[Rated compressor power for single station]]/16000</f>
        <v>0.4562827227797106</v>
      </c>
      <c r="BF80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80" s="64">
        <f>Table5[[#This Row],[UC for single enroute station]]*2</f>
        <v>440068.69303083618</v>
      </c>
      <c r="BH80" s="64">
        <f>Table5[[#This Row],[TIC for single enroute station]]*Table5[[#This Row],[No of compressors at single enroute station]]</f>
        <v>200795.74146621858</v>
      </c>
      <c r="BI80" s="21">
        <f>0.4*Table5[[#This Row],[TIC for all enroute stations]]</f>
        <v>80318.296586487442</v>
      </c>
      <c r="BJ80" s="100">
        <f>Table5[[#This Row],[TIC for all enroute stations]]+Table5[[#This Row],[Indirect costs for all enroute stations]]</f>
        <v>281114.03805270605</v>
      </c>
      <c r="BK80" s="100">
        <f>(Table5[[#This Row],[Investment cost for all enroute stations]]*0.1668295449)/(0.9*365*Table5[[#This Row],[Daily Hydrogen Demand{mH2}(kg/day)]])</f>
        <v>4.7588155284966236E-3</v>
      </c>
      <c r="BL80" s="100">
        <f>Table5[[#This Row],[No of enroute compressor stations]]*Table5[[#This Row],[No of annual hours{Ann}44]]*Table5[[#This Row],[Hourly salary {S}(€/h)55]]</f>
        <v>7673.1785169760133</v>
      </c>
      <c r="BM80" s="100">
        <f>0.5*Table5[[#This Row],[Direct labor costs{dL}22]]</f>
        <v>3836.5892584880066</v>
      </c>
      <c r="BN80" s="64">
        <f>POWER(Table5[[#This Row],[Daily Hydrogen Demand{mH2}(kg/day)]]/100000,0.25)*288</f>
        <v>213.14384769377816</v>
      </c>
      <c r="BO80" s="64">
        <v>18</v>
      </c>
      <c r="BP80" s="100">
        <f>(0.021*Table5[[#This Row],[Investment cost for all enroute stations]])+(0.04*Table5[[#This Row],[TIC for all enroute stations]])</f>
        <v>13935.22445775557</v>
      </c>
      <c r="BQ80" s="100">
        <f>Table5[[#This Row],[Indirect labor costs{Idl}33]]+Table5[[#This Row],[Direct labor costs{dL}22]]+Table5[[#This Row],[O&amp;Mc6]]</f>
        <v>25444.992233219593</v>
      </c>
      <c r="BR80" s="100">
        <f>Table5[[#This Row],[Non energy cost for compressor(NE)7]]/(0.9*365*Table5[[#This Row],[Daily Hydrogen Demand{mH2}(kg/day)]])</f>
        <v>2.5819373143804764E-3</v>
      </c>
      <c r="BS80" s="100">
        <f>Table5[[#This Row],[Total rated compressor power of all enroute stations(W)]]*0.306*24*365</f>
        <v>39138982.891980194</v>
      </c>
      <c r="BT80" s="100">
        <f>Table5[[#This Row],[Annual energy cost for compression for all enroute compressors(€/yr)]]/(0.9*365*Table5[[#This Row],[Daily Hydrogen Demand{mH2}(kg/day)]]*1000)</f>
        <v>3.9714848190746015E-3</v>
      </c>
      <c r="BU80" s="100">
        <f>Table5[[#This Row],[LCOHT,E10]]+Table5[[#This Row],[LCOHT,NE8]]+Table5[[#This Row],[LCOHT,invest for all enroute stations]]</f>
        <v>1.1312237661951701E-2</v>
      </c>
      <c r="BV80" s="100">
        <f>Table5[[#This Row],[LOCHT,pipe,C2(of all enroute stations)]]+Table5[[#This Row],[LOCHT,pipe,C1(Inlet compressor)]]+Table5[[#This Row],[LCOHT,pipe(€/kg)]]</f>
        <v>2.2549398358971344</v>
      </c>
      <c r="BW80" s="110">
        <f>0.738853503184714-Table5[[#This Row],[LCOHT,pipeline]]</f>
        <v>-1.5160863327124203</v>
      </c>
    </row>
    <row r="81" spans="1:82">
      <c r="A81">
        <v>150</v>
      </c>
      <c r="B81">
        <v>100000</v>
      </c>
      <c r="C81">
        <f>Table5[[#This Row],[Total Installation Costs{TIC}(€)]]+Table5[[#This Row],[Indirect Costs{Id}]]</f>
        <v>175994000</v>
      </c>
      <c r="D81">
        <f t="shared" si="2"/>
        <v>125710000</v>
      </c>
      <c r="E81">
        <f t="shared" si="12"/>
        <v>50284000</v>
      </c>
      <c r="F81" s="3">
        <v>502.84</v>
      </c>
      <c r="G81">
        <v>250</v>
      </c>
      <c r="H81">
        <f t="shared" si="29"/>
        <v>224640</v>
      </c>
      <c r="I81">
        <f t="shared" si="30"/>
        <v>149760</v>
      </c>
      <c r="J81">
        <f t="shared" si="31"/>
        <v>74880</v>
      </c>
      <c r="K81">
        <f t="shared" si="32"/>
        <v>8320</v>
      </c>
      <c r="L81">
        <v>18</v>
      </c>
      <c r="M81">
        <f t="shared" si="33"/>
        <v>4575844</v>
      </c>
      <c r="N81">
        <f t="shared" si="34"/>
        <v>4800484</v>
      </c>
      <c r="O81">
        <f t="shared" si="35"/>
        <v>8.174285816161557E-2</v>
      </c>
      <c r="P81">
        <v>0.9</v>
      </c>
      <c r="Q81">
        <f t="shared" si="10"/>
        <v>0.43793767364673886</v>
      </c>
      <c r="R81">
        <f t="shared" si="0"/>
        <v>0.14613345509893455</v>
      </c>
      <c r="S81">
        <f t="shared" si="36"/>
        <v>0.58407112874567346</v>
      </c>
      <c r="T81" s="64">
        <v>2</v>
      </c>
      <c r="U81" s="64">
        <v>381.35408266399998</v>
      </c>
      <c r="V81" s="64">
        <f>Table5[[#This Row],[Daily Hydrogen Demand{mH2}(kg/day)]]/(0.002*24*60*60)</f>
        <v>578.70370370370381</v>
      </c>
      <c r="W81" s="64">
        <f>Table5[[#This Row],[No of compressor stages{N}]]
* Table5[[#This Row],[Molar flow{qM}(moles/sec)]]
* 8.314
* 305.15*1.024
* (1.41 / (1.41 - 1))
* (POWER(3.5, 0.14539007 / Table5[[#This Row],[No of compressor stages{N}]]) - 1)
/ 0.8</f>
        <v>1232406.9145775391</v>
      </c>
      <c r="X81" s="64">
        <f>(Table5[[#This Row],[Compressor Power{P}]]/(0.95*1000))</f>
        <v>1297.2704363974096</v>
      </c>
      <c r="Y81" s="64">
        <f>2655.97*POWER(Table5[[#This Row],[Rated compressor power{Pc}]],0.8335)*2</f>
        <v>2089123.4317526598</v>
      </c>
      <c r="Z81" s="64">
        <f>0.4*Table5[[#This Row],[Total Installation cost for pipeline compressor {TIC}]]</f>
        <v>835649.37270106399</v>
      </c>
      <c r="AA81" s="64">
        <f>Table5[[#This Row],[Indirect costs associated with installation{Id}]]+Table5[[#This Row],[Total Installation cost for pipeline compressor {TIC}]]</f>
        <v>2924772.8044537241</v>
      </c>
      <c r="AB81" s="64">
        <f>(Table5[[#This Row],[Investment cost for inlet compressor(Invest)]]*0.1668295449)/(0.9*Table5[[#This Row],[Daily Hydrogen Demand{mH2}(kg/day)]]*365)</f>
        <v>1.4853531686542205E-2</v>
      </c>
      <c r="AC81" s="64">
        <f>Table5[[#This Row],[No of annual hours{Ann}4]]*Table5[[#This Row],[Hourly salary {S}(€/h)5]]</f>
        <v>5184</v>
      </c>
      <c r="AD81" s="64">
        <f>0.5*Table5[[#This Row],[Direct labor costs{dL}2]]</f>
        <v>2592</v>
      </c>
      <c r="AE81" s="64">
        <f>POWER(Table5[[#This Row],[Daily Hydrogen Demand{mH2}(kg/day)]]/100000,0.25)*288</f>
        <v>288</v>
      </c>
      <c r="AF81" s="64">
        <v>18</v>
      </c>
      <c r="AG81" s="64">
        <f>(0.021*Table5[[#This Row],[Investment cost for inlet compressor(Invest)]])+(0.04*Table5[[#This Row],[Total Installation cost for pipeline compressor {TIC}]])</f>
        <v>144985.16616363463</v>
      </c>
      <c r="AH81" s="64">
        <f>Table5[[#This Row],[O&amp;Mc]]+Table5[[#This Row],[Indirect labor costs{Idl}3]]+Table5[[#This Row],[Direct labor costs{dL}2]]</f>
        <v>152761.16616363463</v>
      </c>
      <c r="AI81" s="64">
        <f>(Table5[[#This Row],[Non energy cost for compressor(NE)]])/(0.9*Table5[[#This Row],[Daily Hydrogen Demand{mH2}(kg/day)]]*365)</f>
        <v>4.6502638101563049E-3</v>
      </c>
      <c r="AJ81" s="64">
        <f>Table5[[#This Row],[Rated compressor power{Pc}]] * 0.306 * 24 * 365</f>
        <v>3477411.2409894406</v>
      </c>
      <c r="AK81" s="64">
        <f>(Table5[[#This Row],[Annual energy cost for compression(Ec)(€)]])/(0.9*Table5[[#This Row],[Daily Hydrogen Demand{mH2}(kg/day)]]*365*1000)</f>
        <v>1.0585726761002863E-4</v>
      </c>
      <c r="AL81" s="64">
        <f>Table5[[#This Row],[LCOHT,E]]+Table5[[#This Row],[LCOHT,NE]]+Table5[[#This Row],[LCOHT,invest,(for inlet compressor)]]</f>
        <v>1.9609652764308538E-2</v>
      </c>
      <c r="AM81" s="64">
        <v>2</v>
      </c>
      <c r="AN81" s="64">
        <v>345.36764970000002</v>
      </c>
      <c r="AO81" s="64">
        <f>Table5[[#This Row],[Daily Hydrogen Demand{mH2}(kg/day)]]/(0.002*24*60*60)</f>
        <v>578.70370370370381</v>
      </c>
      <c r="AP81" s="94">
        <f>Table5[[#This Row],[Daily Hydrogen Demand{mH2}(kg/day)]]/0.0849318059972404</f>
        <v>1177415.2077167556</v>
      </c>
      <c r="AQ81" s="94">
        <f>Table5[[#This Row],[Mass flow rate{Qb} (m3/day)]] * (20 / 1.01) *(288.15 / 288)</f>
        <v>23327295.936715011</v>
      </c>
      <c r="AR81" s="94">
        <f>Table5[[#This Row],[Mass flow rate(Sm3/day)]]*0.0834</f>
        <v>1945496.481122032</v>
      </c>
      <c r="AS81" s="94">
        <f>Table5[[#This Row],[Capacity,pipe2]]/(0.002*24*60*60)</f>
        <v>11258.660191678428</v>
      </c>
      <c r="AT81" s="94">
        <f>(14.737*1.01*1.0006043620884*288*Table5[[#This Row],[Mass flow rate(Sm3/day)]])/(288.15*70*Table5[[#This Row],[Diameter of pipeline(mm)]]*Table5[[#This Row],[Diameter of pipeline(mm)]]*0.001*0.001*24*60*60)</f>
        <v>2551.7422907032083</v>
      </c>
      <c r="AU81" s="96">
        <f t="shared" si="1"/>
        <v>4.015425723958442E-5</v>
      </c>
      <c r="AV81" s="94">
        <f>(4.58*Table5[[#This Row],[Velocity of hydrogen{v}(m/sec)]]*Table5[[#This Row],[Diameter of pipeline(mm)]]*0.001)/Table5[[#This Row],[μ]]</f>
        <v>43657810.509440452</v>
      </c>
      <c r="AW81" s="109">
        <v>9.4000000000000004E-3</v>
      </c>
      <c r="AX81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233606.92257863708</v>
      </c>
      <c r="AY81" s="94">
        <f>70-Table5[[#This Row],[Pressure drop (Δp) (bar)]]</f>
        <v>-233536.92257863708</v>
      </c>
      <c r="AZ81" s="65">
        <f xml:space="preserve"> (Table5[[#This Row],[N]] *Table5[[#This Row],[qM**]]* 8.314 * 293.15 * (1.02776828999228/0.8) * (1.41 / (1.41 - 1)) * (POWER(3.5, 0.14539007 / Table5[[#This Row],[N]]) - 1))</f>
        <v>23118324.620838672</v>
      </c>
      <c r="BA81" s="64">
        <f>Table5[[#This Row],[Compressor Power]]/(0.95*1000)</f>
        <v>24335.078548251233</v>
      </c>
      <c r="BB81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81" s="65">
        <v>2</v>
      </c>
      <c r="BD81" s="64">
        <f>Table5[[#This Row],[Rated compressor power for single station]]*Table5[[#This Row],[No of enroute compressor stations]]</f>
        <v>48670.157096502466</v>
      </c>
      <c r="BE81" s="64">
        <f>Table5[[#This Row],[Rated compressor power for single station]]/16000</f>
        <v>1.520942409265702</v>
      </c>
      <c r="BF81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14169709.090325901</v>
      </c>
      <c r="BG81" s="64">
        <f>Table5[[#This Row],[UC for single enroute station]]*2</f>
        <v>28339418.180651803</v>
      </c>
      <c r="BH81" s="64">
        <f>Table5[[#This Row],[TIC for single enroute station]]*Table5[[#This Row],[No of compressors at single enroute station]]</f>
        <v>43102622.964868791</v>
      </c>
      <c r="BI81" s="98">
        <f>0.4*Table5[[#This Row],[TIC for all enroute stations]]</f>
        <v>17241049.185947519</v>
      </c>
      <c r="BJ81" s="99">
        <f>Table5[[#This Row],[TIC for all enroute stations]]+Table5[[#This Row],[Indirect costs for all enroute stations]]</f>
        <v>60343672.150816306</v>
      </c>
      <c r="BK81" s="99">
        <f>(Table5[[#This Row],[Investment cost for all enroute stations]]*0.1668295449)/(0.9*365*Table5[[#This Row],[Daily Hydrogen Demand{mH2}(kg/day)]])</f>
        <v>0.30645684512984744</v>
      </c>
      <c r="BL81" s="99">
        <f>Table5[[#This Row],[No of enroute compressor stations]]*Table5[[#This Row],[No of annual hours{Ann}44]]*Table5[[#This Row],[Hourly salary {S}(€/h)55]]</f>
        <v>10368</v>
      </c>
      <c r="BM81" s="99">
        <f>0.5*Table5[[#This Row],[Direct labor costs{dL}22]]</f>
        <v>5184</v>
      </c>
      <c r="BN81" s="64">
        <f>POWER(Table5[[#This Row],[Daily Hydrogen Demand{mH2}(kg/day)]]/100000,0.25)*288</f>
        <v>288</v>
      </c>
      <c r="BO81" s="64">
        <v>18</v>
      </c>
      <c r="BP81" s="99">
        <f>(0.021*Table5[[#This Row],[Investment cost for all enroute stations]])+(0.04*Table5[[#This Row],[TIC for all enroute stations]])</f>
        <v>2991322.0337618943</v>
      </c>
      <c r="BQ81" s="99">
        <f>Table5[[#This Row],[Indirect labor costs{Idl}33]]+Table5[[#This Row],[Direct labor costs{dL}22]]+Table5[[#This Row],[O&amp;Mc6]]</f>
        <v>3006874.0337618943</v>
      </c>
      <c r="BR81" s="99">
        <f>Table5[[#This Row],[Non energy cost for compressor(NE)7]]/(0.9*365*Table5[[#This Row],[Daily Hydrogen Demand{mH2}(kg/day)]])</f>
        <v>9.1533456126693891E-2</v>
      </c>
      <c r="BS81" s="99">
        <f>Table5[[#This Row],[Total rated compressor power of all enroute stations(W)]]*0.306*24*365</f>
        <v>130463276.30660065</v>
      </c>
      <c r="BT81" s="99">
        <f>Table5[[#This Row],[Annual energy cost for compression for all enroute compressors(€/yr)]]/(0.9*365*Table5[[#This Row],[Daily Hydrogen Demand{mH2}(kg/day)]]*1000)</f>
        <v>3.9714848190746015E-3</v>
      </c>
      <c r="BU81" s="99">
        <f>Table5[[#This Row],[LCOHT,E10]]+Table5[[#This Row],[LCOHT,NE8]]+Table5[[#This Row],[LCOHT,invest for all enroute stations]]</f>
        <v>0.40196178607561595</v>
      </c>
      <c r="BV81" s="99">
        <f>Table5[[#This Row],[LOCHT,pipe,C2(of all enroute stations)]]+Table5[[#This Row],[LOCHT,pipe,C1(Inlet compressor)]]+Table5[[#This Row],[LCOHT,pipe(€/kg)]]</f>
        <v>1.005642567585598</v>
      </c>
      <c r="BW81" s="110">
        <f>0.738853503184714-Table5[[#This Row],[LCOHT,pipeline]]</f>
        <v>-0.26678906440088401</v>
      </c>
    </row>
    <row r="82" spans="1:82">
      <c r="A82">
        <v>200</v>
      </c>
      <c r="B82">
        <v>100000</v>
      </c>
      <c r="C82">
        <f>Table5[[#This Row],[Total Installation Costs{TIC}(€)]]+Table5[[#This Row],[Indirect Costs{Id}]]</f>
        <v>201460000</v>
      </c>
      <c r="D82">
        <f t="shared" si="2"/>
        <v>143900000</v>
      </c>
      <c r="E82">
        <f t="shared" si="12"/>
        <v>57560000</v>
      </c>
      <c r="F82" s="3">
        <v>575.6</v>
      </c>
      <c r="G82">
        <v>250</v>
      </c>
      <c r="H82">
        <f t="shared" si="29"/>
        <v>224640</v>
      </c>
      <c r="I82">
        <f t="shared" si="30"/>
        <v>149760</v>
      </c>
      <c r="J82">
        <f t="shared" si="31"/>
        <v>74880</v>
      </c>
      <c r="K82">
        <f t="shared" si="32"/>
        <v>8320</v>
      </c>
      <c r="L82">
        <v>18</v>
      </c>
      <c r="M82">
        <f t="shared" si="33"/>
        <v>5237960</v>
      </c>
      <c r="N82">
        <f t="shared" si="34"/>
        <v>5462600</v>
      </c>
      <c r="O82">
        <f t="shared" si="35"/>
        <v>8.174285816161557E-2</v>
      </c>
      <c r="P82">
        <v>0.9</v>
      </c>
      <c r="Q82">
        <f t="shared" si="10"/>
        <v>0.501306429383229</v>
      </c>
      <c r="R82">
        <f t="shared" si="0"/>
        <v>0.16628919330289194</v>
      </c>
      <c r="S82">
        <f t="shared" si="36"/>
        <v>0.66759562268612094</v>
      </c>
      <c r="T82" s="64">
        <v>2</v>
      </c>
      <c r="U82" s="64">
        <v>381.35408266399998</v>
      </c>
      <c r="V82" s="64">
        <f>Table5[[#This Row],[Daily Hydrogen Demand{mH2}(kg/day)]]/(0.002*24*60*60)</f>
        <v>578.70370370370381</v>
      </c>
      <c r="W82" s="64">
        <f>Table5[[#This Row],[No of compressor stages{N}]]
* Table5[[#This Row],[Molar flow{qM}(moles/sec)]]
* 8.314
* 305.15*1.024
* (1.41 / (1.41 - 1))
* (POWER(3.5, 0.14539007 / Table5[[#This Row],[No of compressor stages{N}]]) - 1)
/ 0.8</f>
        <v>1232406.9145775391</v>
      </c>
      <c r="X82" s="64">
        <f>(Table5[[#This Row],[Compressor Power{P}]]/(0.95*1000))</f>
        <v>1297.2704363974096</v>
      </c>
      <c r="Y82" s="64">
        <f>2655.97*POWER(Table5[[#This Row],[Rated compressor power{Pc}]],0.8335)*2</f>
        <v>2089123.4317526598</v>
      </c>
      <c r="Z82" s="64">
        <f>0.4*Table5[[#This Row],[Total Installation cost for pipeline compressor {TIC}]]</f>
        <v>835649.37270106399</v>
      </c>
      <c r="AA82" s="64">
        <f>Table5[[#This Row],[Indirect costs associated with installation{Id}]]+Table5[[#This Row],[Total Installation cost for pipeline compressor {TIC}]]</f>
        <v>2924772.8044537241</v>
      </c>
      <c r="AB82" s="64">
        <f>(Table5[[#This Row],[Investment cost for inlet compressor(Invest)]]*0.1668295449)/(0.9*Table5[[#This Row],[Daily Hydrogen Demand{mH2}(kg/day)]]*365)</f>
        <v>1.4853531686542205E-2</v>
      </c>
      <c r="AC82" s="64">
        <f>Table5[[#This Row],[No of annual hours{Ann}4]]*Table5[[#This Row],[Hourly salary {S}(€/h)5]]</f>
        <v>5184</v>
      </c>
      <c r="AD82" s="64">
        <f>0.5*Table5[[#This Row],[Direct labor costs{dL}2]]</f>
        <v>2592</v>
      </c>
      <c r="AE82" s="64">
        <f>POWER(Table5[[#This Row],[Daily Hydrogen Demand{mH2}(kg/day)]]/100000,0.25)*288</f>
        <v>288</v>
      </c>
      <c r="AF82" s="64">
        <v>18</v>
      </c>
      <c r="AG82" s="64">
        <f>(0.021*Table5[[#This Row],[Investment cost for inlet compressor(Invest)]])+(0.04*Table5[[#This Row],[Total Installation cost for pipeline compressor {TIC}]])</f>
        <v>144985.16616363463</v>
      </c>
      <c r="AH82" s="64">
        <f>Table5[[#This Row],[O&amp;Mc]]+Table5[[#This Row],[Indirect labor costs{Idl}3]]+Table5[[#This Row],[Direct labor costs{dL}2]]</f>
        <v>152761.16616363463</v>
      </c>
      <c r="AI82" s="64">
        <f>(Table5[[#This Row],[Non energy cost for compressor(NE)]])/(0.9*Table5[[#This Row],[Daily Hydrogen Demand{mH2}(kg/day)]]*365)</f>
        <v>4.6502638101563049E-3</v>
      </c>
      <c r="AJ82" s="64">
        <f>Table5[[#This Row],[Rated compressor power{Pc}]] * 0.306 * 24 * 365</f>
        <v>3477411.2409894406</v>
      </c>
      <c r="AK82" s="64">
        <f>(Table5[[#This Row],[Annual energy cost for compression(Ec)(€)]])/(0.9*Table5[[#This Row],[Daily Hydrogen Demand{mH2}(kg/day)]]*365*1000)</f>
        <v>1.0585726761002863E-4</v>
      </c>
      <c r="AL82" s="64">
        <f>Table5[[#This Row],[LCOHT,E]]+Table5[[#This Row],[LCOHT,NE]]+Table5[[#This Row],[LCOHT,invest,(for inlet compressor)]]</f>
        <v>1.9609652764308538E-2</v>
      </c>
      <c r="AM82" s="64">
        <v>2</v>
      </c>
      <c r="AN82" s="64">
        <v>345.36764970000002</v>
      </c>
      <c r="AO82" s="64">
        <f>Table5[[#This Row],[Daily Hydrogen Demand{mH2}(kg/day)]]/(0.002*24*60*60)</f>
        <v>578.70370370370381</v>
      </c>
      <c r="AP82" s="94">
        <f>Table5[[#This Row],[Daily Hydrogen Demand{mH2}(kg/day)]]/0.0849318059972404</f>
        <v>1177415.2077167556</v>
      </c>
      <c r="AQ82" s="94">
        <f>Table5[[#This Row],[Mass flow rate{Qb} (m3/day)]] * (20 / 1.01) *(288.15 / 288)</f>
        <v>23327295.936715011</v>
      </c>
      <c r="AR82" s="94">
        <f>Table5[[#This Row],[Mass flow rate(Sm3/day)]]*0.0834</f>
        <v>1945496.481122032</v>
      </c>
      <c r="AS82" s="94">
        <f>Table5[[#This Row],[Capacity,pipe2]]/(0.002*24*60*60)</f>
        <v>11258.660191678428</v>
      </c>
      <c r="AT82" s="94">
        <f>(14.737*1.01*1.0006043620884*288*Table5[[#This Row],[Mass flow rate(Sm3/day)]])/(288.15*70*Table5[[#This Row],[Diameter of pipeline(mm)]]*Table5[[#This Row],[Diameter of pipeline(mm)]]*0.001*0.001*24*60*60)</f>
        <v>1435.3550385205547</v>
      </c>
      <c r="AU82" s="96">
        <f t="shared" si="1"/>
        <v>4.015425723958442E-5</v>
      </c>
      <c r="AV82" s="94">
        <f>(4.58*Table5[[#This Row],[Velocity of hydrogen{v}(m/sec)]]*Table5[[#This Row],[Diameter of pipeline(mm)]]*0.001)/Table5[[#This Row],[μ]]</f>
        <v>32743357.882080343</v>
      </c>
      <c r="AW82" s="109">
        <v>9.4000000000000004E-3</v>
      </c>
      <c r="AX82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55436.01776036017</v>
      </c>
      <c r="AY82" s="94">
        <f>70-Table5[[#This Row],[Pressure drop (Δp) (bar)]]</f>
        <v>-55366.01776036017</v>
      </c>
      <c r="AZ82" s="65">
        <f xml:space="preserve"> (Table5[[#This Row],[N]] *Table5[[#This Row],[qM**]]* 8.314 * 293.15 * (1.02776828999228/0.8) * (1.41 / (1.41 - 1)) * (POWER(3.5, 0.14539007 / Table5[[#This Row],[N]]) - 1))</f>
        <v>23118324.620838672</v>
      </c>
      <c r="BA82" s="64">
        <f>Table5[[#This Row],[Compressor Power]]/(0.95*1000)</f>
        <v>24335.078548251233</v>
      </c>
      <c r="BB82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355.22388059701399</v>
      </c>
      <c r="BC82" s="65">
        <v>2</v>
      </c>
      <c r="BD82" s="64">
        <f>Table5[[#This Row],[Rated compressor power for single station]]*Table5[[#This Row],[No of enroute compressor stations]]</f>
        <v>48670.157096502466</v>
      </c>
      <c r="BE82" s="64">
        <f>Table5[[#This Row],[Rated compressor power for single station]]/16000</f>
        <v>1.520942409265702</v>
      </c>
      <c r="BF82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14169709.090325901</v>
      </c>
      <c r="BG82" s="64">
        <f>Table5[[#This Row],[UC for single enroute station]]*2</f>
        <v>28339418.180651803</v>
      </c>
      <c r="BH82" s="64">
        <f>Table5[[#This Row],[TIC for single enroute station]]*Table5[[#This Row],[No of compressors at single enroute station]]</f>
        <v>43102622.964868791</v>
      </c>
      <c r="BI82" s="21">
        <f>0.4*Table5[[#This Row],[TIC for all enroute stations]]</f>
        <v>17241049.185947519</v>
      </c>
      <c r="BJ82" s="100">
        <f>Table5[[#This Row],[TIC for all enroute stations]]+Table5[[#This Row],[Indirect costs for all enroute stations]]</f>
        <v>60343672.150816306</v>
      </c>
      <c r="BK82" s="100">
        <f>(Table5[[#This Row],[Investment cost for all enroute stations]]*0.1668295449)/(0.9*365*Table5[[#This Row],[Daily Hydrogen Demand{mH2}(kg/day)]])</f>
        <v>0.30645684512984744</v>
      </c>
      <c r="BL82" s="100">
        <f>Table5[[#This Row],[No of enroute compressor stations]]*Table5[[#This Row],[No of annual hours{Ann}44]]*Table5[[#This Row],[Hourly salary {S}(€/h)55]]</f>
        <v>10368</v>
      </c>
      <c r="BM82" s="100">
        <f>0.5*Table5[[#This Row],[Direct labor costs{dL}22]]</f>
        <v>5184</v>
      </c>
      <c r="BN82" s="64">
        <f>POWER(Table5[[#This Row],[Daily Hydrogen Demand{mH2}(kg/day)]]/100000,0.25)*288</f>
        <v>288</v>
      </c>
      <c r="BO82" s="64">
        <v>18</v>
      </c>
      <c r="BP82" s="100">
        <f>(0.021*Table5[[#This Row],[Investment cost for all enroute stations]])+(0.04*Table5[[#This Row],[TIC for all enroute stations]])</f>
        <v>2991322.0337618943</v>
      </c>
      <c r="BQ82" s="100">
        <f>Table5[[#This Row],[Indirect labor costs{Idl}33]]+Table5[[#This Row],[Direct labor costs{dL}22]]+Table5[[#This Row],[O&amp;Mc6]]</f>
        <v>3006874.0337618943</v>
      </c>
      <c r="BR82" s="100">
        <f>Table5[[#This Row],[Non energy cost for compressor(NE)7]]/(0.9*365*Table5[[#This Row],[Daily Hydrogen Demand{mH2}(kg/day)]])</f>
        <v>9.1533456126693891E-2</v>
      </c>
      <c r="BS82" s="100">
        <f>Table5[[#This Row],[Total rated compressor power of all enroute stations(W)]]*0.306*24*365</f>
        <v>130463276.30660065</v>
      </c>
      <c r="BT82" s="100">
        <f>Table5[[#This Row],[Annual energy cost for compression for all enroute compressors(€/yr)]]/(0.9*365*Table5[[#This Row],[Daily Hydrogen Demand{mH2}(kg/day)]]*1000)</f>
        <v>3.9714848190746015E-3</v>
      </c>
      <c r="BU82" s="100">
        <f>Table5[[#This Row],[LCOHT,E10]]+Table5[[#This Row],[LCOHT,NE8]]+Table5[[#This Row],[LCOHT,invest for all enroute stations]]</f>
        <v>0.40196178607561595</v>
      </c>
      <c r="BV82" s="100">
        <f>Table5[[#This Row],[LOCHT,pipe,C2(of all enroute stations)]]+Table5[[#This Row],[LOCHT,pipe,C1(Inlet compressor)]]+Table5[[#This Row],[LCOHT,pipe(€/kg)]]</f>
        <v>1.0891670615260454</v>
      </c>
      <c r="BW82" s="110">
        <f>0.738853503184714-Table5[[#This Row],[LCOHT,pipeline]]</f>
        <v>-0.35031355834133138</v>
      </c>
    </row>
    <row r="83" spans="1:82">
      <c r="A83">
        <f>100</f>
        <v>100</v>
      </c>
      <c r="B83">
        <v>10000</v>
      </c>
      <c r="C83">
        <f>Table5[[#This Row],[Total Installation Costs{TIC}(€)]]+Table5[[#This Row],[Indirect Costs{Id}]]</f>
        <v>301245000</v>
      </c>
      <c r="D83">
        <f t="shared" si="2"/>
        <v>215175000</v>
      </c>
      <c r="E83">
        <f t="shared" si="12"/>
        <v>86070000</v>
      </c>
      <c r="F83" s="3">
        <v>430.35</v>
      </c>
      <c r="G83">
        <v>500</v>
      </c>
      <c r="H83">
        <f>I83+J83</f>
        <v>126324.35529076001</v>
      </c>
      <c r="I83">
        <f>K83*L83</f>
        <v>84216.236860506673</v>
      </c>
      <c r="J83">
        <f>0.5*I83</f>
        <v>42108.118430253337</v>
      </c>
      <c r="K83">
        <f>POWER(B83/100000,0.25)*8320</f>
        <v>4678.6798255837039</v>
      </c>
      <c r="L83">
        <v>18</v>
      </c>
      <c r="M83">
        <f>0.026*C83</f>
        <v>7832370</v>
      </c>
      <c r="N83">
        <f>H83+M83</f>
        <v>7958694.3552907603</v>
      </c>
      <c r="O83">
        <f>((1.08^50)*0.08)/((1.08^50)-1)</f>
        <v>8.174285816161557E-2</v>
      </c>
      <c r="P83">
        <v>0.9</v>
      </c>
      <c r="Q83">
        <f t="shared" si="10"/>
        <v>7.4960813719622168</v>
      </c>
      <c r="R83">
        <f t="shared" si="0"/>
        <v>2.4227380076988614</v>
      </c>
      <c r="S83">
        <f>Q83+R83</f>
        <v>9.9188193796610786</v>
      </c>
      <c r="T83" s="64">
        <v>2</v>
      </c>
      <c r="U83" s="64">
        <v>381.35408266399998</v>
      </c>
      <c r="V83" s="64">
        <f>Table5[[#This Row],[Daily Hydrogen Demand{mH2}(kg/day)]]/(0.002*24*60*60)</f>
        <v>57.870370370370374</v>
      </c>
      <c r="W83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83" s="64">
        <f>(Table5[[#This Row],[Compressor Power{P}]]/(0.95*1000))</f>
        <v>129.72704363974094</v>
      </c>
      <c r="Y83" s="64">
        <f>2655.97*POWER(Table5[[#This Row],[Rated compressor power{Pc}]],0.8335)*2</f>
        <v>306523.72890720674</v>
      </c>
      <c r="Z83" s="64">
        <f>0.4*Table5[[#This Row],[Total Installation cost for pipeline compressor {TIC}]]</f>
        <v>122609.4915628827</v>
      </c>
      <c r="AA83" s="64">
        <f>Table5[[#This Row],[Indirect costs associated with installation{Id}]]+Table5[[#This Row],[Total Installation cost for pipeline compressor {TIC}]]</f>
        <v>429133.22047008947</v>
      </c>
      <c r="AB83" s="64">
        <f>(Table5[[#This Row],[Investment cost for inlet compressor(Invest)]]*0.1668295449)/(0.9*Table5[[#This Row],[Daily Hydrogen Demand{mH2}(kg/day)]]*365)</f>
        <v>2.1793637708522492E-2</v>
      </c>
      <c r="AC83" s="64">
        <f>Table5[[#This Row],[No of annual hours{Ann}4]]*Table5[[#This Row],[Hourly salary {S}(€/h)5]]</f>
        <v>2915.1774297867696</v>
      </c>
      <c r="AD83" s="64">
        <f>0.5*Table5[[#This Row],[Direct labor costs{dL}2]]</f>
        <v>1457.5887148933848</v>
      </c>
      <c r="AE83" s="64">
        <f>POWER(Table5[[#This Row],[Daily Hydrogen Demand{mH2}(kg/day)]]/100000,0.25)*288</f>
        <v>161.95430165482054</v>
      </c>
      <c r="AF83" s="64">
        <v>18</v>
      </c>
      <c r="AG83" s="64">
        <f>(0.021*Table5[[#This Row],[Investment cost for inlet compressor(Invest)]])+(0.04*Table5[[#This Row],[Total Installation cost for pipeline compressor {TIC}]])</f>
        <v>21272.746786160147</v>
      </c>
      <c r="AH83" s="64">
        <f>Table5[[#This Row],[O&amp;Mc]]+Table5[[#This Row],[Indirect labor costs{Idl}3]]+Table5[[#This Row],[Direct labor costs{dL}2]]</f>
        <v>25645.512930840301</v>
      </c>
      <c r="AI83" s="64">
        <f>(Table5[[#This Row],[Non energy cost for compressor(NE)]])/(0.9*Table5[[#This Row],[Daily Hydrogen Demand{mH2}(kg/day)]]*365)</f>
        <v>7.8068532513973516E-3</v>
      </c>
      <c r="AJ83" s="64">
        <f>Table5[[#This Row],[Rated compressor power{Pc}]] * 0.306 * 24 * 365</f>
        <v>347741.12409894395</v>
      </c>
      <c r="AK83" s="64">
        <f>(Table5[[#This Row],[Annual energy cost for compression(Ec)(€)]])/(0.9*Table5[[#This Row],[Daily Hydrogen Demand{mH2}(kg/day)]]*365*1000)</f>
        <v>1.0585726761002861E-4</v>
      </c>
      <c r="AL83" s="64">
        <f>Table5[[#This Row],[LCOHT,E]]+Table5[[#This Row],[LCOHT,NE]]+Table5[[#This Row],[LCOHT,invest,(for inlet compressor)]]</f>
        <v>2.970634822752987E-2</v>
      </c>
      <c r="AM83" s="64">
        <v>2</v>
      </c>
      <c r="AN83" s="64">
        <v>345.36764970000002</v>
      </c>
      <c r="AO83" s="64">
        <f>Table5[[#This Row],[Daily Hydrogen Demand{mH2}(kg/day)]]/(0.002*24*60*60)</f>
        <v>57.870370370370374</v>
      </c>
      <c r="AP83" s="94">
        <f>Table5[[#This Row],[Daily Hydrogen Demand{mH2}(kg/day)]]/0.0849318059972404</f>
        <v>117741.52077167557</v>
      </c>
      <c r="AQ83" s="94">
        <f>Table5[[#This Row],[Mass flow rate{Qb} (m3/day)]] * (20 / 1.01) *(288.15 / 288)</f>
        <v>2332729.5936715011</v>
      </c>
      <c r="AR83" s="94">
        <f>Table5[[#This Row],[Mass flow rate(Sm3/day)]]*0.0834</f>
        <v>194549.6481122032</v>
      </c>
      <c r="AS83" s="94">
        <f>Table5[[#This Row],[Capacity,pipe2]]/(0.002*24*60*60)</f>
        <v>1125.8660191678428</v>
      </c>
      <c r="AT83" s="94">
        <f>(14.737*1.01*1.0006043620884*288*Table5[[#This Row],[Mass flow rate(Sm3/day)]])/(288.15*70*Table5[[#This Row],[Diameter of pipeline(mm)]]*Table5[[#This Row],[Diameter of pipeline(mm)]]*0.001*0.001*24*60*60)</f>
        <v>574.14201540822194</v>
      </c>
      <c r="AU83" s="96">
        <f t="shared" si="1"/>
        <v>4.015425723958442E-5</v>
      </c>
      <c r="AV83" s="94">
        <f>(4.58*Table5[[#This Row],[Velocity of hydrogen{v}(m/sec)]]*Table5[[#This Row],[Diameter of pipeline(mm)]]*0.001)/Table5[[#This Row],[μ]]</f>
        <v>6548671.5764160687</v>
      </c>
      <c r="AW83" s="109">
        <v>9.4000000000000004E-3</v>
      </c>
      <c r="AX83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35479.05136663052</v>
      </c>
      <c r="AY83" s="94">
        <f>70-Table5[[#This Row],[Pressure drop (Δp) (bar)]]</f>
        <v>-35409.05136663052</v>
      </c>
      <c r="AZ83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83" s="64">
        <f>Table5[[#This Row],[Compressor Power]]/(0.95*1000)</f>
        <v>2433.5078548251226</v>
      </c>
      <c r="BB83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83" s="65">
        <v>2</v>
      </c>
      <c r="BD83" s="64">
        <f>Table5[[#This Row],[Rated compressor power for single station]]*Table5[[#This Row],[No of enroute compressor stations]]</f>
        <v>4867.0157096502453</v>
      </c>
      <c r="BE83" s="64">
        <f>Table5[[#This Row],[Rated compressor power for single station]]/16000</f>
        <v>0.15209424092657017</v>
      </c>
      <c r="BF83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83" s="64">
        <f>Table5[[#This Row],[UC for single enroute station]]*2</f>
        <v>23156.642900224531</v>
      </c>
      <c r="BH83" s="64">
        <f>Table5[[#This Row],[TIC for single enroute station]]*Table5[[#This Row],[No of compressors at single enroute station]]</f>
        <v>3521.9920243173005</v>
      </c>
      <c r="BI83" s="98">
        <f>0.4*Table5[[#This Row],[TIC for all enroute stations]]</f>
        <v>1408.7968097269204</v>
      </c>
      <c r="BJ83" s="99">
        <f>Table5[[#This Row],[TIC for all enroute stations]]+Table5[[#This Row],[Indirect costs for all enroute stations]]</f>
        <v>4930.7888340442205</v>
      </c>
      <c r="BK83" s="99">
        <f>(Table5[[#This Row],[Investment cost for all enroute stations]]*0.1668295449)/(0.9*365*Table5[[#This Row],[Daily Hydrogen Demand{mH2}(kg/day)]])</f>
        <v>2.5041134160779264E-4</v>
      </c>
      <c r="BL83" s="99">
        <f>Table5[[#This Row],[No of enroute compressor stations]]*Table5[[#This Row],[No of annual hours{Ann}44]]*Table5[[#This Row],[Hourly salary {S}(€/h)55]]</f>
        <v>5830.3548595735392</v>
      </c>
      <c r="BM83" s="99">
        <f>0.5*Table5[[#This Row],[Direct labor costs{dL}22]]</f>
        <v>2915.1774297867696</v>
      </c>
      <c r="BN83" s="64">
        <f>POWER(Table5[[#This Row],[Daily Hydrogen Demand{mH2}(kg/day)]]/100000,0.25)*288</f>
        <v>161.95430165482054</v>
      </c>
      <c r="BO83" s="64">
        <v>18</v>
      </c>
      <c r="BP83" s="99">
        <f>(0.021*Table5[[#This Row],[Investment cost for all enroute stations]])+(0.04*Table5[[#This Row],[TIC for all enroute stations]])</f>
        <v>244.42624648762066</v>
      </c>
      <c r="BQ83" s="99">
        <f>Table5[[#This Row],[Indirect labor costs{Idl}33]]+Table5[[#This Row],[Direct labor costs{dL}22]]+Table5[[#This Row],[O&amp;Mc6]]</f>
        <v>8989.9585358479289</v>
      </c>
      <c r="BR83" s="99">
        <f>Table5[[#This Row],[Non energy cost for compressor(NE)7]]/(0.9*365*Table5[[#This Row],[Daily Hydrogen Demand{mH2}(kg/day)]])</f>
        <v>2.7366692650983042E-3</v>
      </c>
      <c r="BS83" s="99">
        <f>Table5[[#This Row],[Total rated compressor power of all enroute stations(W)]]*0.306*24*365</f>
        <v>13046327.630660063</v>
      </c>
      <c r="BT83" s="99">
        <f>Table5[[#This Row],[Annual energy cost for compression for all enroute compressors(€/yr)]]/(0.9*365*Table5[[#This Row],[Daily Hydrogen Demand{mH2}(kg/day)]]*1000)</f>
        <v>3.9714848190746006E-3</v>
      </c>
      <c r="BU83" s="99">
        <f>Table5[[#This Row],[LCOHT,E10]]+Table5[[#This Row],[LCOHT,NE8]]+Table5[[#This Row],[LCOHT,invest for all enroute stations]]</f>
        <v>6.958565425780697E-3</v>
      </c>
      <c r="BV83" s="99">
        <f>Table5[[#This Row],[LOCHT,pipe,C2(of all enroute stations)]]+Table5[[#This Row],[LOCHT,pipe,C1(Inlet compressor)]]+Table5[[#This Row],[LCOHT,pipe(€/kg)]]</f>
        <v>9.9554842933143899</v>
      </c>
      <c r="BW83" s="110">
        <f>6.904458599-4.03</f>
        <v>2.8744585989999996</v>
      </c>
    </row>
    <row r="84" spans="1:82">
      <c r="A84">
        <f>150</f>
        <v>150</v>
      </c>
      <c r="B84">
        <v>10000</v>
      </c>
      <c r="C84">
        <f>Table5[[#This Row],[Total Installation Costs{TIC}(€)]]+Table5[[#This Row],[Indirect Costs{Id}]]</f>
        <v>351988000</v>
      </c>
      <c r="D84">
        <f t="shared" si="2"/>
        <v>251420000</v>
      </c>
      <c r="E84">
        <f t="shared" si="12"/>
        <v>100568000</v>
      </c>
      <c r="F84" s="3">
        <v>502.84</v>
      </c>
      <c r="G84">
        <v>500</v>
      </c>
      <c r="H84">
        <f t="shared" ref="H84:H90" si="37">I84+J84</f>
        <v>126324.35529076001</v>
      </c>
      <c r="I84">
        <f t="shared" ref="I84:I90" si="38">K84*L84</f>
        <v>84216.236860506673</v>
      </c>
      <c r="J84">
        <f t="shared" ref="J84:J90" si="39">0.5*I84</f>
        <v>42108.118430253337</v>
      </c>
      <c r="K84">
        <f t="shared" ref="K84:K90" si="40">POWER(B84/100000,0.25)*8320</f>
        <v>4678.6798255837039</v>
      </c>
      <c r="L84">
        <v>18</v>
      </c>
      <c r="M84">
        <f t="shared" ref="M84:M90" si="41">0.026*C84</f>
        <v>9151688</v>
      </c>
      <c r="N84">
        <f t="shared" ref="N84:N90" si="42">H84+M84</f>
        <v>9278012.3552907594</v>
      </c>
      <c r="O84">
        <f t="shared" ref="O84:O90" si="43">((1.08^50)*0.08)/((1.08^50)-1)</f>
        <v>8.174285816161557E-2</v>
      </c>
      <c r="P84">
        <v>0.9</v>
      </c>
      <c r="Q84">
        <f t="shared" si="10"/>
        <v>8.7587534729347762</v>
      </c>
      <c r="R84">
        <f t="shared" si="0"/>
        <v>2.8243568813670499</v>
      </c>
      <c r="S84">
        <f t="shared" ref="S84:S90" si="44">Q84+R84</f>
        <v>11.583110354301827</v>
      </c>
      <c r="T84" s="64">
        <v>2</v>
      </c>
      <c r="U84" s="64">
        <v>381.35408266399998</v>
      </c>
      <c r="V84" s="64">
        <f>Table5[[#This Row],[Daily Hydrogen Demand{mH2}(kg/day)]]/(0.002*24*60*60)</f>
        <v>57.870370370370374</v>
      </c>
      <c r="W84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84" s="64">
        <f>(Table5[[#This Row],[Compressor Power{P}]]/(0.95*1000))</f>
        <v>129.72704363974094</v>
      </c>
      <c r="Y84" s="64">
        <f>2655.97*POWER(Table5[[#This Row],[Rated compressor power{Pc}]],0.8335)*2</f>
        <v>306523.72890720674</v>
      </c>
      <c r="Z84" s="64">
        <f>0.4*Table5[[#This Row],[Total Installation cost for pipeline compressor {TIC}]]</f>
        <v>122609.4915628827</v>
      </c>
      <c r="AA84" s="64">
        <f>Table5[[#This Row],[Indirect costs associated with installation{Id}]]+Table5[[#This Row],[Total Installation cost for pipeline compressor {TIC}]]</f>
        <v>429133.22047008947</v>
      </c>
      <c r="AB84" s="64">
        <f>(Table5[[#This Row],[Investment cost for inlet compressor(Invest)]]*0.1668295449)/(0.9*Table5[[#This Row],[Daily Hydrogen Demand{mH2}(kg/day)]]*365)</f>
        <v>2.1793637708522492E-2</v>
      </c>
      <c r="AC84" s="64">
        <f>Table5[[#This Row],[No of annual hours{Ann}4]]*Table5[[#This Row],[Hourly salary {S}(€/h)5]]</f>
        <v>2915.1774297867696</v>
      </c>
      <c r="AD84" s="64">
        <f>0.5*Table5[[#This Row],[Direct labor costs{dL}2]]</f>
        <v>1457.5887148933848</v>
      </c>
      <c r="AE84" s="64">
        <f>POWER(Table5[[#This Row],[Daily Hydrogen Demand{mH2}(kg/day)]]/100000,0.25)*288</f>
        <v>161.95430165482054</v>
      </c>
      <c r="AF84" s="64">
        <v>18</v>
      </c>
      <c r="AG84" s="64">
        <f>(0.021*Table5[[#This Row],[Investment cost for inlet compressor(Invest)]])+(0.04*Table5[[#This Row],[Total Installation cost for pipeline compressor {TIC}]])</f>
        <v>21272.746786160147</v>
      </c>
      <c r="AH84" s="64">
        <f>Table5[[#This Row],[O&amp;Mc]]+Table5[[#This Row],[Indirect labor costs{Idl}3]]+Table5[[#This Row],[Direct labor costs{dL}2]]</f>
        <v>25645.512930840301</v>
      </c>
      <c r="AI84" s="64">
        <f>(Table5[[#This Row],[Non energy cost for compressor(NE)]])/(0.9*Table5[[#This Row],[Daily Hydrogen Demand{mH2}(kg/day)]]*365)</f>
        <v>7.8068532513973516E-3</v>
      </c>
      <c r="AJ84" s="64">
        <f>Table5[[#This Row],[Rated compressor power{Pc}]] * 0.306 * 24 * 365</f>
        <v>347741.12409894395</v>
      </c>
      <c r="AK84" s="64">
        <f>(Table5[[#This Row],[Annual energy cost for compression(Ec)(€)]])/(0.9*Table5[[#This Row],[Daily Hydrogen Demand{mH2}(kg/day)]]*365*1000)</f>
        <v>1.0585726761002861E-4</v>
      </c>
      <c r="AL84" s="64">
        <f>Table5[[#This Row],[LCOHT,E]]+Table5[[#This Row],[LCOHT,NE]]+Table5[[#This Row],[LCOHT,invest,(for inlet compressor)]]</f>
        <v>2.970634822752987E-2</v>
      </c>
      <c r="AM84" s="64">
        <v>2</v>
      </c>
      <c r="AN84" s="64">
        <v>345.36764970000002</v>
      </c>
      <c r="AO84" s="64">
        <f>Table5[[#This Row],[Daily Hydrogen Demand{mH2}(kg/day)]]/(0.002*24*60*60)</f>
        <v>57.870370370370374</v>
      </c>
      <c r="AP84" s="94">
        <f>Table5[[#This Row],[Daily Hydrogen Demand{mH2}(kg/day)]]/0.0849318059972404</f>
        <v>117741.52077167557</v>
      </c>
      <c r="AQ84" s="94">
        <f>Table5[[#This Row],[Mass flow rate{Qb} (m3/day)]] * (20 / 1.01) *(288.15 / 288)</f>
        <v>2332729.5936715011</v>
      </c>
      <c r="AR84" s="94">
        <f>Table5[[#This Row],[Mass flow rate(Sm3/day)]]*0.0834</f>
        <v>194549.6481122032</v>
      </c>
      <c r="AS84" s="94">
        <f>Table5[[#This Row],[Capacity,pipe2]]/(0.002*24*60*60)</f>
        <v>1125.8660191678428</v>
      </c>
      <c r="AT84" s="94">
        <f>(14.737*1.01*1.0006043620884*288*Table5[[#This Row],[Mass flow rate(Sm3/day)]])/(288.15*70*Table5[[#This Row],[Diameter of pipeline(mm)]]*Table5[[#This Row],[Diameter of pipeline(mm)]]*0.001*0.001*24*60*60)</f>
        <v>255.17422907032085</v>
      </c>
      <c r="AU84" s="96">
        <f t="shared" si="1"/>
        <v>4.015425723958442E-5</v>
      </c>
      <c r="AV84" s="94">
        <f>(4.58*Table5[[#This Row],[Velocity of hydrogen{v}(m/sec)]]*Table5[[#This Row],[Diameter of pipeline(mm)]]*0.001)/Table5[[#This Row],[μ]]</f>
        <v>4365781.0509440461</v>
      </c>
      <c r="AW84" s="109">
        <v>9.4000000000000004E-3</v>
      </c>
      <c r="AX84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4672.1384515727441</v>
      </c>
      <c r="AY84" s="94">
        <f>70-Table5[[#This Row],[Pressure drop (Δp) (bar)]]</f>
        <v>-4602.1384515727441</v>
      </c>
      <c r="AZ84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84" s="64">
        <f>Table5[[#This Row],[Compressor Power]]/(0.95*1000)</f>
        <v>2433.5078548251226</v>
      </c>
      <c r="BB84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84" s="65">
        <v>2</v>
      </c>
      <c r="BD84" s="64">
        <f>Table5[[#This Row],[Rated compressor power for single station]]*Table5[[#This Row],[No of enroute compressor stations]]</f>
        <v>4867.0157096502453</v>
      </c>
      <c r="BE84" s="64">
        <f>Table5[[#This Row],[Rated compressor power for single station]]/16000</f>
        <v>0.15209424092657017</v>
      </c>
      <c r="BF84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84" s="64">
        <f>Table5[[#This Row],[UC for single enroute station]]*2</f>
        <v>23156.642900224531</v>
      </c>
      <c r="BH84" s="64">
        <f>Table5[[#This Row],[TIC for single enroute station]]*Table5[[#This Row],[No of compressors at single enroute station]]</f>
        <v>3521.9920243173005</v>
      </c>
      <c r="BI84" s="21">
        <f>0.4*Table5[[#This Row],[TIC for all enroute stations]]</f>
        <v>1408.7968097269204</v>
      </c>
      <c r="BJ84" s="100">
        <f>Table5[[#This Row],[TIC for all enroute stations]]+Table5[[#This Row],[Indirect costs for all enroute stations]]</f>
        <v>4930.7888340442205</v>
      </c>
      <c r="BK84" s="100">
        <f>(Table5[[#This Row],[Investment cost for all enroute stations]]*0.1668295449)/(0.9*365*Table5[[#This Row],[Daily Hydrogen Demand{mH2}(kg/day)]])</f>
        <v>2.5041134160779264E-4</v>
      </c>
      <c r="BL84" s="100">
        <f>Table5[[#This Row],[No of enroute compressor stations]]*Table5[[#This Row],[No of annual hours{Ann}44]]*Table5[[#This Row],[Hourly salary {S}(€/h)55]]</f>
        <v>5830.3548595735392</v>
      </c>
      <c r="BM84" s="100">
        <f>0.5*Table5[[#This Row],[Direct labor costs{dL}22]]</f>
        <v>2915.1774297867696</v>
      </c>
      <c r="BN84" s="64">
        <f>POWER(Table5[[#This Row],[Daily Hydrogen Demand{mH2}(kg/day)]]/100000,0.25)*288</f>
        <v>161.95430165482054</v>
      </c>
      <c r="BO84" s="64">
        <v>18</v>
      </c>
      <c r="BP84" s="100">
        <f>(0.021*Table5[[#This Row],[Investment cost for all enroute stations]])+(0.04*Table5[[#This Row],[TIC for all enroute stations]])</f>
        <v>244.42624648762066</v>
      </c>
      <c r="BQ84" s="100">
        <f>Table5[[#This Row],[Indirect labor costs{Idl}33]]+Table5[[#This Row],[Direct labor costs{dL}22]]+Table5[[#This Row],[O&amp;Mc6]]</f>
        <v>8989.9585358479289</v>
      </c>
      <c r="BR84" s="100">
        <f>Table5[[#This Row],[Non energy cost for compressor(NE)7]]/(0.9*365*Table5[[#This Row],[Daily Hydrogen Demand{mH2}(kg/day)]])</f>
        <v>2.7366692650983042E-3</v>
      </c>
      <c r="BS84" s="100">
        <f>Table5[[#This Row],[Total rated compressor power of all enroute stations(W)]]*0.306*24*365</f>
        <v>13046327.630660063</v>
      </c>
      <c r="BT84" s="100">
        <f>Table5[[#This Row],[Annual energy cost for compression for all enroute compressors(€/yr)]]/(0.9*365*Table5[[#This Row],[Daily Hydrogen Demand{mH2}(kg/day)]]*1000)</f>
        <v>3.9714848190746006E-3</v>
      </c>
      <c r="BU84" s="100">
        <f>Table5[[#This Row],[LCOHT,E10]]+Table5[[#This Row],[LCOHT,NE8]]+Table5[[#This Row],[LCOHT,invest for all enroute stations]]</f>
        <v>6.958565425780697E-3</v>
      </c>
      <c r="BV84" s="100">
        <f>Table5[[#This Row],[LOCHT,pipe,C2(of all enroute stations)]]+Table5[[#This Row],[LOCHT,pipe,C1(Inlet compressor)]]+Table5[[#This Row],[LCOHT,pipe(€/kg)]]</f>
        <v>11.619775267955138</v>
      </c>
      <c r="BW84" s="110">
        <f>10.1656051-4.69</f>
        <v>5.4756051000000001</v>
      </c>
    </row>
    <row r="85" spans="1:82">
      <c r="A85">
        <f>200</f>
        <v>200</v>
      </c>
      <c r="B85">
        <v>10000</v>
      </c>
      <c r="C85">
        <f>Table5[[#This Row],[Total Installation Costs{TIC}(€)]]+Table5[[#This Row],[Indirect Costs{Id}]]</f>
        <v>402920000</v>
      </c>
      <c r="D85">
        <f t="shared" si="2"/>
        <v>287800000</v>
      </c>
      <c r="E85">
        <f t="shared" si="12"/>
        <v>115120000</v>
      </c>
      <c r="F85" s="3">
        <v>575.6</v>
      </c>
      <c r="G85">
        <v>500</v>
      </c>
      <c r="H85">
        <f t="shared" si="37"/>
        <v>126324.35529076001</v>
      </c>
      <c r="I85">
        <f t="shared" si="38"/>
        <v>84216.236860506673</v>
      </c>
      <c r="J85">
        <f t="shared" si="39"/>
        <v>42108.118430253337</v>
      </c>
      <c r="K85">
        <f t="shared" si="40"/>
        <v>4678.6798255837039</v>
      </c>
      <c r="L85">
        <v>18</v>
      </c>
      <c r="M85">
        <f t="shared" si="41"/>
        <v>10475920</v>
      </c>
      <c r="N85">
        <f t="shared" si="42"/>
        <v>10602244.355290759</v>
      </c>
      <c r="O85">
        <f t="shared" si="43"/>
        <v>8.174285816161557E-2</v>
      </c>
      <c r="P85">
        <v>0.9</v>
      </c>
      <c r="Q85">
        <f t="shared" si="10"/>
        <v>10.02612858766458</v>
      </c>
      <c r="R85">
        <f t="shared" si="0"/>
        <v>3.2274716454461978</v>
      </c>
      <c r="S85">
        <f t="shared" si="44"/>
        <v>13.253600233110777</v>
      </c>
      <c r="T85" s="64">
        <v>2</v>
      </c>
      <c r="U85" s="64">
        <v>381.35408266399998</v>
      </c>
      <c r="V85" s="64">
        <f>Table5[[#This Row],[Daily Hydrogen Demand{mH2}(kg/day)]]/(0.002*24*60*60)</f>
        <v>57.870370370370374</v>
      </c>
      <c r="W85" s="64">
        <f>Table5[[#This Row],[No of compressor stages{N}]]
* Table5[[#This Row],[Molar flow{qM}(moles/sec)]]
* 8.314
* 305.15*1.024
* (1.41 / (1.41 - 1))
* (POWER(3.5, 0.14539007 / Table5[[#This Row],[No of compressor stages{N}]]) - 1)
/ 0.8</f>
        <v>123240.6914577539</v>
      </c>
      <c r="X85" s="64">
        <f>(Table5[[#This Row],[Compressor Power{P}]]/(0.95*1000))</f>
        <v>129.72704363974094</v>
      </c>
      <c r="Y85" s="64">
        <f>2655.97*POWER(Table5[[#This Row],[Rated compressor power{Pc}]],0.8335)*2</f>
        <v>306523.72890720674</v>
      </c>
      <c r="Z85" s="64">
        <f>0.4*Table5[[#This Row],[Total Installation cost for pipeline compressor {TIC}]]</f>
        <v>122609.4915628827</v>
      </c>
      <c r="AA85" s="64">
        <f>Table5[[#This Row],[Indirect costs associated with installation{Id}]]+Table5[[#This Row],[Total Installation cost for pipeline compressor {TIC}]]</f>
        <v>429133.22047008947</v>
      </c>
      <c r="AB85" s="64">
        <f>(Table5[[#This Row],[Investment cost for inlet compressor(Invest)]]*0.1668295449)/(0.9*Table5[[#This Row],[Daily Hydrogen Demand{mH2}(kg/day)]]*365)</f>
        <v>2.1793637708522492E-2</v>
      </c>
      <c r="AC85" s="64">
        <f>Table5[[#This Row],[No of annual hours{Ann}4]]*Table5[[#This Row],[Hourly salary {S}(€/h)5]]</f>
        <v>2915.1774297867696</v>
      </c>
      <c r="AD85" s="64">
        <f>0.5*Table5[[#This Row],[Direct labor costs{dL}2]]</f>
        <v>1457.5887148933848</v>
      </c>
      <c r="AE85" s="64">
        <f>POWER(Table5[[#This Row],[Daily Hydrogen Demand{mH2}(kg/day)]]/100000,0.25)*288</f>
        <v>161.95430165482054</v>
      </c>
      <c r="AF85" s="64">
        <v>18</v>
      </c>
      <c r="AG85" s="64">
        <f>(0.021*Table5[[#This Row],[Investment cost for inlet compressor(Invest)]])+(0.04*Table5[[#This Row],[Total Installation cost for pipeline compressor {TIC}]])</f>
        <v>21272.746786160147</v>
      </c>
      <c r="AH85" s="64">
        <f>Table5[[#This Row],[O&amp;Mc]]+Table5[[#This Row],[Indirect labor costs{Idl}3]]+Table5[[#This Row],[Direct labor costs{dL}2]]</f>
        <v>25645.512930840301</v>
      </c>
      <c r="AI85" s="64">
        <f>(Table5[[#This Row],[Non energy cost for compressor(NE)]])/(0.9*Table5[[#This Row],[Daily Hydrogen Demand{mH2}(kg/day)]]*365)</f>
        <v>7.8068532513973516E-3</v>
      </c>
      <c r="AJ85" s="64">
        <f>Table5[[#This Row],[Rated compressor power{Pc}]] * 0.306 * 24 * 365</f>
        <v>347741.12409894395</v>
      </c>
      <c r="AK85" s="64">
        <f>(Table5[[#This Row],[Annual energy cost for compression(Ec)(€)]])/(0.9*Table5[[#This Row],[Daily Hydrogen Demand{mH2}(kg/day)]]*365*1000)</f>
        <v>1.0585726761002861E-4</v>
      </c>
      <c r="AL85" s="64">
        <f>Table5[[#This Row],[LCOHT,E]]+Table5[[#This Row],[LCOHT,NE]]+Table5[[#This Row],[LCOHT,invest,(for inlet compressor)]]</f>
        <v>2.970634822752987E-2</v>
      </c>
      <c r="AM85" s="64">
        <v>2</v>
      </c>
      <c r="AN85" s="64">
        <v>345.36764970000002</v>
      </c>
      <c r="AO85" s="64">
        <f>Table5[[#This Row],[Daily Hydrogen Demand{mH2}(kg/day)]]/(0.002*24*60*60)</f>
        <v>57.870370370370374</v>
      </c>
      <c r="AP85" s="94">
        <f>Table5[[#This Row],[Daily Hydrogen Demand{mH2}(kg/day)]]/0.0849318059972404</f>
        <v>117741.52077167557</v>
      </c>
      <c r="AQ85" s="94">
        <f>Table5[[#This Row],[Mass flow rate{Qb} (m3/day)]] * (20 / 1.01) *(288.15 / 288)</f>
        <v>2332729.5936715011</v>
      </c>
      <c r="AR85" s="94">
        <f>Table5[[#This Row],[Mass flow rate(Sm3/day)]]*0.0834</f>
        <v>194549.6481122032</v>
      </c>
      <c r="AS85" s="94">
        <f>Table5[[#This Row],[Capacity,pipe2]]/(0.002*24*60*60)</f>
        <v>1125.8660191678428</v>
      </c>
      <c r="AT85" s="94">
        <f>(14.737*1.01*1.0006043620884*288*Table5[[#This Row],[Mass flow rate(Sm3/day)]])/(288.15*70*Table5[[#This Row],[Diameter of pipeline(mm)]]*Table5[[#This Row],[Diameter of pipeline(mm)]]*0.001*0.001*24*60*60)</f>
        <v>143.53550385205548</v>
      </c>
      <c r="AU85" s="96">
        <f t="shared" si="1"/>
        <v>4.015425723958442E-5</v>
      </c>
      <c r="AV85" s="94">
        <f>(4.58*Table5[[#This Row],[Velocity of hydrogen{v}(m/sec)]]*Table5[[#This Row],[Diameter of pipeline(mm)]]*0.001)/Table5[[#This Row],[μ]]</f>
        <v>3274335.7882080344</v>
      </c>
      <c r="AW85" s="109">
        <v>9.4000000000000004E-3</v>
      </c>
      <c r="AX85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1108.7203552072037</v>
      </c>
      <c r="AY85" s="94">
        <f>70-Table5[[#This Row],[Pressure drop (Δp) (bar)]]</f>
        <v>-1038.7203552072037</v>
      </c>
      <c r="AZ85" s="65">
        <f xml:space="preserve"> (Table5[[#This Row],[N]] *Table5[[#This Row],[qM**]]* 8.314 * 293.15 * (1.02776828999228/0.8) * (1.41 / (1.41 - 1)) * (POWER(3.5, 0.14539007 / Table5[[#This Row],[N]]) - 1))</f>
        <v>2311832.4620838664</v>
      </c>
      <c r="BA85" s="64">
        <f>Table5[[#This Row],[Compressor Power]]/(0.95*1000)</f>
        <v>2433.5078548251226</v>
      </c>
      <c r="BB85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85" s="65">
        <v>2</v>
      </c>
      <c r="BD85" s="64">
        <f>Table5[[#This Row],[Rated compressor power for single station]]*Table5[[#This Row],[No of enroute compressor stations]]</f>
        <v>4867.0157096502453</v>
      </c>
      <c r="BE85" s="64">
        <f>Table5[[#This Row],[Rated compressor power for single station]]/16000</f>
        <v>0.15209424092657017</v>
      </c>
      <c r="BF85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11578.321450112266</v>
      </c>
      <c r="BG85" s="64">
        <f>Table5[[#This Row],[UC for single enroute station]]*2</f>
        <v>23156.642900224531</v>
      </c>
      <c r="BH85" s="64">
        <f>Table5[[#This Row],[TIC for single enroute station]]*Table5[[#This Row],[No of compressors at single enroute station]]</f>
        <v>3521.9920243173005</v>
      </c>
      <c r="BI85" s="98">
        <f>0.4*Table5[[#This Row],[TIC for all enroute stations]]</f>
        <v>1408.7968097269204</v>
      </c>
      <c r="BJ85" s="99">
        <f>Table5[[#This Row],[TIC for all enroute stations]]+Table5[[#This Row],[Indirect costs for all enroute stations]]</f>
        <v>4930.7888340442205</v>
      </c>
      <c r="BK85" s="99">
        <f>(Table5[[#This Row],[Investment cost for all enroute stations]]*0.1668295449)/(0.9*365*Table5[[#This Row],[Daily Hydrogen Demand{mH2}(kg/day)]])</f>
        <v>2.5041134160779264E-4</v>
      </c>
      <c r="BL85" s="99">
        <f>Table5[[#This Row],[No of enroute compressor stations]]*Table5[[#This Row],[No of annual hours{Ann}44]]*Table5[[#This Row],[Hourly salary {S}(€/h)55]]</f>
        <v>5830.3548595735392</v>
      </c>
      <c r="BM85" s="99">
        <f>0.5*Table5[[#This Row],[Direct labor costs{dL}22]]</f>
        <v>2915.1774297867696</v>
      </c>
      <c r="BN85" s="64">
        <f>POWER(Table5[[#This Row],[Daily Hydrogen Demand{mH2}(kg/day)]]/100000,0.25)*288</f>
        <v>161.95430165482054</v>
      </c>
      <c r="BO85" s="64">
        <v>18</v>
      </c>
      <c r="BP85" s="99">
        <f>(0.021*Table5[[#This Row],[Investment cost for all enroute stations]])+(0.04*Table5[[#This Row],[TIC for all enroute stations]])</f>
        <v>244.42624648762066</v>
      </c>
      <c r="BQ85" s="99">
        <f>Table5[[#This Row],[Indirect labor costs{Idl}33]]+Table5[[#This Row],[Direct labor costs{dL}22]]+Table5[[#This Row],[O&amp;Mc6]]</f>
        <v>8989.9585358479289</v>
      </c>
      <c r="BR85" s="99">
        <f>Table5[[#This Row],[Non energy cost for compressor(NE)7]]/(0.9*365*Table5[[#This Row],[Daily Hydrogen Demand{mH2}(kg/day)]])</f>
        <v>2.7366692650983042E-3</v>
      </c>
      <c r="BS85" s="99">
        <f>Table5[[#This Row],[Total rated compressor power of all enroute stations(W)]]*0.306*24*365</f>
        <v>13046327.630660063</v>
      </c>
      <c r="BT85" s="99">
        <f>Table5[[#This Row],[Annual energy cost for compression for all enroute compressors(€/yr)]]/(0.9*365*Table5[[#This Row],[Daily Hydrogen Demand{mH2}(kg/day)]]*1000)</f>
        <v>3.9714848190746006E-3</v>
      </c>
      <c r="BU85" s="99">
        <f>Table5[[#This Row],[LCOHT,E10]]+Table5[[#This Row],[LCOHT,NE8]]+Table5[[#This Row],[LCOHT,invest for all enroute stations]]</f>
        <v>6.958565425780697E-3</v>
      </c>
      <c r="BV85" s="99">
        <f>Table5[[#This Row],[LOCHT,pipe,C2(of all enroute stations)]]+Table5[[#This Row],[LOCHT,pipe,C1(Inlet compressor)]]+Table5[[#This Row],[LCOHT,pipe(€/kg)]]</f>
        <v>13.290265146764089</v>
      </c>
      <c r="BW85" s="110">
        <f>11.84713376-5.36</f>
        <v>6.4871337599999999</v>
      </c>
    </row>
    <row r="86" spans="1:82">
      <c r="A86">
        <v>100</v>
      </c>
      <c r="B86">
        <v>30000</v>
      </c>
      <c r="C86">
        <f>Table5[[#This Row],[Total Installation Costs{TIC}(€)]]+Table5[[#This Row],[Indirect Costs{Id}]]</f>
        <v>301245000</v>
      </c>
      <c r="D86">
        <f t="shared" si="2"/>
        <v>215175000</v>
      </c>
      <c r="E86">
        <f t="shared" si="12"/>
        <v>86070000</v>
      </c>
      <c r="F86" s="3">
        <v>430.35</v>
      </c>
      <c r="G86">
        <v>500</v>
      </c>
      <c r="H86">
        <f t="shared" si="37"/>
        <v>166252.20120114693</v>
      </c>
      <c r="I86">
        <f t="shared" si="38"/>
        <v>110834.80080076463</v>
      </c>
      <c r="J86">
        <f t="shared" si="39"/>
        <v>55417.400400382314</v>
      </c>
      <c r="K86">
        <f t="shared" si="40"/>
        <v>6157.4889333758128</v>
      </c>
      <c r="L86">
        <v>18</v>
      </c>
      <c r="M86">
        <f t="shared" si="41"/>
        <v>7832370</v>
      </c>
      <c r="N86">
        <f t="shared" si="42"/>
        <v>7998622.2012011465</v>
      </c>
      <c r="O86">
        <f t="shared" si="43"/>
        <v>8.174285816161557E-2</v>
      </c>
      <c r="P86">
        <v>0.9</v>
      </c>
      <c r="Q86">
        <f t="shared" si="10"/>
        <v>2.4986937906540723</v>
      </c>
      <c r="R86">
        <f t="shared" si="0"/>
        <v>0.8116308677017906</v>
      </c>
      <c r="S86">
        <f t="shared" si="44"/>
        <v>3.3103246583558628</v>
      </c>
      <c r="T86" s="64">
        <v>2</v>
      </c>
      <c r="U86" s="64">
        <v>381.35408266399998</v>
      </c>
      <c r="V86" s="64">
        <f>Table5[[#This Row],[Daily Hydrogen Demand{mH2}(kg/day)]]/(0.002*24*60*60)</f>
        <v>173.61111111111111</v>
      </c>
      <c r="W86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86" s="64">
        <f>(Table5[[#This Row],[Compressor Power{P}]]/(0.95*1000))</f>
        <v>389.18113091922294</v>
      </c>
      <c r="Y86" s="64">
        <f>2655.97*POWER(Table5[[#This Row],[Rated compressor power{Pc}]],0.8335)*2</f>
        <v>765851.67401262943</v>
      </c>
      <c r="Z86" s="64">
        <f>0.4*Table5[[#This Row],[Total Installation cost for pipeline compressor {TIC}]]</f>
        <v>306340.66960505181</v>
      </c>
      <c r="AA86" s="64">
        <f>Table5[[#This Row],[Indirect costs associated with installation{Id}]]+Table5[[#This Row],[Total Installation cost for pipeline compressor {TIC}]]</f>
        <v>1072192.3436176812</v>
      </c>
      <c r="AB86" s="64">
        <f>(Table5[[#This Row],[Investment cost for inlet compressor(Invest)]]*0.1668295449)/(0.9*Table5[[#This Row],[Daily Hydrogen Demand{mH2}(kg/day)]]*365)</f>
        <v>1.8150518592694283E-2</v>
      </c>
      <c r="AC86" s="64">
        <f>Table5[[#This Row],[No of annual hours{Ann}4]]*Table5[[#This Row],[Hourly salary {S}(€/h)5]]</f>
        <v>3836.5892584880066</v>
      </c>
      <c r="AD86" s="64">
        <f>0.5*Table5[[#This Row],[Direct labor costs{dL}2]]</f>
        <v>1918.2946292440033</v>
      </c>
      <c r="AE86" s="64">
        <f>POWER(Table5[[#This Row],[Daily Hydrogen Demand{mH2}(kg/day)]]/100000,0.25)*288</f>
        <v>213.14384769377816</v>
      </c>
      <c r="AF86" s="64">
        <v>18</v>
      </c>
      <c r="AG86" s="64">
        <f>(0.021*Table5[[#This Row],[Investment cost for inlet compressor(Invest)]])+(0.04*Table5[[#This Row],[Total Installation cost for pipeline compressor {TIC}]])</f>
        <v>53150.106176476482</v>
      </c>
      <c r="AH86" s="64">
        <f>Table5[[#This Row],[O&amp;Mc]]+Table5[[#This Row],[Indirect labor costs{Idl}3]]+Table5[[#This Row],[Direct labor costs{dL}2]]</f>
        <v>58904.99006420849</v>
      </c>
      <c r="AI86" s="64">
        <f>(Table5[[#This Row],[Non energy cost for compressor(NE)]])/(0.9*Table5[[#This Row],[Daily Hydrogen Demand{mH2}(kg/day)]]*365)</f>
        <v>5.9771679415736674E-3</v>
      </c>
      <c r="AJ86" s="64">
        <f>Table5[[#This Row],[Rated compressor power{Pc}]] * 0.306 * 24 * 365</f>
        <v>1043223.3722968322</v>
      </c>
      <c r="AK86" s="64">
        <f>(Table5[[#This Row],[Annual energy cost for compression(Ec)(€)]])/(0.9*Table5[[#This Row],[Daily Hydrogen Demand{mH2}(kg/day)]]*365*1000)</f>
        <v>1.0585726761002863E-4</v>
      </c>
      <c r="AL86" s="64">
        <f>Table5[[#This Row],[LCOHT,E]]+Table5[[#This Row],[LCOHT,NE]]+Table5[[#This Row],[LCOHT,invest,(for inlet compressor)]]</f>
        <v>2.423354380187798E-2</v>
      </c>
      <c r="AM86" s="64">
        <v>2</v>
      </c>
      <c r="AN86" s="64">
        <v>345.36764970000002</v>
      </c>
      <c r="AO86" s="64">
        <f>Table5[[#This Row],[Daily Hydrogen Demand{mH2}(kg/day)]]/(0.002*24*60*60)</f>
        <v>173.61111111111111</v>
      </c>
      <c r="AP86" s="94">
        <f>Table5[[#This Row],[Daily Hydrogen Demand{mH2}(kg/day)]]/0.0849318059972404</f>
        <v>353224.56231502671</v>
      </c>
      <c r="AQ86" s="94">
        <f>Table5[[#This Row],[Mass flow rate{Qb} (m3/day)]] * (20 / 1.01) *(288.15 / 288)</f>
        <v>6998188.7810145039</v>
      </c>
      <c r="AR86" s="94">
        <f>Table5[[#This Row],[Mass flow rate(Sm3/day)]]*0.0834</f>
        <v>583648.94433660968</v>
      </c>
      <c r="AS86" s="94">
        <f>Table5[[#This Row],[Capacity,pipe2]]/(0.002*24*60*60)</f>
        <v>3377.5980575035287</v>
      </c>
      <c r="AT86" s="94">
        <f>(14.737*1.01*1.0006043620884*288*Table5[[#This Row],[Mass flow rate(Sm3/day)]])/(288.15*70*Table5[[#This Row],[Diameter of pipeline(mm)]]*Table5[[#This Row],[Diameter of pipeline(mm)]]*0.001*0.001*24*60*60)</f>
        <v>1722.4260462246657</v>
      </c>
      <c r="AU86" s="96">
        <f t="shared" si="1"/>
        <v>4.015425723958442E-5</v>
      </c>
      <c r="AV86" s="94">
        <f>(4.58*Table5[[#This Row],[Velocity of hydrogen{v}(m/sec)]]*Table5[[#This Row],[Diameter of pipeline(mm)]]*0.001)/Table5[[#This Row],[μ]]</f>
        <v>19646014.729248207</v>
      </c>
      <c r="AW86" s="109">
        <v>9.4000000000000004E-3</v>
      </c>
      <c r="AX86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319311.46229967463</v>
      </c>
      <c r="AY86" s="94">
        <f>70-Table5[[#This Row],[Pressure drop (Δp) (bar)]]</f>
        <v>-319241.46229967463</v>
      </c>
      <c r="AZ86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86" s="64">
        <f>Table5[[#This Row],[Compressor Power]]/(0.95*1000)</f>
        <v>7300.5235644753693</v>
      </c>
      <c r="BB86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108.561643835616</v>
      </c>
      <c r="BC86" s="65">
        <v>2</v>
      </c>
      <c r="BD86" s="64">
        <f>Table5[[#This Row],[Rated compressor power for single station]]*Table5[[#This Row],[No of enroute compressor stations]]</f>
        <v>14601.047128950739</v>
      </c>
      <c r="BE86" s="64">
        <f>Table5[[#This Row],[Rated compressor power for single station]]/16000</f>
        <v>0.4562827227797106</v>
      </c>
      <c r="BF86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86" s="64">
        <f>Table5[[#This Row],[UC for single enroute station]]*2</f>
        <v>440068.69303083618</v>
      </c>
      <c r="BH86" s="64">
        <f>Table5[[#This Row],[TIC for single enroute station]]*Table5[[#This Row],[No of compressors at single enroute station]]</f>
        <v>200795.74146621858</v>
      </c>
      <c r="BI86" s="21">
        <f>0.4*Table5[[#This Row],[TIC for all enroute stations]]</f>
        <v>80318.296586487442</v>
      </c>
      <c r="BJ86" s="100">
        <f>Table5[[#This Row],[TIC for all enroute stations]]+Table5[[#This Row],[Indirect costs for all enroute stations]]</f>
        <v>281114.03805270605</v>
      </c>
      <c r="BK86" s="100">
        <f>(Table5[[#This Row],[Investment cost for all enroute stations]]*0.1668295449)/(0.9*365*Table5[[#This Row],[Daily Hydrogen Demand{mH2}(kg/day)]])</f>
        <v>4.7588155284966236E-3</v>
      </c>
      <c r="BL86" s="100">
        <f>Table5[[#This Row],[No of enroute compressor stations]]*Table5[[#This Row],[No of annual hours{Ann}44]]*Table5[[#This Row],[Hourly salary {S}(€/h)55]]</f>
        <v>7673.1785169760133</v>
      </c>
      <c r="BM86" s="100">
        <f>0.5*Table5[[#This Row],[Direct labor costs{dL}22]]</f>
        <v>3836.5892584880066</v>
      </c>
      <c r="BN86" s="64">
        <f>POWER(Table5[[#This Row],[Daily Hydrogen Demand{mH2}(kg/day)]]/100000,0.25)*288</f>
        <v>213.14384769377816</v>
      </c>
      <c r="BO86" s="64">
        <v>18</v>
      </c>
      <c r="BP86" s="100">
        <f>(0.021*Table5[[#This Row],[Investment cost for all enroute stations]])+(0.04*Table5[[#This Row],[TIC for all enroute stations]])</f>
        <v>13935.22445775557</v>
      </c>
      <c r="BQ86" s="100">
        <f>Table5[[#This Row],[Indirect labor costs{Idl}33]]+Table5[[#This Row],[Direct labor costs{dL}22]]+Table5[[#This Row],[O&amp;Mc6]]</f>
        <v>25444.992233219593</v>
      </c>
      <c r="BR86" s="100">
        <f>Table5[[#This Row],[Non energy cost for compressor(NE)7]]/(0.9*365*Table5[[#This Row],[Daily Hydrogen Demand{mH2}(kg/day)]])</f>
        <v>2.5819373143804764E-3</v>
      </c>
      <c r="BS86" s="100">
        <f>Table5[[#This Row],[Total rated compressor power of all enroute stations(W)]]*0.306*24*365</f>
        <v>39138982.891980194</v>
      </c>
      <c r="BT86" s="100">
        <f>Table5[[#This Row],[Annual energy cost for compression for all enroute compressors(€/yr)]]/(0.9*365*Table5[[#This Row],[Daily Hydrogen Demand{mH2}(kg/day)]]*1000)</f>
        <v>3.9714848190746015E-3</v>
      </c>
      <c r="BU86" s="100">
        <f>Table5[[#This Row],[LCOHT,E10]]+Table5[[#This Row],[LCOHT,NE8]]+Table5[[#This Row],[LCOHT,invest for all enroute stations]]</f>
        <v>1.1312237661951701E-2</v>
      </c>
      <c r="BV86" s="100">
        <f>Table5[[#This Row],[LOCHT,pipe,C2(of all enroute stations)]]+Table5[[#This Row],[LOCHT,pipe,C1(Inlet compressor)]]+Table5[[#This Row],[LCOHT,pipe(€/kg)]]</f>
        <v>3.3458704398196923</v>
      </c>
      <c r="BW86" s="110">
        <f>0.738853503184714-Table5[[#This Row],[LCOHT,pipeline]]</f>
        <v>-2.6070169366349782</v>
      </c>
    </row>
    <row r="87" spans="1:82">
      <c r="A87">
        <f>150</f>
        <v>150</v>
      </c>
      <c r="B87">
        <v>30000</v>
      </c>
      <c r="C87">
        <f>Table5[[#This Row],[Total Installation Costs{TIC}(€)]]+Table5[[#This Row],[Indirect Costs{Id}]]</f>
        <v>351988000</v>
      </c>
      <c r="D87">
        <f t="shared" si="2"/>
        <v>251420000</v>
      </c>
      <c r="E87">
        <f t="shared" si="12"/>
        <v>100568000</v>
      </c>
      <c r="F87" s="3">
        <v>502.84</v>
      </c>
      <c r="G87">
        <v>500</v>
      </c>
      <c r="H87">
        <f t="shared" si="37"/>
        <v>166252.20120114693</v>
      </c>
      <c r="I87">
        <f t="shared" si="38"/>
        <v>110834.80080076463</v>
      </c>
      <c r="J87">
        <f t="shared" si="39"/>
        <v>55417.400400382314</v>
      </c>
      <c r="K87">
        <f t="shared" si="40"/>
        <v>6157.4889333758128</v>
      </c>
      <c r="L87">
        <v>18</v>
      </c>
      <c r="M87">
        <f t="shared" si="41"/>
        <v>9151688</v>
      </c>
      <c r="N87">
        <f t="shared" si="42"/>
        <v>9317940.2012011465</v>
      </c>
      <c r="O87">
        <f t="shared" si="43"/>
        <v>8.174285816161557E-2</v>
      </c>
      <c r="P87">
        <v>0.9</v>
      </c>
      <c r="Q87">
        <f t="shared" si="10"/>
        <v>2.9195844909782589</v>
      </c>
      <c r="R87">
        <f t="shared" si="0"/>
        <v>0.94550382559118684</v>
      </c>
      <c r="S87">
        <f t="shared" si="44"/>
        <v>3.8650883165694458</v>
      </c>
      <c r="T87" s="64">
        <v>2</v>
      </c>
      <c r="U87" s="64">
        <v>381.35408266399998</v>
      </c>
      <c r="V87" s="64">
        <f>Table5[[#This Row],[Daily Hydrogen Demand{mH2}(kg/day)]]/(0.002*24*60*60)</f>
        <v>173.61111111111111</v>
      </c>
      <c r="W87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87" s="64">
        <f>(Table5[[#This Row],[Compressor Power{P}]]/(0.95*1000))</f>
        <v>389.18113091922294</v>
      </c>
      <c r="Y87" s="64">
        <f>2655.97*POWER(Table5[[#This Row],[Rated compressor power{Pc}]],0.8335)*2</f>
        <v>765851.67401262943</v>
      </c>
      <c r="Z87" s="64">
        <f>0.4*Table5[[#This Row],[Total Installation cost for pipeline compressor {TIC}]]</f>
        <v>306340.66960505181</v>
      </c>
      <c r="AA87" s="64">
        <f>Table5[[#This Row],[Indirect costs associated with installation{Id}]]+Table5[[#This Row],[Total Installation cost for pipeline compressor {TIC}]]</f>
        <v>1072192.3436176812</v>
      </c>
      <c r="AB87" s="64">
        <f>(Table5[[#This Row],[Investment cost for inlet compressor(Invest)]]*0.1668295449)/(0.9*Table5[[#This Row],[Daily Hydrogen Demand{mH2}(kg/day)]]*365)</f>
        <v>1.8150518592694283E-2</v>
      </c>
      <c r="AC87" s="64">
        <f>Table5[[#This Row],[No of annual hours{Ann}4]]*Table5[[#This Row],[Hourly salary {S}(€/h)5]]</f>
        <v>3836.5892584880066</v>
      </c>
      <c r="AD87" s="64">
        <f>0.5*Table5[[#This Row],[Direct labor costs{dL}2]]</f>
        <v>1918.2946292440033</v>
      </c>
      <c r="AE87" s="64">
        <f>POWER(Table5[[#This Row],[Daily Hydrogen Demand{mH2}(kg/day)]]/100000,0.25)*288</f>
        <v>213.14384769377816</v>
      </c>
      <c r="AF87" s="64">
        <v>18</v>
      </c>
      <c r="AG87" s="64">
        <f>(0.021*Table5[[#This Row],[Investment cost for inlet compressor(Invest)]])+(0.04*Table5[[#This Row],[Total Installation cost for pipeline compressor {TIC}]])</f>
        <v>53150.106176476482</v>
      </c>
      <c r="AH87" s="64">
        <f>Table5[[#This Row],[O&amp;Mc]]+Table5[[#This Row],[Indirect labor costs{Idl}3]]+Table5[[#This Row],[Direct labor costs{dL}2]]</f>
        <v>58904.99006420849</v>
      </c>
      <c r="AI87" s="64">
        <f>(Table5[[#This Row],[Non energy cost for compressor(NE)]])/(0.9*Table5[[#This Row],[Daily Hydrogen Demand{mH2}(kg/day)]]*365)</f>
        <v>5.9771679415736674E-3</v>
      </c>
      <c r="AJ87" s="64">
        <f>Table5[[#This Row],[Rated compressor power{Pc}]] * 0.306 * 24 * 365</f>
        <v>1043223.3722968322</v>
      </c>
      <c r="AK87" s="64">
        <f>(Table5[[#This Row],[Annual energy cost for compression(Ec)(€)]])/(0.9*Table5[[#This Row],[Daily Hydrogen Demand{mH2}(kg/day)]]*365*1000)</f>
        <v>1.0585726761002863E-4</v>
      </c>
      <c r="AL87" s="64">
        <f>Table5[[#This Row],[LCOHT,E]]+Table5[[#This Row],[LCOHT,NE]]+Table5[[#This Row],[LCOHT,invest,(for inlet compressor)]]</f>
        <v>2.423354380187798E-2</v>
      </c>
      <c r="AM87" s="64">
        <v>2</v>
      </c>
      <c r="AN87" s="64">
        <v>345.36764970000002</v>
      </c>
      <c r="AO87" s="64">
        <f>Table5[[#This Row],[Daily Hydrogen Demand{mH2}(kg/day)]]/(0.002*24*60*60)</f>
        <v>173.61111111111111</v>
      </c>
      <c r="AP87" s="94">
        <f>Table5[[#This Row],[Daily Hydrogen Demand{mH2}(kg/day)]]/0.0849318059972404</f>
        <v>353224.56231502671</v>
      </c>
      <c r="AQ87" s="94">
        <f>Table5[[#This Row],[Mass flow rate{Qb} (m3/day)]] * (20 / 1.01) *(288.15 / 288)</f>
        <v>6998188.7810145039</v>
      </c>
      <c r="AR87" s="94">
        <f>Table5[[#This Row],[Mass flow rate(Sm3/day)]]*0.0834</f>
        <v>583648.94433660968</v>
      </c>
      <c r="AS87" s="94">
        <f>Table5[[#This Row],[Capacity,pipe2]]/(0.002*24*60*60)</f>
        <v>3377.5980575035287</v>
      </c>
      <c r="AT87" s="94">
        <f>(14.737*1.01*1.0006043620884*288*Table5[[#This Row],[Mass flow rate(Sm3/day)]])/(288.15*70*Table5[[#This Row],[Diameter of pipeline(mm)]]*Table5[[#This Row],[Diameter of pipeline(mm)]]*0.001*0.001*24*60*60)</f>
        <v>765.52268721096254</v>
      </c>
      <c r="AU87" s="96">
        <f t="shared" si="1"/>
        <v>4.015425723958442E-5</v>
      </c>
      <c r="AV87" s="94">
        <f>(4.58*Table5[[#This Row],[Velocity of hydrogen{v}(m/sec)]]*Table5[[#This Row],[Diameter of pipeline(mm)]]*0.001)/Table5[[#This Row],[μ]]</f>
        <v>13097343.152832137</v>
      </c>
      <c r="AW87" s="109">
        <v>9.4000000000000004E-3</v>
      </c>
      <c r="AX87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42049.246064154693</v>
      </c>
      <c r="AY87" s="94">
        <f>70-Table5[[#This Row],[Pressure drop (Δp) (bar)]]</f>
        <v>-41979.246064154693</v>
      </c>
      <c r="AZ87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87" s="64">
        <f>Table5[[#This Row],[Compressor Power]]/(0.95*1000)</f>
        <v>7300.5235644753693</v>
      </c>
      <c r="BB87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87" s="65">
        <v>2</v>
      </c>
      <c r="BD87" s="64">
        <f>Table5[[#This Row],[Rated compressor power for single station]]*Table5[[#This Row],[No of enroute compressor stations]]</f>
        <v>14601.047128950739</v>
      </c>
      <c r="BE87" s="64">
        <f>Table5[[#This Row],[Rated compressor power for single station]]/16000</f>
        <v>0.4562827227797106</v>
      </c>
      <c r="BF87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87" s="64">
        <f>Table5[[#This Row],[UC for single enroute station]]*2</f>
        <v>440068.69303083618</v>
      </c>
      <c r="BH87" s="64">
        <f>Table5[[#This Row],[TIC for single enroute station]]*Table5[[#This Row],[No of compressors at single enroute station]]</f>
        <v>200795.74146621858</v>
      </c>
      <c r="BI87" s="98">
        <f>0.4*Table5[[#This Row],[TIC for all enroute stations]]</f>
        <v>80318.296586487442</v>
      </c>
      <c r="BJ87" s="99">
        <f>Table5[[#This Row],[TIC for all enroute stations]]+Table5[[#This Row],[Indirect costs for all enroute stations]]</f>
        <v>281114.03805270605</v>
      </c>
      <c r="BK87" s="99">
        <f>(Table5[[#This Row],[Investment cost for all enroute stations]]*0.1668295449)/(0.9*365*Table5[[#This Row],[Daily Hydrogen Demand{mH2}(kg/day)]])</f>
        <v>4.7588155284966236E-3</v>
      </c>
      <c r="BL87" s="99">
        <f>Table5[[#This Row],[No of enroute compressor stations]]*Table5[[#This Row],[No of annual hours{Ann}44]]*Table5[[#This Row],[Hourly salary {S}(€/h)55]]</f>
        <v>7673.1785169760133</v>
      </c>
      <c r="BM87" s="99">
        <f>0.5*Table5[[#This Row],[Direct labor costs{dL}22]]</f>
        <v>3836.5892584880066</v>
      </c>
      <c r="BN87" s="64">
        <f>POWER(Table5[[#This Row],[Daily Hydrogen Demand{mH2}(kg/day)]]/100000,0.25)*288</f>
        <v>213.14384769377816</v>
      </c>
      <c r="BO87" s="64">
        <v>18</v>
      </c>
      <c r="BP87" s="99">
        <f>(0.021*Table5[[#This Row],[Investment cost for all enroute stations]])+(0.04*Table5[[#This Row],[TIC for all enroute stations]])</f>
        <v>13935.22445775557</v>
      </c>
      <c r="BQ87" s="99">
        <f>Table5[[#This Row],[Indirect labor costs{Idl}33]]+Table5[[#This Row],[Direct labor costs{dL}22]]+Table5[[#This Row],[O&amp;Mc6]]</f>
        <v>25444.992233219593</v>
      </c>
      <c r="BR87" s="99">
        <f>Table5[[#This Row],[Non energy cost for compressor(NE)7]]/(0.9*365*Table5[[#This Row],[Daily Hydrogen Demand{mH2}(kg/day)]])</f>
        <v>2.5819373143804764E-3</v>
      </c>
      <c r="BS87" s="99">
        <f>Table5[[#This Row],[Total rated compressor power of all enroute stations(W)]]*0.306*24*365</f>
        <v>39138982.891980194</v>
      </c>
      <c r="BT87" s="99">
        <f>Table5[[#This Row],[Annual energy cost for compression for all enroute compressors(€/yr)]]/(0.9*365*Table5[[#This Row],[Daily Hydrogen Demand{mH2}(kg/day)]]*1000)</f>
        <v>3.9714848190746015E-3</v>
      </c>
      <c r="BU87" s="99">
        <f>Table5[[#This Row],[LCOHT,E10]]+Table5[[#This Row],[LCOHT,NE8]]+Table5[[#This Row],[LCOHT,invest for all enroute stations]]</f>
        <v>1.1312237661951701E-2</v>
      </c>
      <c r="BV87" s="99">
        <f>Table5[[#This Row],[LOCHT,pipe,C2(of all enroute stations)]]+Table5[[#This Row],[LOCHT,pipe,C1(Inlet compressor)]]+Table5[[#This Row],[LCOHT,pipe(€/kg)]]</f>
        <v>3.9006340980332754</v>
      </c>
      <c r="BW87" s="110">
        <f>0.738853503184714-Table5[[#This Row],[LCOHT,pipeline]]</f>
        <v>-3.1617805948485613</v>
      </c>
    </row>
    <row r="88" spans="1:82">
      <c r="A88">
        <f>200</f>
        <v>200</v>
      </c>
      <c r="B88">
        <v>30000</v>
      </c>
      <c r="C88">
        <f>Table5[[#This Row],[Total Installation Costs{TIC}(€)]]+Table5[[#This Row],[Indirect Costs{Id}]]</f>
        <v>402920000</v>
      </c>
      <c r="D88">
        <f t="shared" si="2"/>
        <v>287800000</v>
      </c>
      <c r="E88">
        <f t="shared" si="12"/>
        <v>115120000</v>
      </c>
      <c r="F88" s="3">
        <v>575.6</v>
      </c>
      <c r="G88">
        <v>500</v>
      </c>
      <c r="H88">
        <f t="shared" si="37"/>
        <v>166252.20120114693</v>
      </c>
      <c r="I88">
        <f t="shared" si="38"/>
        <v>110834.80080076463</v>
      </c>
      <c r="J88">
        <f t="shared" si="39"/>
        <v>55417.400400382314</v>
      </c>
      <c r="K88">
        <f t="shared" si="40"/>
        <v>6157.4889333758128</v>
      </c>
      <c r="L88">
        <v>18</v>
      </c>
      <c r="M88">
        <f t="shared" si="41"/>
        <v>10475920</v>
      </c>
      <c r="N88">
        <f t="shared" si="42"/>
        <v>10642172.201201146</v>
      </c>
      <c r="O88">
        <f t="shared" si="43"/>
        <v>8.174285816161557E-2</v>
      </c>
      <c r="P88">
        <v>0.9</v>
      </c>
      <c r="Q88">
        <f t="shared" si="10"/>
        <v>3.3420428625548602</v>
      </c>
      <c r="R88">
        <f t="shared" si="0"/>
        <v>1.0798754136175694</v>
      </c>
      <c r="S88">
        <f t="shared" si="44"/>
        <v>4.4219182761724296</v>
      </c>
      <c r="T88" s="64">
        <v>2</v>
      </c>
      <c r="U88" s="64">
        <v>381.35408266399998</v>
      </c>
      <c r="V88" s="64">
        <f>Table5[[#This Row],[Daily Hydrogen Demand{mH2}(kg/day)]]/(0.002*24*60*60)</f>
        <v>173.61111111111111</v>
      </c>
      <c r="W88" s="64">
        <f>Table5[[#This Row],[No of compressor stages{N}]]
* Table5[[#This Row],[Molar flow{qM}(moles/sec)]]
* 8.314
* 305.15*1.024
* (1.41 / (1.41 - 1))
* (POWER(3.5, 0.14539007 / Table5[[#This Row],[No of compressor stages{N}]]) - 1)
/ 0.8</f>
        <v>369722.07437326177</v>
      </c>
      <c r="X88" s="64">
        <f>(Table5[[#This Row],[Compressor Power{P}]]/(0.95*1000))</f>
        <v>389.18113091922294</v>
      </c>
      <c r="Y88" s="64">
        <f>2655.97*POWER(Table5[[#This Row],[Rated compressor power{Pc}]],0.8335)*2</f>
        <v>765851.67401262943</v>
      </c>
      <c r="Z88" s="64">
        <f>0.4*Table5[[#This Row],[Total Installation cost for pipeline compressor {TIC}]]</f>
        <v>306340.66960505181</v>
      </c>
      <c r="AA88" s="64">
        <f>Table5[[#This Row],[Indirect costs associated with installation{Id}]]+Table5[[#This Row],[Total Installation cost for pipeline compressor {TIC}]]</f>
        <v>1072192.3436176812</v>
      </c>
      <c r="AB88" s="64">
        <f>(Table5[[#This Row],[Investment cost for inlet compressor(Invest)]]*0.1668295449)/(0.9*Table5[[#This Row],[Daily Hydrogen Demand{mH2}(kg/day)]]*365)</f>
        <v>1.8150518592694283E-2</v>
      </c>
      <c r="AC88" s="64">
        <f>Table5[[#This Row],[No of annual hours{Ann}4]]*Table5[[#This Row],[Hourly salary {S}(€/h)5]]</f>
        <v>3836.5892584880066</v>
      </c>
      <c r="AD88" s="64">
        <f>0.5*Table5[[#This Row],[Direct labor costs{dL}2]]</f>
        <v>1918.2946292440033</v>
      </c>
      <c r="AE88" s="64">
        <f>POWER(Table5[[#This Row],[Daily Hydrogen Demand{mH2}(kg/day)]]/100000,0.25)*288</f>
        <v>213.14384769377816</v>
      </c>
      <c r="AF88" s="64">
        <v>18</v>
      </c>
      <c r="AG88" s="64">
        <f>(0.021*Table5[[#This Row],[Investment cost for inlet compressor(Invest)]])+(0.04*Table5[[#This Row],[Total Installation cost for pipeline compressor {TIC}]])</f>
        <v>53150.106176476482</v>
      </c>
      <c r="AH88" s="64">
        <f>Table5[[#This Row],[O&amp;Mc]]+Table5[[#This Row],[Indirect labor costs{Idl}3]]+Table5[[#This Row],[Direct labor costs{dL}2]]</f>
        <v>58904.99006420849</v>
      </c>
      <c r="AI88" s="64">
        <f>(Table5[[#This Row],[Non energy cost for compressor(NE)]])/(0.9*Table5[[#This Row],[Daily Hydrogen Demand{mH2}(kg/day)]]*365)</f>
        <v>5.9771679415736674E-3</v>
      </c>
      <c r="AJ88" s="64">
        <f>Table5[[#This Row],[Rated compressor power{Pc}]] * 0.306 * 24 * 365</f>
        <v>1043223.3722968322</v>
      </c>
      <c r="AK88" s="64">
        <f>(Table5[[#This Row],[Annual energy cost for compression(Ec)(€)]])/(0.9*Table5[[#This Row],[Daily Hydrogen Demand{mH2}(kg/day)]]*365*1000)</f>
        <v>1.0585726761002863E-4</v>
      </c>
      <c r="AL88" s="64">
        <f>Table5[[#This Row],[LCOHT,E]]+Table5[[#This Row],[LCOHT,NE]]+Table5[[#This Row],[LCOHT,invest,(for inlet compressor)]]</f>
        <v>2.423354380187798E-2</v>
      </c>
      <c r="AM88" s="64">
        <v>2</v>
      </c>
      <c r="AN88" s="64">
        <v>345.36764970000002</v>
      </c>
      <c r="AO88" s="64">
        <f>Table5[[#This Row],[Daily Hydrogen Demand{mH2}(kg/day)]]/(0.002*24*60*60)</f>
        <v>173.61111111111111</v>
      </c>
      <c r="AP88" s="94">
        <f>Table5[[#This Row],[Daily Hydrogen Demand{mH2}(kg/day)]]/0.0849318059972404</f>
        <v>353224.56231502671</v>
      </c>
      <c r="AQ88" s="94">
        <f>Table5[[#This Row],[Mass flow rate{Qb} (m3/day)]] * (20 / 1.01) *(288.15 / 288)</f>
        <v>6998188.7810145039</v>
      </c>
      <c r="AR88" s="94">
        <f>Table5[[#This Row],[Mass flow rate(Sm3/day)]]*0.0834</f>
        <v>583648.94433660968</v>
      </c>
      <c r="AS88" s="94">
        <f>Table5[[#This Row],[Capacity,pipe2]]/(0.002*24*60*60)</f>
        <v>3377.5980575035287</v>
      </c>
      <c r="AT88" s="94">
        <f>(14.737*1.01*1.0006043620884*288*Table5[[#This Row],[Mass flow rate(Sm3/day)]])/(288.15*70*Table5[[#This Row],[Diameter of pipeline(mm)]]*Table5[[#This Row],[Diameter of pipeline(mm)]]*0.001*0.001*24*60*60)</f>
        <v>430.60651155616642</v>
      </c>
      <c r="AU88" s="96">
        <f t="shared" si="1"/>
        <v>4.015425723958442E-5</v>
      </c>
      <c r="AV88" s="94">
        <f>(4.58*Table5[[#This Row],[Velocity of hydrogen{v}(m/sec)]]*Table5[[#This Row],[Diameter of pipeline(mm)]]*0.001)/Table5[[#This Row],[μ]]</f>
        <v>9823007.3646241035</v>
      </c>
      <c r="AW88" s="109">
        <v>9.4000000000000004E-3</v>
      </c>
      <c r="AX88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9978.4831968648323</v>
      </c>
      <c r="AY88" s="94">
        <f>70-Table5[[#This Row],[Pressure drop (Δp) (bar)]]</f>
        <v>-9908.4831968648323</v>
      </c>
      <c r="AZ88" s="65">
        <f xml:space="preserve"> (Table5[[#This Row],[N]] *Table5[[#This Row],[qM**]]* 8.314 * 293.15 * (1.02776828999228/0.8) * (1.41 / (1.41 - 1)) * (POWER(3.5, 0.14539007 / Table5[[#This Row],[N]]) - 1))</f>
        <v>6935497.3862516005</v>
      </c>
      <c r="BA88" s="64">
        <f>Table5[[#This Row],[Compressor Power]]/(0.95*1000)</f>
        <v>7300.5235644753693</v>
      </c>
      <c r="BB88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88" s="65">
        <v>2</v>
      </c>
      <c r="BD88" s="64">
        <f>Table5[[#This Row],[Rated compressor power for single station]]*Table5[[#This Row],[No of enroute compressor stations]]</f>
        <v>14601.047128950739</v>
      </c>
      <c r="BE88" s="64">
        <f>Table5[[#This Row],[Rated compressor power for single station]]/16000</f>
        <v>0.4562827227797106</v>
      </c>
      <c r="BF88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220034.34651541809</v>
      </c>
      <c r="BG88" s="64">
        <f>Table5[[#This Row],[UC for single enroute station]]*2</f>
        <v>440068.69303083618</v>
      </c>
      <c r="BH88" s="64">
        <f>Table5[[#This Row],[TIC for single enroute station]]*Table5[[#This Row],[No of compressors at single enroute station]]</f>
        <v>200795.74146621858</v>
      </c>
      <c r="BI88" s="21">
        <f>0.4*Table5[[#This Row],[TIC for all enroute stations]]</f>
        <v>80318.296586487442</v>
      </c>
      <c r="BJ88" s="100">
        <f>Table5[[#This Row],[TIC for all enroute stations]]+Table5[[#This Row],[Indirect costs for all enroute stations]]</f>
        <v>281114.03805270605</v>
      </c>
      <c r="BK88" s="100">
        <f>(Table5[[#This Row],[Investment cost for all enroute stations]]*0.1668295449)/(0.9*365*Table5[[#This Row],[Daily Hydrogen Demand{mH2}(kg/day)]])</f>
        <v>4.7588155284966236E-3</v>
      </c>
      <c r="BL88" s="100">
        <f>Table5[[#This Row],[No of enroute compressor stations]]*Table5[[#This Row],[No of annual hours{Ann}44]]*Table5[[#This Row],[Hourly salary {S}(€/h)55]]</f>
        <v>7673.1785169760133</v>
      </c>
      <c r="BM88" s="100">
        <f>0.5*Table5[[#This Row],[Direct labor costs{dL}22]]</f>
        <v>3836.5892584880066</v>
      </c>
      <c r="BN88" s="64">
        <f>POWER(Table5[[#This Row],[Daily Hydrogen Demand{mH2}(kg/day)]]/100000,0.25)*288</f>
        <v>213.14384769377816</v>
      </c>
      <c r="BO88" s="64">
        <v>18</v>
      </c>
      <c r="BP88" s="100">
        <f>(0.021*Table5[[#This Row],[Investment cost for all enroute stations]])+(0.04*Table5[[#This Row],[TIC for all enroute stations]])</f>
        <v>13935.22445775557</v>
      </c>
      <c r="BQ88" s="100">
        <f>Table5[[#This Row],[Indirect labor costs{Idl}33]]+Table5[[#This Row],[Direct labor costs{dL}22]]+Table5[[#This Row],[O&amp;Mc6]]</f>
        <v>25444.992233219593</v>
      </c>
      <c r="BR88" s="100">
        <f>Table5[[#This Row],[Non energy cost for compressor(NE)7]]/(0.9*365*Table5[[#This Row],[Daily Hydrogen Demand{mH2}(kg/day)]])</f>
        <v>2.5819373143804764E-3</v>
      </c>
      <c r="BS88" s="100">
        <f>Table5[[#This Row],[Total rated compressor power of all enroute stations(W)]]*0.306*24*365</f>
        <v>39138982.891980194</v>
      </c>
      <c r="BT88" s="100">
        <f>Table5[[#This Row],[Annual energy cost for compression for all enroute compressors(€/yr)]]/(0.9*365*Table5[[#This Row],[Daily Hydrogen Demand{mH2}(kg/day)]]*1000)</f>
        <v>3.9714848190746015E-3</v>
      </c>
      <c r="BU88" s="100">
        <f>Table5[[#This Row],[LCOHT,E10]]+Table5[[#This Row],[LCOHT,NE8]]+Table5[[#This Row],[LCOHT,invest for all enroute stations]]</f>
        <v>1.1312237661951701E-2</v>
      </c>
      <c r="BV88" s="100">
        <f>Table5[[#This Row],[LOCHT,pipe,C2(of all enroute stations)]]+Table5[[#This Row],[LOCHT,pipe,C1(Inlet compressor)]]+Table5[[#This Row],[LCOHT,pipe(€/kg)]]</f>
        <v>4.4574640576362592</v>
      </c>
      <c r="BW88" s="110">
        <f>0.738853503184714-Table5[[#This Row],[LCOHT,pipeline]]</f>
        <v>-3.7186105544515451</v>
      </c>
    </row>
    <row r="89" spans="1:82">
      <c r="A89">
        <v>150</v>
      </c>
      <c r="B89">
        <v>100000</v>
      </c>
      <c r="C89">
        <f>Table5[[#This Row],[Total Installation Costs{TIC}(€)]]+Table5[[#This Row],[Indirect Costs{Id}]]</f>
        <v>351988000</v>
      </c>
      <c r="D89">
        <f t="shared" si="2"/>
        <v>251420000</v>
      </c>
      <c r="E89">
        <f t="shared" si="12"/>
        <v>100568000</v>
      </c>
      <c r="F89" s="3">
        <v>502.84</v>
      </c>
      <c r="G89">
        <v>500</v>
      </c>
      <c r="H89">
        <f t="shared" si="37"/>
        <v>224640</v>
      </c>
      <c r="I89">
        <f t="shared" si="38"/>
        <v>149760</v>
      </c>
      <c r="J89">
        <f t="shared" si="39"/>
        <v>74880</v>
      </c>
      <c r="K89">
        <f t="shared" si="40"/>
        <v>8320</v>
      </c>
      <c r="L89">
        <v>18</v>
      </c>
      <c r="M89">
        <f t="shared" si="41"/>
        <v>9151688</v>
      </c>
      <c r="N89">
        <f t="shared" si="42"/>
        <v>9376328</v>
      </c>
      <c r="O89">
        <f t="shared" si="43"/>
        <v>8.174285816161557E-2</v>
      </c>
      <c r="P89">
        <v>0.9</v>
      </c>
      <c r="Q89">
        <f t="shared" si="10"/>
        <v>0.87587534729347771</v>
      </c>
      <c r="R89">
        <f t="shared" si="0"/>
        <v>0.28542855403348555</v>
      </c>
      <c r="S89">
        <f t="shared" si="44"/>
        <v>1.1613039013269633</v>
      </c>
      <c r="T89" s="64">
        <v>2</v>
      </c>
      <c r="U89" s="64">
        <v>381.35408266399998</v>
      </c>
      <c r="V89" s="64">
        <f>Table5[[#This Row],[Daily Hydrogen Demand{mH2}(kg/day)]]/(0.002*24*60*60)</f>
        <v>578.70370370370381</v>
      </c>
      <c r="W89" s="64">
        <f>Table5[[#This Row],[No of compressor stages{N}]]
* Table5[[#This Row],[Molar flow{qM}(moles/sec)]]
* 8.314
* 305.15*1.024
* (1.41 / (1.41 - 1))
* (POWER(3.5, 0.14539007 / Table5[[#This Row],[No of compressor stages{N}]]) - 1)
/ 0.8</f>
        <v>1232406.9145775391</v>
      </c>
      <c r="X89" s="64">
        <f>(Table5[[#This Row],[Compressor Power{P}]]/(0.95*1000))</f>
        <v>1297.2704363974096</v>
      </c>
      <c r="Y89" s="64">
        <f>2655.97*POWER(Table5[[#This Row],[Rated compressor power{Pc}]],0.8335)*2</f>
        <v>2089123.4317526598</v>
      </c>
      <c r="Z89" s="64">
        <f>0.4*Table5[[#This Row],[Total Installation cost for pipeline compressor {TIC}]]</f>
        <v>835649.37270106399</v>
      </c>
      <c r="AA89" s="64">
        <f>Table5[[#This Row],[Indirect costs associated with installation{Id}]]+Table5[[#This Row],[Total Installation cost for pipeline compressor {TIC}]]</f>
        <v>2924772.8044537241</v>
      </c>
      <c r="AB89" s="64">
        <f>(Table5[[#This Row],[Investment cost for inlet compressor(Invest)]]*0.1668295449)/(0.9*Table5[[#This Row],[Daily Hydrogen Demand{mH2}(kg/day)]]*365)</f>
        <v>1.4853531686542205E-2</v>
      </c>
      <c r="AC89" s="64">
        <f>Table5[[#This Row],[No of annual hours{Ann}4]]*Table5[[#This Row],[Hourly salary {S}(€/h)5]]</f>
        <v>5184</v>
      </c>
      <c r="AD89" s="64">
        <f>0.5*Table5[[#This Row],[Direct labor costs{dL}2]]</f>
        <v>2592</v>
      </c>
      <c r="AE89" s="64">
        <f>POWER(Table5[[#This Row],[Daily Hydrogen Demand{mH2}(kg/day)]]/100000,0.25)*288</f>
        <v>288</v>
      </c>
      <c r="AF89" s="64">
        <v>18</v>
      </c>
      <c r="AG89" s="64">
        <f>(0.021*Table5[[#This Row],[Investment cost for inlet compressor(Invest)]])+(0.04*Table5[[#This Row],[Total Installation cost for pipeline compressor {TIC}]])</f>
        <v>144985.16616363463</v>
      </c>
      <c r="AH89" s="64">
        <f>Table5[[#This Row],[O&amp;Mc]]+Table5[[#This Row],[Indirect labor costs{Idl}3]]+Table5[[#This Row],[Direct labor costs{dL}2]]</f>
        <v>152761.16616363463</v>
      </c>
      <c r="AI89" s="64">
        <f>(Table5[[#This Row],[Non energy cost for compressor(NE)]])/(0.9*Table5[[#This Row],[Daily Hydrogen Demand{mH2}(kg/day)]]*365)</f>
        <v>4.6502638101563049E-3</v>
      </c>
      <c r="AJ89" s="64">
        <f>Table5[[#This Row],[Rated compressor power{Pc}]] * 0.306 * 24 * 365</f>
        <v>3477411.2409894406</v>
      </c>
      <c r="AK89" s="64">
        <f>(Table5[[#This Row],[Annual energy cost for compression(Ec)(€)]])/(0.9*Table5[[#This Row],[Daily Hydrogen Demand{mH2}(kg/day)]]*365*1000)</f>
        <v>1.0585726761002863E-4</v>
      </c>
      <c r="AL89" s="64">
        <f>Table5[[#This Row],[LCOHT,E]]+Table5[[#This Row],[LCOHT,NE]]+Table5[[#This Row],[LCOHT,invest,(for inlet compressor)]]</f>
        <v>1.9609652764308538E-2</v>
      </c>
      <c r="AM89" s="64">
        <v>2</v>
      </c>
      <c r="AN89" s="64">
        <v>345.36764970000002</v>
      </c>
      <c r="AO89" s="64">
        <f>Table5[[#This Row],[Daily Hydrogen Demand{mH2}(kg/day)]]/(0.002*24*60*60)</f>
        <v>578.70370370370381</v>
      </c>
      <c r="AP89" s="94">
        <f>Table5[[#This Row],[Daily Hydrogen Demand{mH2}(kg/day)]]/0.0849318059972404</f>
        <v>1177415.2077167556</v>
      </c>
      <c r="AQ89" s="94">
        <f>Table5[[#This Row],[Mass flow rate{Qb} (m3/day)]] * (20 / 1.01) *(288.15 / 288)</f>
        <v>23327295.936715011</v>
      </c>
      <c r="AR89" s="94">
        <f>Table5[[#This Row],[Mass flow rate(Sm3/day)]]*0.0834</f>
        <v>1945496.481122032</v>
      </c>
      <c r="AS89" s="94">
        <f>Table5[[#This Row],[Capacity,pipe2]]/(0.002*24*60*60)</f>
        <v>11258.660191678428</v>
      </c>
      <c r="AT89" s="94">
        <f>(14.737*1.01*1.0006043620884*288*Table5[[#This Row],[Mass flow rate(Sm3/day)]])/(288.15*70*Table5[[#This Row],[Diameter of pipeline(mm)]]*Table5[[#This Row],[Diameter of pipeline(mm)]]*0.001*0.001*24*60*60)</f>
        <v>2551.7422907032083</v>
      </c>
      <c r="AU89" s="96">
        <f t="shared" si="1"/>
        <v>4.015425723958442E-5</v>
      </c>
      <c r="AV89" s="94">
        <f>(4.58*Table5[[#This Row],[Velocity of hydrogen{v}(m/sec)]]*Table5[[#This Row],[Diameter of pipeline(mm)]]*0.001)/Table5[[#This Row],[μ]]</f>
        <v>43657810.509440452</v>
      </c>
      <c r="AW89" s="109">
        <v>9.4000000000000004E-3</v>
      </c>
      <c r="AX89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467213.84515727416</v>
      </c>
      <c r="AY89" s="94">
        <f>70-Table5[[#This Row],[Pressure drop (Δp) (bar)]]</f>
        <v>-467143.84515727416</v>
      </c>
      <c r="AZ89" s="65">
        <f xml:space="preserve"> (Table5[[#This Row],[N]] *Table5[[#This Row],[qM**]]* 8.314 * 293.15 * (1.02776828999228/0.8) * (1.41 / (1.41 - 1)) * (POWER(3.5, 0.14539007 / Table5[[#This Row],[N]]) - 1))</f>
        <v>23118324.620838672</v>
      </c>
      <c r="BA89" s="64">
        <f>Table5[[#This Row],[Compressor Power]]/(0.95*1000)</f>
        <v>24335.078548251233</v>
      </c>
      <c r="BB89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0</v>
      </c>
      <c r="BC89" s="65">
        <v>2</v>
      </c>
      <c r="BD89" s="64">
        <f>Table5[[#This Row],[Rated compressor power for single station]]*Table5[[#This Row],[No of enroute compressor stations]]</f>
        <v>48670.157096502466</v>
      </c>
      <c r="BE89" s="64">
        <f>Table5[[#This Row],[Rated compressor power for single station]]/16000</f>
        <v>1.520942409265702</v>
      </c>
      <c r="BF89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14169709.090325901</v>
      </c>
      <c r="BG89" s="64">
        <f>Table5[[#This Row],[UC for single enroute station]]*2</f>
        <v>28339418.180651803</v>
      </c>
      <c r="BH89" s="64">
        <f>Table5[[#This Row],[TIC for single enroute station]]*Table5[[#This Row],[No of compressors at single enroute station]]</f>
        <v>43102622.964868791</v>
      </c>
      <c r="BI89" s="98">
        <f>0.4*Table5[[#This Row],[TIC for all enroute stations]]</f>
        <v>17241049.185947519</v>
      </c>
      <c r="BJ89" s="99">
        <f>Table5[[#This Row],[TIC for all enroute stations]]+Table5[[#This Row],[Indirect costs for all enroute stations]]</f>
        <v>60343672.150816306</v>
      </c>
      <c r="BK89" s="99">
        <f>(Table5[[#This Row],[Investment cost for all enroute stations]]*0.1668295449)/(0.9*365*Table5[[#This Row],[Daily Hydrogen Demand{mH2}(kg/day)]])</f>
        <v>0.30645684512984744</v>
      </c>
      <c r="BL89" s="99">
        <f>Table5[[#This Row],[No of enroute compressor stations]]*Table5[[#This Row],[No of annual hours{Ann}44]]*Table5[[#This Row],[Hourly salary {S}(€/h)55]]</f>
        <v>10368</v>
      </c>
      <c r="BM89" s="99">
        <f>0.5*Table5[[#This Row],[Direct labor costs{dL}22]]</f>
        <v>5184</v>
      </c>
      <c r="BN89" s="64">
        <f>POWER(Table5[[#This Row],[Daily Hydrogen Demand{mH2}(kg/day)]]/100000,0.25)*288</f>
        <v>288</v>
      </c>
      <c r="BO89" s="64">
        <v>18</v>
      </c>
      <c r="BP89" s="99">
        <f>(0.021*Table5[[#This Row],[Investment cost for all enroute stations]])+(0.04*Table5[[#This Row],[TIC for all enroute stations]])</f>
        <v>2991322.0337618943</v>
      </c>
      <c r="BQ89" s="99">
        <f>Table5[[#This Row],[Indirect labor costs{Idl}33]]+Table5[[#This Row],[Direct labor costs{dL}22]]+Table5[[#This Row],[O&amp;Mc6]]</f>
        <v>3006874.0337618943</v>
      </c>
      <c r="BR89" s="99">
        <f>Table5[[#This Row],[Non energy cost for compressor(NE)7]]/(0.9*365*Table5[[#This Row],[Daily Hydrogen Demand{mH2}(kg/day)]])</f>
        <v>9.1533456126693891E-2</v>
      </c>
      <c r="BS89" s="99">
        <f>Table5[[#This Row],[Total rated compressor power of all enroute stations(W)]]*0.306*24*365</f>
        <v>130463276.30660065</v>
      </c>
      <c r="BT89" s="99">
        <f>Table5[[#This Row],[Annual energy cost for compression for all enroute compressors(€/yr)]]/(0.9*365*Table5[[#This Row],[Daily Hydrogen Demand{mH2}(kg/day)]]*1000)</f>
        <v>3.9714848190746015E-3</v>
      </c>
      <c r="BU89" s="99">
        <f>Table5[[#This Row],[LCOHT,E10]]+Table5[[#This Row],[LCOHT,NE8]]+Table5[[#This Row],[LCOHT,invest for all enroute stations]]</f>
        <v>0.40196178607561595</v>
      </c>
      <c r="BV89" s="99">
        <f>Table5[[#This Row],[LOCHT,pipe,C2(of all enroute stations)]]+Table5[[#This Row],[LOCHT,pipe,C1(Inlet compressor)]]+Table5[[#This Row],[LCOHT,pipe(€/kg)]]</f>
        <v>1.5828753401668878</v>
      </c>
      <c r="BW89" s="110">
        <f>0.738853503184714-Table5[[#This Row],[LCOHT,pipeline]]</f>
        <v>-0.84402183698217381</v>
      </c>
    </row>
    <row r="90" spans="1:82">
      <c r="A90">
        <v>200</v>
      </c>
      <c r="B90">
        <v>100000</v>
      </c>
      <c r="C90">
        <f>Table5[[#This Row],[Total Installation Costs{TIC}(€)]]+Table5[[#This Row],[Indirect Costs{Id}]]</f>
        <v>402920000</v>
      </c>
      <c r="D90">
        <f t="shared" si="2"/>
        <v>287800000</v>
      </c>
      <c r="E90">
        <f t="shared" si="12"/>
        <v>115120000</v>
      </c>
      <c r="F90" s="3">
        <v>575.6</v>
      </c>
      <c r="G90">
        <v>500</v>
      </c>
      <c r="H90">
        <f t="shared" si="37"/>
        <v>224640</v>
      </c>
      <c r="I90">
        <f t="shared" si="38"/>
        <v>149760</v>
      </c>
      <c r="J90">
        <f t="shared" si="39"/>
        <v>74880</v>
      </c>
      <c r="K90">
        <f t="shared" si="40"/>
        <v>8320</v>
      </c>
      <c r="L90">
        <v>18</v>
      </c>
      <c r="M90">
        <f t="shared" si="41"/>
        <v>10475920</v>
      </c>
      <c r="N90">
        <f t="shared" si="42"/>
        <v>10700560</v>
      </c>
      <c r="O90">
        <f t="shared" si="43"/>
        <v>8.174285816161557E-2</v>
      </c>
      <c r="P90">
        <v>0.9</v>
      </c>
      <c r="Q90">
        <f t="shared" si="10"/>
        <v>1.002612858766458</v>
      </c>
      <c r="R90">
        <f t="shared" si="0"/>
        <v>0.32574003044140032</v>
      </c>
      <c r="S90">
        <f t="shared" si="44"/>
        <v>1.3283528892078582</v>
      </c>
      <c r="T90" s="64">
        <v>2</v>
      </c>
      <c r="U90" s="64">
        <v>381.35408266399998</v>
      </c>
      <c r="V90" s="64">
        <f>Table5[[#This Row],[Daily Hydrogen Demand{mH2}(kg/day)]]/(0.002*24*60*60)</f>
        <v>578.70370370370381</v>
      </c>
      <c r="W90" s="64">
        <f>Table5[[#This Row],[No of compressor stages{N}]]
* Table5[[#This Row],[Molar flow{qM}(moles/sec)]]
* 8.314
* 305.15*1.024
* (1.41 / (1.41 - 1))
* (POWER(3.5, 0.14539007 / Table5[[#This Row],[No of compressor stages{N}]]) - 1)
/ 0.8</f>
        <v>1232406.9145775391</v>
      </c>
      <c r="X90" s="64">
        <f>(Table5[[#This Row],[Compressor Power{P}]]/(0.95*1000))</f>
        <v>1297.2704363974096</v>
      </c>
      <c r="Y90" s="64">
        <f>2655.97*POWER(Table5[[#This Row],[Rated compressor power{Pc}]],0.8335)*2</f>
        <v>2089123.4317526598</v>
      </c>
      <c r="Z90" s="64">
        <f>0.4*Table5[[#This Row],[Total Installation cost for pipeline compressor {TIC}]]</f>
        <v>835649.37270106399</v>
      </c>
      <c r="AA90" s="64">
        <f>Table5[[#This Row],[Indirect costs associated with installation{Id}]]+Table5[[#This Row],[Total Installation cost for pipeline compressor {TIC}]]</f>
        <v>2924772.8044537241</v>
      </c>
      <c r="AB90" s="64">
        <f>(Table5[[#This Row],[Investment cost for inlet compressor(Invest)]]*0.1668295449)/(0.9*Table5[[#This Row],[Daily Hydrogen Demand{mH2}(kg/day)]]*365)</f>
        <v>1.4853531686542205E-2</v>
      </c>
      <c r="AC90" s="64">
        <f>Table5[[#This Row],[No of annual hours{Ann}4]]*Table5[[#This Row],[Hourly salary {S}(€/h)5]]</f>
        <v>5184</v>
      </c>
      <c r="AD90" s="64">
        <f>0.5*Table5[[#This Row],[Direct labor costs{dL}2]]</f>
        <v>2592</v>
      </c>
      <c r="AE90" s="64">
        <f>POWER(Table5[[#This Row],[Daily Hydrogen Demand{mH2}(kg/day)]]/100000,0.25)*288</f>
        <v>288</v>
      </c>
      <c r="AF90" s="64">
        <v>18</v>
      </c>
      <c r="AG90" s="64">
        <f>(0.021*Table5[[#This Row],[Investment cost for inlet compressor(Invest)]])+(0.04*Table5[[#This Row],[Total Installation cost for pipeline compressor {TIC}]])</f>
        <v>144985.16616363463</v>
      </c>
      <c r="AH90" s="64">
        <f>Table5[[#This Row],[O&amp;Mc]]+Table5[[#This Row],[Indirect labor costs{Idl}3]]+Table5[[#This Row],[Direct labor costs{dL}2]]</f>
        <v>152761.16616363463</v>
      </c>
      <c r="AI90" s="64">
        <f>(Table5[[#This Row],[Non energy cost for compressor(NE)]])/(0.9*Table5[[#This Row],[Daily Hydrogen Demand{mH2}(kg/day)]]*365)</f>
        <v>4.6502638101563049E-3</v>
      </c>
      <c r="AJ90" s="64">
        <f>Table5[[#This Row],[Rated compressor power{Pc}]] * 0.306 * 24 * 365</f>
        <v>3477411.2409894406</v>
      </c>
      <c r="AK90" s="64">
        <f>(Table5[[#This Row],[Annual energy cost for compression(Ec)(€)]])/(0.9*Table5[[#This Row],[Daily Hydrogen Demand{mH2}(kg/day)]]*365*1000)</f>
        <v>1.0585726761002863E-4</v>
      </c>
      <c r="AL90" s="64">
        <f>Table5[[#This Row],[LCOHT,E]]+Table5[[#This Row],[LCOHT,NE]]+Table5[[#This Row],[LCOHT,invest,(for inlet compressor)]]</f>
        <v>1.9609652764308538E-2</v>
      </c>
      <c r="AM90" s="64">
        <v>2</v>
      </c>
      <c r="AN90" s="64">
        <v>345.36764970000002</v>
      </c>
      <c r="AO90" s="64">
        <f>Table5[[#This Row],[Daily Hydrogen Demand{mH2}(kg/day)]]/(0.002*24*60*60)</f>
        <v>578.70370370370381</v>
      </c>
      <c r="AP90" s="94">
        <f>Table5[[#This Row],[Daily Hydrogen Demand{mH2}(kg/day)]]/0.0849318059972404</f>
        <v>1177415.2077167556</v>
      </c>
      <c r="AQ90" s="94">
        <f>Table5[[#This Row],[Mass flow rate{Qb} (m3/day)]] * (20 / 1.01) *(288.15 / 288)</f>
        <v>23327295.936715011</v>
      </c>
      <c r="AR90" s="94">
        <f>Table5[[#This Row],[Mass flow rate(Sm3/day)]]*0.0834</f>
        <v>1945496.481122032</v>
      </c>
      <c r="AS90" s="94">
        <f>Table5[[#This Row],[Capacity,pipe2]]/(0.002*24*60*60)</f>
        <v>11258.660191678428</v>
      </c>
      <c r="AT90" s="94">
        <f>(14.737*1.01*1.0006043620884*288*Table5[[#This Row],[Mass flow rate(Sm3/day)]])/(288.15*70*Table5[[#This Row],[Diameter of pipeline(mm)]]*Table5[[#This Row],[Diameter of pipeline(mm)]]*0.001*0.001*24*60*60)</f>
        <v>1435.3550385205547</v>
      </c>
      <c r="AU90" s="96">
        <f t="shared" si="1"/>
        <v>4.015425723958442E-5</v>
      </c>
      <c r="AV90" s="94">
        <f>(4.58*Table5[[#This Row],[Velocity of hydrogen{v}(m/sec)]]*Table5[[#This Row],[Diameter of pipeline(mm)]]*0.001)/Table5[[#This Row],[μ]]</f>
        <v>32743357.882080343</v>
      </c>
      <c r="AW90" s="109">
        <v>9.4000000000000004E-3</v>
      </c>
      <c r="AX90" s="94">
        <f>Table5[[#This Row],[Friction factor {f}**]]*(Table5[[#This Row],[Length of pipeline {L}(km)]]*1000*4.58*Table5[[#This Row],[Velocity of hydrogen{v}(m/sec)]]*Table5[[#This Row],[Velocity of hydrogen{v}(m/sec)]])/(2*Table5[[#This Row],[Diameter of pipeline(mm)]]*0.001)/1000000</f>
        <v>110872.03552072034</v>
      </c>
      <c r="AY90" s="94">
        <f>70-Table5[[#This Row],[Pressure drop (Δp) (bar)]]</f>
        <v>-110802.03552072034</v>
      </c>
      <c r="AZ90" s="65">
        <f xml:space="preserve"> (Table5[[#This Row],[N]] *Table5[[#This Row],[qM**]]* 8.314 * 293.15 * (1.02776828999228/0.8) * (1.41 / (1.41 - 1)) * (POWER(3.5, 0.14539007 / Table5[[#This Row],[N]]) - 1))</f>
        <v>23118324.620838672</v>
      </c>
      <c r="BA90" s="64">
        <f>Table5[[#This Row],[Compressor Power]]/(0.95*1000)</f>
        <v>24335.078548251233</v>
      </c>
      <c r="BB90" s="64">
        <f>IF(
  AND(Table5[[#This Row],[Diameter of pipeline(mm)]] = 100,Table5[[#This Row],[Daily Hydrogen Demand{mH2}(kg/day)]]=30000),'Compressor position'!$C$4,IF(
    AND(
      Table5[[#This Row],[Diameter of pipeline(mm)]] = 200,
      Table5[[#This Row],[Daily Hydrogen Demand{mH2}(kg/day)]] = 100000
    ),
    'Compressor position'!$C$5,
    0
  )
)</f>
        <v>355.22388059701399</v>
      </c>
      <c r="BC90" s="65">
        <v>2</v>
      </c>
      <c r="BD90" s="64">
        <f>Table5[[#This Row],[Rated compressor power for single station]]*Table5[[#This Row],[No of enroute compressor stations]]</f>
        <v>48670.157096502466</v>
      </c>
      <c r="BE90" s="64">
        <f>Table5[[#This Row],[Rated compressor power for single station]]/16000</f>
        <v>1.520942409265702</v>
      </c>
      <c r="BF90" s="64">
        <f>INT(Table5[[#This Row],[No of compressors at single enroute station]])*(2655.97*POWER(16000,0.8835)) + (2655.97*POWER(16000,Table5[[#This Row],[No of compressors at single enroute station]] - INT(Table5[[#This Row],[No of compressors at single enroute station]])))</f>
        <v>14169709.090325901</v>
      </c>
      <c r="BG90" s="64">
        <f>Table5[[#This Row],[UC for single enroute station]]*2</f>
        <v>28339418.180651803</v>
      </c>
      <c r="BH90" s="64">
        <f>Table5[[#This Row],[TIC for single enroute station]]*Table5[[#This Row],[No of compressors at single enroute station]]</f>
        <v>43102622.964868791</v>
      </c>
      <c r="BI90" s="21">
        <f>0.4*Table5[[#This Row],[TIC for all enroute stations]]</f>
        <v>17241049.185947519</v>
      </c>
      <c r="BJ90" s="100">
        <f>Table5[[#This Row],[TIC for all enroute stations]]+Table5[[#This Row],[Indirect costs for all enroute stations]]</f>
        <v>60343672.150816306</v>
      </c>
      <c r="BK90" s="100">
        <f>(Table5[[#This Row],[Investment cost for all enroute stations]]*0.1668295449)/(0.9*365*Table5[[#This Row],[Daily Hydrogen Demand{mH2}(kg/day)]])</f>
        <v>0.30645684512984744</v>
      </c>
      <c r="BL90" s="100">
        <f>Table5[[#This Row],[No of enroute compressor stations]]*Table5[[#This Row],[No of annual hours{Ann}44]]*Table5[[#This Row],[Hourly salary {S}(€/h)55]]</f>
        <v>10368</v>
      </c>
      <c r="BM90" s="100">
        <f>0.5*Table5[[#This Row],[Direct labor costs{dL}22]]</f>
        <v>5184</v>
      </c>
      <c r="BN90" s="64">
        <f>POWER(Table5[[#This Row],[Daily Hydrogen Demand{mH2}(kg/day)]]/100000,0.25)*288</f>
        <v>288</v>
      </c>
      <c r="BO90" s="64">
        <v>18</v>
      </c>
      <c r="BP90" s="100">
        <f>(0.021*Table5[[#This Row],[Investment cost for all enroute stations]])+(0.04*Table5[[#This Row],[TIC for all enroute stations]])</f>
        <v>2991322.0337618943</v>
      </c>
      <c r="BQ90" s="100">
        <f>Table5[[#This Row],[Indirect labor costs{Idl}33]]+Table5[[#This Row],[Direct labor costs{dL}22]]+Table5[[#This Row],[O&amp;Mc6]]</f>
        <v>3006874.0337618943</v>
      </c>
      <c r="BR90" s="100">
        <f>Table5[[#This Row],[Non energy cost for compressor(NE)7]]/(0.9*365*Table5[[#This Row],[Daily Hydrogen Demand{mH2}(kg/day)]])</f>
        <v>9.1533456126693891E-2</v>
      </c>
      <c r="BS90" s="100">
        <f>Table5[[#This Row],[Total rated compressor power of all enroute stations(W)]]*0.306*24*365</f>
        <v>130463276.30660065</v>
      </c>
      <c r="BT90" s="100">
        <f>Table5[[#This Row],[Annual energy cost for compression for all enroute compressors(€/yr)]]/(0.9*365*Table5[[#This Row],[Daily Hydrogen Demand{mH2}(kg/day)]]*1000)</f>
        <v>3.9714848190746015E-3</v>
      </c>
      <c r="BU90" s="100">
        <f>Table5[[#This Row],[LCOHT,E10]]+Table5[[#This Row],[LCOHT,NE8]]+Table5[[#This Row],[LCOHT,invest for all enroute stations]]</f>
        <v>0.40196178607561595</v>
      </c>
      <c r="BV90" s="100">
        <f>Table5[[#This Row],[LOCHT,pipe,C2(of all enroute stations)]]+Table5[[#This Row],[LOCHT,pipe,C1(Inlet compressor)]]+Table5[[#This Row],[LCOHT,pipe(€/kg)]]</f>
        <v>1.7499243280477828</v>
      </c>
      <c r="BW90" s="110">
        <f>0.738853503184714-Table5[[#This Row],[LCOHT,pipeline]]</f>
        <v>-1.0110708248630687</v>
      </c>
    </row>
    <row r="91" spans="1:82">
      <c r="T91" s="45"/>
      <c r="U91" s="44"/>
      <c r="V91" s="44"/>
      <c r="W91" s="45"/>
      <c r="CC91" s="45"/>
      <c r="CD91" s="45"/>
    </row>
    <row r="92" spans="1:82">
      <c r="T92" s="45"/>
      <c r="U92" s="44"/>
      <c r="V92" s="44"/>
      <c r="W92" s="45"/>
      <c r="CC92" s="45"/>
      <c r="CD92" s="45"/>
    </row>
    <row r="93" spans="1:82">
      <c r="F93" s="112" t="s">
        <v>253</v>
      </c>
      <c r="G93" s="112"/>
      <c r="H93" s="112"/>
      <c r="I93" s="112"/>
    </row>
    <row r="94" spans="1:82">
      <c r="A94" t="s">
        <v>254</v>
      </c>
      <c r="B94" t="s">
        <v>255</v>
      </c>
      <c r="C94" t="s">
        <v>256</v>
      </c>
      <c r="D94" t="s">
        <v>257</v>
      </c>
      <c r="F94" t="s">
        <v>258</v>
      </c>
      <c r="H94" t="s">
        <v>256</v>
      </c>
      <c r="I94" t="s">
        <v>257</v>
      </c>
    </row>
    <row r="95" spans="1:82" ht="29.25">
      <c r="A95" t="s">
        <v>259</v>
      </c>
      <c r="B95" s="33" t="s">
        <v>260</v>
      </c>
      <c r="F95" s="33" t="s">
        <v>261</v>
      </c>
      <c r="G95" t="s">
        <v>262</v>
      </c>
      <c r="H95" s="3" t="s">
        <v>263</v>
      </c>
      <c r="J95" s="53" t="s">
        <v>264</v>
      </c>
      <c r="O95" s="32" t="s">
        <v>265</v>
      </c>
    </row>
    <row r="96" spans="1:82" ht="57.75">
      <c r="A96" s="33" t="s">
        <v>266</v>
      </c>
      <c r="B96" s="4" t="s">
        <v>267</v>
      </c>
      <c r="C96" s="55" t="s">
        <v>268</v>
      </c>
      <c r="D96" s="33" t="s">
        <v>269</v>
      </c>
      <c r="F96" t="s">
        <v>270</v>
      </c>
      <c r="G96" t="s">
        <v>271</v>
      </c>
      <c r="O96" s="32" t="s">
        <v>272</v>
      </c>
    </row>
    <row r="97" spans="1:15" ht="29.25">
      <c r="A97" t="s">
        <v>270</v>
      </c>
      <c r="B97" t="s">
        <v>271</v>
      </c>
      <c r="F97" t="s">
        <v>273</v>
      </c>
      <c r="G97" t="s">
        <v>274</v>
      </c>
      <c r="O97" s="32" t="s">
        <v>275</v>
      </c>
    </row>
    <row r="98" spans="1:15" ht="43.5">
      <c r="A98" t="s">
        <v>276</v>
      </c>
      <c r="B98" t="s">
        <v>277</v>
      </c>
      <c r="F98" t="s">
        <v>278</v>
      </c>
      <c r="G98" t="s">
        <v>279</v>
      </c>
      <c r="H98" s="33" t="s">
        <v>280</v>
      </c>
      <c r="I98" s="30" t="s">
        <v>281</v>
      </c>
      <c r="O98" s="32" t="s">
        <v>282</v>
      </c>
    </row>
    <row r="99" spans="1:15" ht="43.5">
      <c r="A99" t="s">
        <v>283</v>
      </c>
      <c r="B99" t="s">
        <v>284</v>
      </c>
      <c r="I99" s="55" t="s">
        <v>172</v>
      </c>
      <c r="O99" s="32" t="s">
        <v>285</v>
      </c>
    </row>
    <row r="100" spans="1:15" ht="43.5">
      <c r="A100" s="52" t="s">
        <v>286</v>
      </c>
      <c r="B100" s="52"/>
      <c r="C100" s="52" t="s">
        <v>287</v>
      </c>
      <c r="F100" t="s">
        <v>288</v>
      </c>
      <c r="G100" s="62" t="s">
        <v>289</v>
      </c>
      <c r="H100" s="63" t="s">
        <v>290</v>
      </c>
      <c r="I100" s="55" t="s">
        <v>291</v>
      </c>
    </row>
    <row r="101" spans="1:15">
      <c r="A101" t="s">
        <v>292</v>
      </c>
      <c r="B101" t="s">
        <v>293</v>
      </c>
      <c r="I101" t="s">
        <v>169</v>
      </c>
      <c r="O101" s="87" t="s">
        <v>294</v>
      </c>
    </row>
    <row r="102" spans="1:15">
      <c r="A102" t="s">
        <v>295</v>
      </c>
      <c r="B102" t="s">
        <v>296</v>
      </c>
      <c r="O102" s="87" t="s">
        <v>297</v>
      </c>
    </row>
    <row r="103" spans="1:15">
      <c r="A103" t="s">
        <v>298</v>
      </c>
      <c r="B103" t="s">
        <v>299</v>
      </c>
      <c r="C103" t="s">
        <v>300</v>
      </c>
      <c r="D103" t="s">
        <v>301</v>
      </c>
      <c r="O103" s="87" t="s">
        <v>302</v>
      </c>
    </row>
    <row r="104" spans="1:15">
      <c r="A104" t="s">
        <v>303</v>
      </c>
      <c r="B104" t="s">
        <v>304</v>
      </c>
    </row>
    <row r="105" spans="1:15">
      <c r="A105" t="s">
        <v>305</v>
      </c>
      <c r="B105" t="s">
        <v>306</v>
      </c>
    </row>
  </sheetData>
  <mergeCells count="1">
    <mergeCell ref="F93:I93"/>
  </mergeCells>
  <dataValidations count="3">
    <dataValidation type="list" allowBlank="1" showInputMessage="1" showErrorMessage="1" sqref="B2:E2" xr:uid="{9F7128C2-9EA5-4081-B929-5AABCBEA92FC}">
      <formula1>"30000"</formula1>
    </dataValidation>
    <dataValidation type="list" allowBlank="1" showInputMessage="1" showErrorMessage="1" sqref="B3:E3 B22:E22 B39:E39" xr:uid="{9262A4AF-6569-45CB-ACE2-63B4154332C4}">
      <formula1>"25,100,250,500"</formula1>
    </dataValidation>
    <dataValidation type="list" allowBlank="1" showInputMessage="1" showErrorMessage="1" sqref="B4:E4 B23:E23 B40:E40" xr:uid="{E12E0C3B-4760-4429-8D99-8F1BF4308A5D}">
      <formula1>"100, 150, 200"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8CB8-989A-43C2-9DD4-6306A34C555D}">
  <dimension ref="A1:O58"/>
  <sheetViews>
    <sheetView topLeftCell="I1" workbookViewId="0">
      <selection activeCell="I25" sqref="I25"/>
    </sheetView>
  </sheetViews>
  <sheetFormatPr defaultRowHeight="15"/>
  <cols>
    <col min="1" max="1" width="25.140625" bestFit="1" customWidth="1"/>
    <col min="2" max="2" width="17.140625" customWidth="1"/>
    <col min="3" max="3" width="19.42578125" customWidth="1"/>
    <col min="4" max="4" width="19.28515625" customWidth="1"/>
    <col min="5" max="5" width="20.42578125" bestFit="1" customWidth="1"/>
    <col min="6" max="6" width="25" bestFit="1" customWidth="1"/>
    <col min="7" max="7" width="25.28515625" customWidth="1"/>
    <col min="8" max="8" width="14.7109375" bestFit="1" customWidth="1"/>
    <col min="9" max="9" width="17.42578125" bestFit="1" customWidth="1"/>
    <col min="10" max="10" width="16" bestFit="1" customWidth="1"/>
    <col min="11" max="11" width="21.28515625" bestFit="1" customWidth="1"/>
    <col min="12" max="12" width="18.140625" customWidth="1"/>
    <col min="13" max="13" width="15" bestFit="1" customWidth="1"/>
    <col min="14" max="14" width="36.5703125" bestFit="1" customWidth="1"/>
    <col min="15" max="15" width="25.140625" bestFit="1" customWidth="1"/>
  </cols>
  <sheetData>
    <row r="1" spans="1:15">
      <c r="A1" t="s">
        <v>307</v>
      </c>
    </row>
    <row r="2" spans="1:15">
      <c r="A2" t="s">
        <v>12</v>
      </c>
      <c r="B2" t="s">
        <v>308</v>
      </c>
      <c r="C2" t="s">
        <v>309</v>
      </c>
      <c r="D2" t="s">
        <v>310</v>
      </c>
      <c r="E2" t="s">
        <v>311</v>
      </c>
      <c r="F2" t="s">
        <v>312</v>
      </c>
      <c r="G2" t="s">
        <v>313</v>
      </c>
      <c r="H2" t="s">
        <v>314</v>
      </c>
      <c r="I2" t="s">
        <v>315</v>
      </c>
      <c r="J2" t="s">
        <v>316</v>
      </c>
      <c r="K2" t="s">
        <v>317</v>
      </c>
      <c r="L2" t="s">
        <v>3</v>
      </c>
      <c r="M2" t="s">
        <v>9</v>
      </c>
      <c r="N2" t="s">
        <v>11</v>
      </c>
      <c r="O2" t="s">
        <v>18</v>
      </c>
    </row>
    <row r="3" spans="1:15">
      <c r="A3">
        <v>25</v>
      </c>
      <c r="B3">
        <v>350</v>
      </c>
      <c r="C3">
        <v>1</v>
      </c>
      <c r="D3">
        <v>2</v>
      </c>
      <c r="E3" s="3">
        <f>1.19818112921561-0.635025893646582</f>
        <v>0.56315523556902791</v>
      </c>
      <c r="F3" s="3">
        <f>0.635025893646582-0.566060376405203</f>
        <v>6.8965517241379004E-2</v>
      </c>
      <c r="G3" s="3">
        <f>0.566060376405203-0.410951117847669</f>
        <v>0.15510925855753399</v>
      </c>
      <c r="H3" s="3">
        <f>0.410951117847669-0.38158393330807</f>
        <v>2.9367184539599023E-2</v>
      </c>
      <c r="I3" s="3">
        <f>0.38158393330807- 0.313565744600227</f>
        <v>6.8018188707842986E-2</v>
      </c>
      <c r="J3" s="3">
        <f>0.313565744600227-0.267083491221422</f>
        <v>4.6482253378805016E-2</v>
      </c>
      <c r="K3" s="3">
        <v>0.267083491221422</v>
      </c>
      <c r="L3" s="3">
        <v>2000</v>
      </c>
      <c r="M3" s="3">
        <v>1.1981811292156099</v>
      </c>
      <c r="N3" s="33" t="str">
        <f>L3 &amp; "-" &amp; A3 &amp; "-" &amp; B3</f>
        <v>2000-25-350</v>
      </c>
      <c r="O3" t="s">
        <v>318</v>
      </c>
    </row>
    <row r="4" spans="1:15">
      <c r="A4">
        <v>25</v>
      </c>
      <c r="B4">
        <v>540</v>
      </c>
      <c r="C4">
        <v>1</v>
      </c>
      <c r="D4">
        <v>2</v>
      </c>
      <c r="E4" s="3">
        <f>1.7096122268536-1.05475558923834</f>
        <v>0.65485663761526003</v>
      </c>
      <c r="F4" s="3">
        <f>1.05475558923834-0.88164708854364</f>
        <v>0.17310850069469996</v>
      </c>
      <c r="G4" s="3">
        <f>0.88164708854364-0.543450802071491</f>
        <v>0.33819628647214905</v>
      </c>
      <c r="H4" s="3">
        <f>0.543450802071491-0.5142730832386</f>
        <v>2.9177718832890998E-2</v>
      </c>
      <c r="I4" s="3">
        <f>0.5142730832386-0.46873815839333</f>
        <v>4.5534924845269997E-2</v>
      </c>
      <c r="J4" s="3">
        <f>0.46873815839333-0.399077933560691</f>
        <v>6.9660224832639006E-2</v>
      </c>
      <c r="K4" s="3">
        <v>0.39907793356069099</v>
      </c>
      <c r="L4" s="3">
        <v>2000</v>
      </c>
      <c r="M4" s="3">
        <v>1.7096122268536</v>
      </c>
      <c r="N4" s="33" t="str">
        <f t="shared" ref="N4:N10" si="0">L4 &amp; "-" &amp; A4 &amp; "-" &amp; B4</f>
        <v>2000-25-540</v>
      </c>
      <c r="O4" t="s">
        <v>319</v>
      </c>
    </row>
    <row r="5" spans="1:15">
      <c r="A5">
        <v>100</v>
      </c>
      <c r="B5">
        <v>350</v>
      </c>
      <c r="C5">
        <v>2</v>
      </c>
      <c r="D5">
        <v>4</v>
      </c>
      <c r="E5" s="3">
        <f>1.6810660603764-1.11791082480737</f>
        <v>0.56315523556903013</v>
      </c>
      <c r="F5" s="3">
        <f>1.11791082480737-1.04844006568144</f>
        <v>6.9470759125929815E-2</v>
      </c>
      <c r="G5" s="3">
        <f>1.04844006568144-0.888341543513957</f>
        <v>0.1600985221674831</v>
      </c>
      <c r="H5" s="3">
        <f>0.888341543513957- 0.761146899077933</f>
        <v>0.12719464443602402</v>
      </c>
      <c r="I5" s="3">
        <f>0.761146899077933-0.623973727422003</f>
        <v>0.13717317165593002</v>
      </c>
      <c r="J5" s="3">
        <f>0.623973727422003-0.543135025893645</f>
        <v>8.0838701528357926E-2</v>
      </c>
      <c r="K5" s="3">
        <v>0.54313502589364504</v>
      </c>
      <c r="L5" s="3">
        <v>2000</v>
      </c>
      <c r="M5" s="3">
        <v>1.6810660603764001</v>
      </c>
      <c r="N5" s="33" t="str">
        <f t="shared" si="0"/>
        <v>2000-100-350</v>
      </c>
      <c r="O5" t="s">
        <v>320</v>
      </c>
    </row>
    <row r="6" spans="1:15">
      <c r="A6">
        <v>100</v>
      </c>
      <c r="B6">
        <v>540</v>
      </c>
      <c r="C6">
        <v>1</v>
      </c>
      <c r="D6">
        <v>2</v>
      </c>
      <c r="E6" s="3">
        <f>1.8360490084628-1.16950865226727</f>
        <v>0.66654035619553009</v>
      </c>
      <c r="F6" s="3">
        <f>1.16950865226727-1.00802071491726</f>
        <v>0.16148793735000999</v>
      </c>
      <c r="G6" s="3">
        <f>1.00802071491726-0.664014146772767</f>
        <v>0.34400656814449293</v>
      </c>
      <c r="H6" s="3">
        <f>0.664014146772767-0.571239105721864</f>
        <v>9.2775041050903062E-2</v>
      </c>
      <c r="I6" s="3">
        <f>0.571239105721864- 0.491347732727042</f>
        <v>7.9891372994821963E-2</v>
      </c>
      <c r="J6" s="3">
        <f>0.491347732727042-0.410382720727547</f>
        <v>8.0965011999495018E-2</v>
      </c>
      <c r="K6" s="3">
        <v>0.410382720727547</v>
      </c>
      <c r="L6" s="3">
        <v>2000</v>
      </c>
      <c r="M6" s="3">
        <v>1.8360490084628001</v>
      </c>
      <c r="N6" s="33" t="str">
        <f t="shared" si="0"/>
        <v>2000-100-540</v>
      </c>
      <c r="O6" t="s">
        <v>321</v>
      </c>
    </row>
    <row r="7" spans="1:15">
      <c r="A7">
        <v>250</v>
      </c>
      <c r="B7">
        <v>350</v>
      </c>
      <c r="C7">
        <v>3</v>
      </c>
      <c r="D7">
        <v>6</v>
      </c>
      <c r="E7" s="3">
        <f>2.31312365795124-1.7497789566755</f>
        <v>0.56334470127574021</v>
      </c>
      <c r="F7" s="3">
        <f>1.7497789566755-1.68144499178981</f>
        <v>6.8333964885689991E-2</v>
      </c>
      <c r="G7" s="3">
        <f>1.68144499178981-1.53183023872679</f>
        <v>0.14961475306302008</v>
      </c>
      <c r="H7" s="3">
        <f>1.53183023872679-1.19773904256662</f>
        <v>0.33409119616017002</v>
      </c>
      <c r="I7" s="3">
        <f>1.19773904256662-0.979916635089048</f>
        <v>0.21782240747757187</v>
      </c>
      <c r="J7" s="3">
        <f>0.979916635089048-0.818807629152456</f>
        <v>0.16110900593659205</v>
      </c>
      <c r="K7" s="3">
        <v>0.81880762915245597</v>
      </c>
      <c r="L7" s="3">
        <v>2000</v>
      </c>
      <c r="M7" s="3">
        <v>2.3131236579512402</v>
      </c>
      <c r="N7" s="33" t="str">
        <f t="shared" si="0"/>
        <v>2000-250-350</v>
      </c>
      <c r="O7" t="s">
        <v>322</v>
      </c>
    </row>
    <row r="8" spans="1:15">
      <c r="A8">
        <v>250</v>
      </c>
      <c r="B8">
        <v>540</v>
      </c>
      <c r="C8">
        <v>2</v>
      </c>
      <c r="D8">
        <v>4</v>
      </c>
      <c r="E8" s="3">
        <f>2.52570418087659- 1.85903751420992</f>
        <v>0.66666666666666985</v>
      </c>
      <c r="F8" s="3">
        <f>1.85903751420992-1.69811797398004</f>
        <v>0.16091954022987998</v>
      </c>
      <c r="G8" s="3">
        <f>1.69811797398004-1.34192244537072</f>
        <v>0.35619552860932013</v>
      </c>
      <c r="H8" s="3">
        <f>1.34192244537072-1.12334217506631</f>
        <v>0.21858027030440996</v>
      </c>
      <c r="I8" s="3">
        <f>1.12334217506631-0.974169508652266</f>
        <v>0.14917266641404392</v>
      </c>
      <c r="J8" s="3">
        <f>0.974169508652266-0.824428445118099</f>
        <v>0.14974106353416705</v>
      </c>
      <c r="K8" s="3">
        <v>0.82442844511809898</v>
      </c>
      <c r="L8" s="3">
        <v>2000</v>
      </c>
      <c r="M8" s="3">
        <v>2.5257041808765899</v>
      </c>
      <c r="N8" s="33" t="str">
        <f t="shared" si="0"/>
        <v>2000-250-540</v>
      </c>
      <c r="O8" t="s">
        <v>323</v>
      </c>
    </row>
    <row r="9" spans="1:15">
      <c r="A9">
        <v>500</v>
      </c>
      <c r="B9">
        <v>350</v>
      </c>
      <c r="C9">
        <v>5</v>
      </c>
      <c r="D9">
        <v>10</v>
      </c>
      <c r="E9" s="3">
        <f>3.47404319818112-2.9225085259568</f>
        <v>0.55153467222431996</v>
      </c>
      <c r="F9" s="3">
        <f>2.9225085259568-2.84198560060628</f>
        <v>8.0522925350519969E-2</v>
      </c>
      <c r="G9" s="3">
        <f>2.84198560060628-2.69230769230769</f>
        <v>0.14967790829859018</v>
      </c>
      <c r="H9" s="3">
        <f>2.69230769230769-2.03719843375015</f>
        <v>0.65510925855753976</v>
      </c>
      <c r="I9" s="3">
        <f>2.03719843375015-1.65788808892257</f>
        <v>0.37931034482758008</v>
      </c>
      <c r="J9" s="3">
        <f>1.65788808892257-1.34760641657193</f>
        <v>0.31028167235064008</v>
      </c>
      <c r="K9" s="3">
        <v>1.3476064165719299</v>
      </c>
      <c r="L9" s="3">
        <v>2000</v>
      </c>
      <c r="M9" s="3">
        <v>3.47404319818112</v>
      </c>
      <c r="N9" s="33" t="str">
        <f t="shared" si="0"/>
        <v>2000-500-350</v>
      </c>
      <c r="O9" s="42" t="s">
        <v>324</v>
      </c>
    </row>
    <row r="10" spans="1:15">
      <c r="A10">
        <v>500</v>
      </c>
      <c r="B10">
        <v>540</v>
      </c>
      <c r="C10">
        <v>4</v>
      </c>
      <c r="D10">
        <v>8</v>
      </c>
      <c r="E10" s="3">
        <f>3.82436528988253-3.14626752557786</f>
        <v>0.67809776430467039</v>
      </c>
      <c r="F10" s="3">
        <f>3.14626752557786-2.98560060629026</f>
        <v>0.1606669192875998</v>
      </c>
      <c r="G10" s="3">
        <f>2.98560060629026-2.64052039914108</f>
        <v>0.34508020714917986</v>
      </c>
      <c r="H10" s="3">
        <f>2.64052039914108-2.20386510041682</f>
        <v>0.43665529872426001</v>
      </c>
      <c r="I10" s="3">
        <f>2.20386510041682-1.93956043956043</f>
        <v>0.26430466085639015</v>
      </c>
      <c r="J10" s="3">
        <f>1.93956043956043-1.62915245673866</f>
        <v>0.31040798282177007</v>
      </c>
      <c r="K10" s="3">
        <v>1.6291524567386599</v>
      </c>
      <c r="L10" s="3">
        <v>2000</v>
      </c>
      <c r="M10" s="3">
        <v>3.8243652898825302</v>
      </c>
      <c r="N10" s="33" t="str">
        <f t="shared" si="0"/>
        <v>2000-500-540</v>
      </c>
      <c r="O10" t="s">
        <v>325</v>
      </c>
    </row>
    <row r="11" spans="1:15">
      <c r="O11" t="s">
        <v>326</v>
      </c>
    </row>
    <row r="12" spans="1:15">
      <c r="O12" t="s">
        <v>327</v>
      </c>
    </row>
    <row r="13" spans="1:15">
      <c r="O13" t="s">
        <v>328</v>
      </c>
    </row>
    <row r="14" spans="1:15">
      <c r="O14" t="s">
        <v>329</v>
      </c>
    </row>
    <row r="15" spans="1:15">
      <c r="O15" t="s">
        <v>330</v>
      </c>
    </row>
    <row r="16" spans="1:15">
      <c r="O16" s="42" t="s">
        <v>331</v>
      </c>
    </row>
    <row r="17" spans="15:15">
      <c r="O17" t="s">
        <v>332</v>
      </c>
    </row>
    <row r="18" spans="15:15">
      <c r="O18" t="s">
        <v>333</v>
      </c>
    </row>
    <row r="19" spans="15:15">
      <c r="O19" t="s">
        <v>334</v>
      </c>
    </row>
    <row r="20" spans="15:15">
      <c r="O20" t="s">
        <v>335</v>
      </c>
    </row>
    <row r="21" spans="15:15">
      <c r="O21" t="s">
        <v>336</v>
      </c>
    </row>
    <row r="22" spans="15:15">
      <c r="O22" t="s">
        <v>337</v>
      </c>
    </row>
    <row r="23" spans="15:15">
      <c r="O23" s="42" t="s">
        <v>338</v>
      </c>
    </row>
    <row r="24" spans="15:15">
      <c r="O24" t="s">
        <v>339</v>
      </c>
    </row>
    <row r="25" spans="15:15">
      <c r="O25" t="s">
        <v>340</v>
      </c>
    </row>
    <row r="26" spans="15:15">
      <c r="O26" t="s">
        <v>341</v>
      </c>
    </row>
    <row r="27" spans="15:15">
      <c r="O27" t="s">
        <v>342</v>
      </c>
    </row>
    <row r="28" spans="15:15">
      <c r="O28" t="s">
        <v>343</v>
      </c>
    </row>
    <row r="29" spans="15:15">
      <c r="O29" t="s">
        <v>344</v>
      </c>
    </row>
    <row r="30" spans="15:15">
      <c r="O30" s="42" t="s">
        <v>345</v>
      </c>
    </row>
    <row r="31" spans="15:15">
      <c r="O31" t="s">
        <v>346</v>
      </c>
    </row>
    <row r="32" spans="15:15">
      <c r="O32" t="s">
        <v>347</v>
      </c>
    </row>
    <row r="33" spans="15:15">
      <c r="O33" t="s">
        <v>348</v>
      </c>
    </row>
    <row r="34" spans="15:15">
      <c r="O34" t="s">
        <v>349</v>
      </c>
    </row>
    <row r="35" spans="15:15">
      <c r="O35" t="s">
        <v>350</v>
      </c>
    </row>
    <row r="36" spans="15:15">
      <c r="O36" t="s">
        <v>351</v>
      </c>
    </row>
    <row r="37" spans="15:15">
      <c r="O37" s="42" t="s">
        <v>352</v>
      </c>
    </row>
    <row r="38" spans="15:15">
      <c r="O38" t="s">
        <v>353</v>
      </c>
    </row>
    <row r="39" spans="15:15">
      <c r="O39" t="s">
        <v>354</v>
      </c>
    </row>
    <row r="40" spans="15:15">
      <c r="O40" t="s">
        <v>355</v>
      </c>
    </row>
    <row r="41" spans="15:15">
      <c r="O41" t="s">
        <v>356</v>
      </c>
    </row>
    <row r="42" spans="15:15">
      <c r="O42" t="s">
        <v>357</v>
      </c>
    </row>
    <row r="43" spans="15:15">
      <c r="O43" t="s">
        <v>358</v>
      </c>
    </row>
    <row r="44" spans="15:15">
      <c r="O44" s="42" t="s">
        <v>359</v>
      </c>
    </row>
    <row r="45" spans="15:15">
      <c r="O45" t="s">
        <v>360</v>
      </c>
    </row>
    <row r="46" spans="15:15">
      <c r="O46" t="s">
        <v>361</v>
      </c>
    </row>
    <row r="47" spans="15:15">
      <c r="O47" t="s">
        <v>362</v>
      </c>
    </row>
    <row r="48" spans="15:15">
      <c r="O48" t="s">
        <v>363</v>
      </c>
    </row>
    <row r="49" spans="15:15">
      <c r="O49" t="s">
        <v>364</v>
      </c>
    </row>
    <row r="50" spans="15:15">
      <c r="O50" t="s">
        <v>365</v>
      </c>
    </row>
    <row r="51" spans="15:15">
      <c r="O51" s="42" t="s">
        <v>366</v>
      </c>
    </row>
    <row r="52" spans="15:15">
      <c r="O52" t="s">
        <v>367</v>
      </c>
    </row>
    <row r="53" spans="15:15">
      <c r="O53" t="s">
        <v>368</v>
      </c>
    </row>
    <row r="54" spans="15:15">
      <c r="O54" t="s">
        <v>369</v>
      </c>
    </row>
    <row r="55" spans="15:15">
      <c r="O55" t="s">
        <v>370</v>
      </c>
    </row>
    <row r="56" spans="15:15">
      <c r="O56" t="s">
        <v>371</v>
      </c>
    </row>
    <row r="57" spans="15:15">
      <c r="O57" t="s">
        <v>372</v>
      </c>
    </row>
    <row r="58" spans="15:15">
      <c r="O58" t="s">
        <v>373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9012-448A-4376-A216-09958B1C8C47}">
  <dimension ref="A1:AW71"/>
  <sheetViews>
    <sheetView topLeftCell="AN11" workbookViewId="0">
      <selection activeCell="AF12" sqref="AF12"/>
    </sheetView>
  </sheetViews>
  <sheetFormatPr defaultRowHeight="15"/>
  <cols>
    <col min="1" max="1" width="34.85546875" customWidth="1"/>
    <col min="2" max="2" width="33.140625" customWidth="1"/>
    <col min="3" max="3" width="29.28515625" customWidth="1"/>
    <col min="4" max="4" width="48.85546875" bestFit="1" customWidth="1"/>
    <col min="5" max="5" width="125.28515625" bestFit="1" customWidth="1"/>
    <col min="6" max="7" width="36.5703125" bestFit="1" customWidth="1"/>
    <col min="8" max="8" width="22.7109375" bestFit="1" customWidth="1"/>
    <col min="9" max="9" width="29" bestFit="1" customWidth="1"/>
    <col min="10" max="10" width="33.5703125" bestFit="1" customWidth="1"/>
    <col min="11" max="11" width="36.5703125" bestFit="1" customWidth="1"/>
    <col min="12" max="12" width="22.28515625" bestFit="1" customWidth="1"/>
    <col min="13" max="13" width="26.140625" customWidth="1"/>
    <col min="14" max="14" width="30.42578125" customWidth="1"/>
    <col min="15" max="15" width="17.140625" bestFit="1" customWidth="1"/>
    <col min="16" max="16" width="32.42578125" bestFit="1" customWidth="1"/>
    <col min="17" max="17" width="15.28515625" customWidth="1"/>
    <col min="18" max="18" width="20.42578125" customWidth="1"/>
    <col min="19" max="19" width="33.140625" bestFit="1" customWidth="1"/>
    <col min="20" max="20" width="34.28515625" bestFit="1" customWidth="1"/>
    <col min="21" max="21" width="36.5703125" bestFit="1" customWidth="1"/>
    <col min="22" max="22" width="24" bestFit="1" customWidth="1"/>
    <col min="23" max="23" width="20" bestFit="1" customWidth="1"/>
    <col min="24" max="24" width="20.140625" bestFit="1" customWidth="1"/>
    <col min="25" max="25" width="19.85546875" bestFit="1" customWidth="1"/>
    <col min="26" max="26" width="27.140625" bestFit="1" customWidth="1"/>
    <col min="27" max="27" width="19.5703125" bestFit="1" customWidth="1"/>
    <col min="28" max="28" width="18.7109375" bestFit="1" customWidth="1"/>
    <col min="29" max="29" width="18.7109375" customWidth="1"/>
    <col min="30" max="30" width="27.7109375" bestFit="1" customWidth="1"/>
    <col min="31" max="31" width="16.7109375" bestFit="1" customWidth="1"/>
    <col min="32" max="33" width="36.5703125" bestFit="1" customWidth="1"/>
    <col min="34" max="34" width="21.140625" bestFit="1" customWidth="1"/>
    <col min="35" max="35" width="27.42578125" bestFit="1" customWidth="1"/>
    <col min="36" max="36" width="18.28515625" bestFit="1" customWidth="1"/>
    <col min="37" max="37" width="36.5703125" bestFit="1" customWidth="1"/>
    <col min="38" max="38" width="18" bestFit="1" customWidth="1"/>
    <col min="39" max="39" width="22.28515625" bestFit="1" customWidth="1"/>
    <col min="40" max="40" width="23.85546875" bestFit="1" customWidth="1"/>
    <col min="41" max="41" width="24.42578125" bestFit="1" customWidth="1"/>
    <col min="42" max="42" width="22" bestFit="1" customWidth="1"/>
    <col min="43" max="43" width="12.28515625" bestFit="1" customWidth="1"/>
    <col min="44" max="44" width="35" bestFit="1" customWidth="1"/>
    <col min="45" max="45" width="12.28515625" bestFit="1" customWidth="1"/>
    <col min="46" max="46" width="36.5703125" bestFit="1" customWidth="1"/>
    <col min="47" max="47" width="12.28515625" bestFit="1" customWidth="1"/>
    <col min="48" max="48" width="31.140625" bestFit="1" customWidth="1"/>
    <col min="49" max="49" width="29.7109375" customWidth="1"/>
    <col min="50" max="51" width="12.28515625" bestFit="1" customWidth="1"/>
  </cols>
  <sheetData>
    <row r="1" spans="1:38">
      <c r="A1" t="s">
        <v>151</v>
      </c>
    </row>
    <row r="2" spans="1:38">
      <c r="A2" t="s">
        <v>152</v>
      </c>
      <c r="B2">
        <v>2000</v>
      </c>
    </row>
    <row r="3" spans="1:38" ht="20.25" customHeight="1">
      <c r="A3" t="s">
        <v>153</v>
      </c>
      <c r="B3">
        <v>500</v>
      </c>
    </row>
    <row r="4" spans="1:38">
      <c r="A4" t="s">
        <v>374</v>
      </c>
      <c r="B4">
        <v>540</v>
      </c>
    </row>
    <row r="6" spans="1:38">
      <c r="A6" t="s">
        <v>11</v>
      </c>
      <c r="B6" t="str">
        <f>B2 &amp; "-" &amp; B3 &amp; "-" &amp; B4</f>
        <v>2000-500-540</v>
      </c>
    </row>
    <row r="7" spans="1:38">
      <c r="A7" t="s">
        <v>310</v>
      </c>
      <c r="B7">
        <f>_xlfn.XLOOKUP(B6,'Raw Data Trucks'!N3:N10, 'Raw Data Trucks'!D3:D10, "Not Found")</f>
        <v>8</v>
      </c>
    </row>
    <row r="8" spans="1:38">
      <c r="A8" t="s">
        <v>375</v>
      </c>
      <c r="B8">
        <f>_xlfn.XLOOKUP(B6,'Raw Data Trucks'!N3:N10, 'Raw Data Trucks'!E3:E10, "Not Found")</f>
        <v>0.67809776430467039</v>
      </c>
    </row>
    <row r="9" spans="1:38">
      <c r="A9" t="s">
        <v>376</v>
      </c>
      <c r="B9">
        <f>_xlfn.XLOOKUP(B6,'Raw Data Trucks'!N3:N10, 'Raw Data Trucks'!F3:F10, "Not Found")</f>
        <v>0.1606669192875998</v>
      </c>
    </row>
    <row r="10" spans="1:38">
      <c r="A10" t="s">
        <v>377</v>
      </c>
      <c r="B10">
        <f>_xlfn.XLOOKUP(B6,'Raw Data Trucks'!N3:N10, 'Raw Data Trucks'!G3:G10, "Not Found")</f>
        <v>0.34508020714917986</v>
      </c>
    </row>
    <row r="11" spans="1:38">
      <c r="A11" t="s">
        <v>378</v>
      </c>
      <c r="B11">
        <f>_xlfn.XLOOKUP(B6,'Raw Data Trucks'!N3:N10, 'Raw Data Trucks'!H3:H10, "Not Found")</f>
        <v>0.43665529872426001</v>
      </c>
    </row>
    <row r="12" spans="1:38">
      <c r="A12" t="s">
        <v>379</v>
      </c>
      <c r="B12">
        <f>_xlfn.XLOOKUP(B6,'Raw Data Trucks'!N3:N10, 'Raw Data Trucks'!I3:I10, "Not Found")</f>
        <v>0.26430466085639015</v>
      </c>
    </row>
    <row r="13" spans="1:38">
      <c r="A13" t="s">
        <v>380</v>
      </c>
      <c r="B13">
        <f>_xlfn.XLOOKUP(B6,'Raw Data Trucks'!N3:N10, 'Raw Data Trucks'!J3:J10, "Not Found")</f>
        <v>0.31040798282177007</v>
      </c>
    </row>
    <row r="14" spans="1:38">
      <c r="A14" t="s">
        <v>381</v>
      </c>
      <c r="B14">
        <f>_xlfn.XLOOKUP(B6,'Raw Data Trucks'!N3:N10, 'Raw Data Trucks'!K3:K10, "Not Found")</f>
        <v>1.6291524567386599</v>
      </c>
    </row>
    <row r="15" spans="1:38">
      <c r="A15" t="s">
        <v>160</v>
      </c>
      <c r="B15">
        <f>_xlfn.XLOOKUP(B6,'Raw Data Trucks'!N3:N10, 'Raw Data Trucks'!M3:M10, "Not Found")</f>
        <v>3.8243652898825302</v>
      </c>
    </row>
    <row r="16" spans="1:38">
      <c r="A16" t="s">
        <v>161</v>
      </c>
      <c r="B16">
        <f>SUM(B8:B14)</f>
        <v>3.8243652898825298</v>
      </c>
      <c r="AL16" t="s">
        <v>169</v>
      </c>
    </row>
    <row r="17" spans="1:49">
      <c r="AD17" s="43" t="s">
        <v>253</v>
      </c>
    </row>
    <row r="18" spans="1:49" ht="36" customHeight="1">
      <c r="A18" t="s">
        <v>382</v>
      </c>
      <c r="B18" s="47" t="s">
        <v>383</v>
      </c>
      <c r="C18" s="47" t="s">
        <v>179</v>
      </c>
      <c r="D18" s="46" t="s">
        <v>384</v>
      </c>
      <c r="E18" s="46" t="s">
        <v>385</v>
      </c>
      <c r="F18" s="46" t="s">
        <v>386</v>
      </c>
      <c r="G18" s="46" t="s">
        <v>387</v>
      </c>
      <c r="H18" s="46" t="s">
        <v>388</v>
      </c>
      <c r="I18" s="46" t="s">
        <v>389</v>
      </c>
      <c r="J18" s="46" t="s">
        <v>390</v>
      </c>
      <c r="K18" s="47" t="s">
        <v>391</v>
      </c>
      <c r="L18" s="48" t="s">
        <v>392</v>
      </c>
      <c r="M18" s="48" t="s">
        <v>393</v>
      </c>
      <c r="N18" s="48" t="s">
        <v>394</v>
      </c>
      <c r="O18" t="s">
        <v>395</v>
      </c>
      <c r="P18" s="49" t="s">
        <v>396</v>
      </c>
      <c r="Q18" s="3" t="s">
        <v>397</v>
      </c>
      <c r="R18" s="50" t="s">
        <v>398</v>
      </c>
      <c r="S18" t="s">
        <v>399</v>
      </c>
      <c r="T18" s="49" t="s">
        <v>400</v>
      </c>
      <c r="U18" s="50" t="s">
        <v>401</v>
      </c>
      <c r="V18" s="49" t="s">
        <v>402</v>
      </c>
      <c r="W18" s="3" t="s">
        <v>403</v>
      </c>
      <c r="X18" s="51" t="s">
        <v>404</v>
      </c>
      <c r="Y18" s="3" t="s">
        <v>405</v>
      </c>
      <c r="Z18" s="49" t="s">
        <v>406</v>
      </c>
      <c r="AA18" s="49" t="s">
        <v>407</v>
      </c>
      <c r="AB18" s="3" t="s">
        <v>408</v>
      </c>
      <c r="AC18" s="59" t="s">
        <v>409</v>
      </c>
      <c r="AD18" s="49" t="s">
        <v>410</v>
      </c>
      <c r="AE18" s="3" t="s">
        <v>198</v>
      </c>
      <c r="AF18" s="49" t="s">
        <v>411</v>
      </c>
      <c r="AG18" s="3" t="s">
        <v>412</v>
      </c>
      <c r="AH18" s="107" t="s">
        <v>413</v>
      </c>
      <c r="AI18" s="3" t="s">
        <v>414</v>
      </c>
      <c r="AJ18" s="3" t="s">
        <v>415</v>
      </c>
      <c r="AK18" s="4" t="s">
        <v>416</v>
      </c>
      <c r="AL18" s="3" t="s">
        <v>298</v>
      </c>
      <c r="AM18" s="3" t="s">
        <v>417</v>
      </c>
      <c r="AN18" s="3" t="s">
        <v>418</v>
      </c>
      <c r="AO18" s="3" t="s">
        <v>419</v>
      </c>
      <c r="AP18" s="3" t="s">
        <v>420</v>
      </c>
      <c r="AQ18" s="3" t="s">
        <v>210</v>
      </c>
      <c r="AR18" s="3" t="s">
        <v>211</v>
      </c>
      <c r="AS18" s="3" t="s">
        <v>212</v>
      </c>
      <c r="AT18" s="4" t="s">
        <v>213</v>
      </c>
      <c r="AU18" s="3" t="s">
        <v>214</v>
      </c>
      <c r="AV18" s="59" t="s">
        <v>421</v>
      </c>
      <c r="AW18" s="60" t="s">
        <v>422</v>
      </c>
    </row>
    <row r="19" spans="1:49">
      <c r="A19" t="s">
        <v>423</v>
      </c>
      <c r="B19">
        <v>900</v>
      </c>
      <c r="C19">
        <v>30000</v>
      </c>
      <c r="D19">
        <f>C19/B19</f>
        <v>33.333333333333336</v>
      </c>
      <c r="E19">
        <v>25</v>
      </c>
      <c r="F19">
        <v>65</v>
      </c>
      <c r="G19">
        <v>1</v>
      </c>
      <c r="H19">
        <v>1</v>
      </c>
      <c r="I19">
        <f>((2*E19)/F19)+G19+H19</f>
        <v>2.7692307692307692</v>
      </c>
      <c r="J19">
        <v>9</v>
      </c>
      <c r="K19">
        <f t="shared" ref="K19:K42" si="0">J19/I19</f>
        <v>3.25</v>
      </c>
      <c r="L19">
        <v>0.8</v>
      </c>
      <c r="M19">
        <v>13</v>
      </c>
      <c r="N19">
        <f>2*M19</f>
        <v>26</v>
      </c>
      <c r="O19">
        <f>(0.08*((1.08)^15))/((1.08^15)-1)</f>
        <v>0.11682954493601999</v>
      </c>
      <c r="P19">
        <v>689</v>
      </c>
      <c r="Q19">
        <f t="shared" ref="Q19:Q42" si="1">(0.08*(1.08^8))/((1.08^8)-1)</f>
        <v>0.17401476059182211</v>
      </c>
      <c r="R19">
        <v>180</v>
      </c>
      <c r="S19">
        <f>((M19*Q19*R19*1000)+(N19*O19*P19*1000))/(C19*365)</f>
        <v>0.22831771760444985</v>
      </c>
      <c r="T19">
        <v>0.1</v>
      </c>
      <c r="U19" s="45">
        <f>((2*Trucks[[#This Row],[Distance{d}(km)]]*Trucks[[#This Row],[No of delieveries per day {nd}]])/Trucks[[#This Row],[No of trucks{Nt}]])*365</f>
        <v>46794.871794871797</v>
      </c>
      <c r="V19" s="45">
        <f>0.02*Trucks[[#This Row],[Investment cost, Trailer{ICTr}(k€)]]</f>
        <v>13.780000000000001</v>
      </c>
      <c r="W19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2.8099383866057842E-2</v>
      </c>
      <c r="X19" s="45">
        <v>23</v>
      </c>
      <c r="Y19" s="45">
        <f>(Trucks[[#This Row],[Total time for delievery{td}(h)]]*Trucks[[#This Row],[Labor cost{ST}(€/h)]])/Trucks[[#This Row],[Max load capacity of trailer{HT(capacity)}'[kg']]]</f>
        <v>7.0769230769230765E-2</v>
      </c>
      <c r="Z19" s="45">
        <v>0.38</v>
      </c>
      <c r="AA19" s="45">
        <v>1.54</v>
      </c>
      <c r="AB19" s="45">
        <f>(2*Trucks[[#This Row],[Distance{d}(km)]]*Trucks[[#This Row],[Fuel consumption{F}(L/km)]]*Trucks[[#This Row],[Fuel Price{FP}(€/L)]])/Trucks[[#This Row],[Max load capacity of trailer{HT(capacity)}'[kg']]]</f>
        <v>3.2511111111111116E-2</v>
      </c>
      <c r="AC19" s="45">
        <f>Trucks[[#This Row],[LCOHT,Fuel(€/kg)]]+Trucks[[#This Row],[LCOHT,Labor(€/kg)]]+Trucks[[#This Row],[LCOHT(O&amp;M)(€/kg)]]+Trucks[[#This Row],[LCOHT,Invest(€/kg)]]</f>
        <v>0.35969744335084958</v>
      </c>
      <c r="AD19" s="3">
        <f>ROUND(4.4422037649,0)</f>
        <v>4</v>
      </c>
      <c r="AE19" s="45">
        <f>IF(Trucks[[#This Row],[Component]]="Trailer(350 bar)",399.2568937,415.300722807)</f>
        <v>399.25689369999998</v>
      </c>
      <c r="AF19" s="58">
        <f>((Trucks[[#This Row],[Daily Hydrogen Demand{mH2}(kg/day)]])/(0.002*24*60*60))</f>
        <v>173.61111111111111</v>
      </c>
      <c r="AG19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1868547.843972584</v>
      </c>
      <c r="AH19" s="45">
        <f>Trucks[[#This Row],[Compressor Power{P} (kW)]]/0.95</f>
        <v>1966892.4673395623</v>
      </c>
      <c r="AI19" s="45">
        <f>IF(Trucks[[#This Row],[Component]]="Trailer(350 bar)",54851.4*POWER(0.001* Trucks[[#This Row],[Rated Power{Pc}(kW)]],0.4603)*1.3, 54184.17*POWER(0.001* Trucks[[#This Row],[Rated Power{Pc}(kW)]],0.6038)*1.3)</f>
        <v>2340228.6245801435</v>
      </c>
      <c r="AJ19" s="45">
        <f>0.28*Trucks[[#This Row],[Total installation costs{TIC}]]</f>
        <v>655264.01488244021</v>
      </c>
      <c r="AK19" s="45">
        <f>Trucks[[#This Row],[Indirect costs{Id}]]+Trucks[[#This Row],[Total installation costs{TIC}]]</f>
        <v>2995492.6394625837</v>
      </c>
      <c r="AL19" s="45">
        <f>(Trucks[[#This Row],[Investment cost for truck loading compressor{Invest}]]*0.11682954493602)/(0.9*Trucks[[#This Row],[Daily Hydrogen Demand{mH2}(kg/day)]]*365)</f>
        <v>3.5511115365561757E-2</v>
      </c>
      <c r="AM19" s="45">
        <f>Trucks[[#This Row],[No of annual hours{Ann}]]*Trucks[[#This Row],[Hourly salary {S}(€/h)]]</f>
        <v>3836.5892584880066</v>
      </c>
      <c r="AN19" s="45">
        <f>0.5*Trucks[[#This Row],[Direct labor costs{dL}]]</f>
        <v>1918.2946292440033</v>
      </c>
      <c r="AO19" s="45">
        <f>POWER(Trucks[[#This Row],[Daily Hydrogen Demand{mH2}(kg/day)]]/100000,0.25)*288</f>
        <v>213.14384769377816</v>
      </c>
      <c r="AP19" s="45">
        <v>18</v>
      </c>
      <c r="AQ19" s="45">
        <f>(0.021*Trucks[[#This Row],[Investment cost for truck loading compressor{Invest}]])+(0.04*Trucks[[#This Row],[Total installation costs{TIC}]])</f>
        <v>156514.49041192001</v>
      </c>
      <c r="AR19" s="45">
        <f>Trucks[[#This Row],[O&amp;Mc]]+Trucks[[#This Row],[Indirect labor costs{Idl}]]+Trucks[[#This Row],[Direct labor costs{dL}]]</f>
        <v>162269.37429965203</v>
      </c>
      <c r="AS19" s="45">
        <f>(Trucks[[#This Row],[Non energy cost for compressor(NE)]])/(0.9*Trucks[[#This Row],[Daily Hydrogen Demand{mH2}(kg/day)]]*365)</f>
        <v>1.6465689934008324E-2</v>
      </c>
      <c r="AT19" s="58">
        <f>(Trucks[[#This Row],[Rated Power{Pc}(kW)]])*0.001 * 0.306 * 24 * 365</f>
        <v>5272373.2722517373</v>
      </c>
      <c r="AU19" s="45">
        <f>(Trucks[[#This Row],[Annual energy cost for compression(Ec)(€)]])/(0.9*Trucks[[#This Row],[Daily Hydrogen Demand{mH2}(kg/day)]]*365)</f>
        <v>0.53499475111636097</v>
      </c>
      <c r="AV19" s="45">
        <f>Trucks[[#This Row],[LCOHT,E]]+Trucks[[#This Row],[LCOHT,NE]]+Trucks[[#This Row],[LCOHT,Invest]]</f>
        <v>0.58697155641593102</v>
      </c>
      <c r="AW19" s="58">
        <f>Trucks[[#This Row],[LOCHT For trucking compressor]]+Trucks[[#This Row],[LCOHT,Trucking]]</f>
        <v>0.94666899976678054</v>
      </c>
    </row>
    <row r="20" spans="1:49">
      <c r="A20" t="s">
        <v>423</v>
      </c>
      <c r="B20">
        <v>900</v>
      </c>
      <c r="C20">
        <v>2000</v>
      </c>
      <c r="D20">
        <f>C20/B20</f>
        <v>2.2222222222222223</v>
      </c>
      <c r="E20">
        <v>25</v>
      </c>
      <c r="F20">
        <v>65</v>
      </c>
      <c r="G20">
        <v>1</v>
      </c>
      <c r="H20">
        <v>1</v>
      </c>
      <c r="I20">
        <f>((2*E20)/F20)+G20+H20</f>
        <v>2.7692307692307692</v>
      </c>
      <c r="J20">
        <v>9</v>
      </c>
      <c r="K20">
        <f t="shared" si="0"/>
        <v>3.25</v>
      </c>
      <c r="L20">
        <v>0.8</v>
      </c>
      <c r="M20">
        <f xml:space="preserve"> ROUNDUP(D20 / (K20) * (L20), 0)</f>
        <v>1</v>
      </c>
      <c r="N20">
        <f>2*M20</f>
        <v>2</v>
      </c>
      <c r="O20">
        <f>(0.08*((1.08)^15))/((1.08^15)-1)</f>
        <v>0.11682954493601999</v>
      </c>
      <c r="P20">
        <v>689</v>
      </c>
      <c r="Q20">
        <f t="shared" si="1"/>
        <v>0.17401476059182211</v>
      </c>
      <c r="R20">
        <v>180</v>
      </c>
      <c r="S20">
        <f>((M20*Q20*R20*1000)+(N20*O20*P20*1000))/(C20*365)</f>
        <v>0.26344352031282675</v>
      </c>
      <c r="T20">
        <v>0.1</v>
      </c>
      <c r="U20" s="45">
        <f>((2*Trucks[[#This Row],[Distance{d}(km)]]*Trucks[[#This Row],[No of delieveries per day {nd}]])/Trucks[[#This Row],[No of trucks{Nt}]])*365</f>
        <v>40555.555555555555</v>
      </c>
      <c r="V20" s="45">
        <f>0.02*Trucks[[#This Row],[Investment cost, Trailer{ICTr}(k€)]]</f>
        <v>13.780000000000001</v>
      </c>
      <c r="W20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3.1567665144596649E-2</v>
      </c>
      <c r="X20" s="45">
        <v>23</v>
      </c>
      <c r="Y20" s="45">
        <f>(Trucks[[#This Row],[Total time for delievery{td}(h)]]*Trucks[[#This Row],[Labor cost{ST}(€/h)]])/Trucks[[#This Row],[Max load capacity of trailer{HT(capacity)}'[kg']]]</f>
        <v>7.0769230769230765E-2</v>
      </c>
      <c r="Z20" s="45">
        <v>0.38</v>
      </c>
      <c r="AA20" s="45">
        <v>1.54</v>
      </c>
      <c r="AB20" s="45">
        <f>(2*Trucks[[#This Row],[Distance{d}(km)]]*Trucks[[#This Row],[Fuel consumption{F}(L/km)]]*Trucks[[#This Row],[Fuel Price{FP}(€/L)]])/Trucks[[#This Row],[Max load capacity of trailer{HT(capacity)}'[kg']]]</f>
        <v>3.2511111111111116E-2</v>
      </c>
      <c r="AC20" s="45">
        <f>Trucks[[#This Row],[LCOHT,Fuel(€/kg)]]+Trucks[[#This Row],[LCOHT,Labor(€/kg)]]+Trucks[[#This Row],[LCOHT(O&amp;M)(€/kg)]]+Trucks[[#This Row],[LCOHT,Invest(€/kg)]]</f>
        <v>0.39829152733776529</v>
      </c>
      <c r="AD20" s="3">
        <f>ROUND(3.8577393378,0)</f>
        <v>4</v>
      </c>
      <c r="AE20" s="45">
        <f>IF(Trucks[[#This Row],[Component]]="Trailer(350 bar)",399.2568937,415.300722807)</f>
        <v>399.25689369999998</v>
      </c>
      <c r="AF20" s="45">
        <f>((Trucks[[#This Row],[Daily Hydrogen Demand{mH2}(kg/day)]])/(0.002*24*60*60))</f>
        <v>11.574074074074074</v>
      </c>
      <c r="AG20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124569.85626483895</v>
      </c>
      <c r="AH20" s="45">
        <f>Trucks[[#This Row],[Compressor Power{P} (kW)]]/0.95</f>
        <v>131126.16448930415</v>
      </c>
      <c r="AI20" s="45">
        <f>IF(Trucks[[#This Row],[Component]]="Trailer(350 bar)",54851.4*POWER(0.001* Trucks[[#This Row],[Rated Power{Pc}(kW)]],0.4603)*1.3, 54184.17*POWER(0.001* Trucks[[#This Row],[Rated Power{Pc}(kW)]],0.6038)*1.3)</f>
        <v>672827.10776915017</v>
      </c>
      <c r="AJ20" s="45">
        <f>0.28*Trucks[[#This Row],[Total installation costs{TIC}]]</f>
        <v>188391.59017536207</v>
      </c>
      <c r="AK20" s="45">
        <f>Trucks[[#This Row],[Indirect costs{Id}]]+Trucks[[#This Row],[Total installation costs{TIC}]]</f>
        <v>861218.69794451224</v>
      </c>
      <c r="AL20" s="45">
        <f>(Trucks[[#This Row],[Investment cost for truck loading compressor{Invest}]]*0.11682954493602)/(0.9*Trucks[[#This Row],[Daily Hydrogen Demand{mH2}(kg/day)]]*365)</f>
        <v>0.15314427484208376</v>
      </c>
      <c r="AM20" s="45">
        <f>Trucks[[#This Row],[No of annual hours{Ann}]]*Trucks[[#This Row],[Hourly salary {S}(€/h)]]</f>
        <v>1949.4966434559865</v>
      </c>
      <c r="AN20" s="45">
        <f>0.5*Trucks[[#This Row],[Direct labor costs{dL}]]</f>
        <v>974.74832172799324</v>
      </c>
      <c r="AO20" s="45">
        <f>POWER(Trucks[[#This Row],[Daily Hydrogen Demand{mH2}(kg/day)]]/100000,0.25)*288</f>
        <v>108.30536908088814</v>
      </c>
      <c r="AP20" s="45">
        <v>18</v>
      </c>
      <c r="AQ20" s="45">
        <f>(0.021*Trucks[[#This Row],[Investment cost for truck loading compressor{Invest}]])+(0.04*Trucks[[#This Row],[Total installation costs{TIC}]])</f>
        <v>44998.676967600768</v>
      </c>
      <c r="AR20" s="45">
        <f>Trucks[[#This Row],[O&amp;Mc]]+Trucks[[#This Row],[Indirect labor costs{Idl}]]+Trucks[[#This Row],[Direct labor costs{dL}]]</f>
        <v>47922.921932784753</v>
      </c>
      <c r="AS20" s="45">
        <f>(Trucks[[#This Row],[Non energy cost for compressor(NE)]])/(0.9*Trucks[[#This Row],[Daily Hydrogen Demand{mH2}(kg/day)]]*365)</f>
        <v>7.2942042515654115E-2</v>
      </c>
      <c r="AT20" s="45">
        <f>(Trucks[[#This Row],[Rated Power{Pc}(kW)]])*0.001 * 0.306 * 24 * 365</f>
        <v>351491.55148344918</v>
      </c>
      <c r="AU20" s="45">
        <f>(Trucks[[#This Row],[Annual energy cost for compression(Ec)(€)]])/(0.9*Trucks[[#This Row],[Daily Hydrogen Demand{mH2}(kg/day)]]*365)</f>
        <v>0.53499475111636097</v>
      </c>
      <c r="AV20" s="45">
        <f>Trucks[[#This Row],[LCOHT,E]]+Trucks[[#This Row],[LCOHT,NE]]+Trucks[[#This Row],[LCOHT,Invest]]</f>
        <v>0.76108106847409873</v>
      </c>
      <c r="AW20" s="45">
        <f>Trucks[[#This Row],[LOCHT For trucking compressor]]+Trucks[[#This Row],[LCOHT,Trucking]]</f>
        <v>1.1593725958118641</v>
      </c>
    </row>
    <row r="21" spans="1:49">
      <c r="A21" t="s">
        <v>423</v>
      </c>
      <c r="B21">
        <v>900</v>
      </c>
      <c r="C21">
        <v>10000</v>
      </c>
      <c r="D21">
        <f>C21/B21</f>
        <v>11.111111111111111</v>
      </c>
      <c r="E21">
        <v>25</v>
      </c>
      <c r="F21">
        <v>65</v>
      </c>
      <c r="G21">
        <v>1</v>
      </c>
      <c r="H21">
        <v>1</v>
      </c>
      <c r="I21">
        <f>((2*E21)/F21)+G21+H21</f>
        <v>2.7692307692307692</v>
      </c>
      <c r="J21">
        <v>9</v>
      </c>
      <c r="K21">
        <f t="shared" si="0"/>
        <v>3.25</v>
      </c>
      <c r="L21">
        <v>0.8</v>
      </c>
      <c r="M21">
        <v>5</v>
      </c>
      <c r="N21">
        <f>2*M21</f>
        <v>10</v>
      </c>
      <c r="O21">
        <f>(0.08*((1.08)^15))/((1.08^15)-1)</f>
        <v>0.11682954493601999</v>
      </c>
      <c r="P21">
        <v>689</v>
      </c>
      <c r="Q21">
        <f t="shared" si="1"/>
        <v>0.17401476059182211</v>
      </c>
      <c r="R21">
        <v>180</v>
      </c>
      <c r="S21">
        <f>((M21*Q21*R21*1000)+(N21*O21*P21*1000))/(C21*365)</f>
        <v>0.26344352031282675</v>
      </c>
      <c r="T21">
        <v>0.1</v>
      </c>
      <c r="U21" s="45">
        <f>((2*Trucks[[#This Row],[Distance{d}(km)]]*Trucks[[#This Row],[No of delieveries per day {nd}]])/Trucks[[#This Row],[No of trucks{Nt}]])*365</f>
        <v>40555.555555555555</v>
      </c>
      <c r="V21" s="45">
        <f>0.02*Trucks[[#This Row],[Investment cost, Trailer{ICTr}(k€)]]</f>
        <v>13.780000000000001</v>
      </c>
      <c r="W21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3.1567665144596656E-2</v>
      </c>
      <c r="X21" s="45">
        <v>23</v>
      </c>
      <c r="Y21" s="45">
        <f>(Trucks[[#This Row],[Total time for delievery{td}(h)]]*Trucks[[#This Row],[Labor cost{ST}(€/h)]])/Trucks[[#This Row],[Max load capacity of trailer{HT(capacity)}'[kg']]]</f>
        <v>7.0769230769230765E-2</v>
      </c>
      <c r="Z21" s="45">
        <v>0.38</v>
      </c>
      <c r="AA21" s="45">
        <v>1.54</v>
      </c>
      <c r="AB21" s="45">
        <f>(2*Trucks[[#This Row],[Distance{d}(km)]]*Trucks[[#This Row],[Fuel consumption{F}(L/km)]]*Trucks[[#This Row],[Fuel Price{FP}(€/L)]])/Trucks[[#This Row],[Max load capacity of trailer{HT(capacity)}'[kg']]]</f>
        <v>3.2511111111111116E-2</v>
      </c>
      <c r="AC21" s="45">
        <f>Trucks[[#This Row],[LCOHT,Fuel(€/kg)]]+Trucks[[#This Row],[LCOHT,Labor(€/kg)]]+Trucks[[#This Row],[LCOHT(O&amp;M)(€/kg)]]+Trucks[[#This Row],[LCOHT,Invest(€/kg)]]</f>
        <v>0.39829152733776529</v>
      </c>
      <c r="AD21" s="3">
        <f>ROUND(4.4422037649,0)</f>
        <v>4</v>
      </c>
      <c r="AE21" s="45">
        <f>IF(Trucks[[#This Row],[Component]]="Trailer(350 bar)",399.2568937,415.300722807)</f>
        <v>399.25689369999998</v>
      </c>
      <c r="AF21" s="45">
        <f>((Trucks[[#This Row],[Daily Hydrogen Demand{mH2}(kg/day)]])/(0.002*24*60*60))</f>
        <v>57.870370370370374</v>
      </c>
      <c r="AG21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622849.28132419463</v>
      </c>
      <c r="AH21" s="45">
        <f>Trucks[[#This Row],[Compressor Power{P} (kW)]]/0.95</f>
        <v>655630.82244652067</v>
      </c>
      <c r="AI21" s="45">
        <f>IF(Trucks[[#This Row],[Component]]="Trailer(350 bar)",54851.4*POWER(0.001* Trucks[[#This Row],[Rated Power{Pc}(kW)]],0.4603)*1.3, 54184.17*POWER(0.001* Trucks[[#This Row],[Rated Power{Pc}(kW)]],0.6038)*1.3)</f>
        <v>1411365.0984156388</v>
      </c>
      <c r="AJ21" s="45">
        <f>0.28*Trucks[[#This Row],[Total installation costs{TIC}]]</f>
        <v>395182.22755637887</v>
      </c>
      <c r="AK21" s="45">
        <f>Trucks[[#This Row],[Indirect costs{Id}]]+Trucks[[#This Row],[Total installation costs{TIC}]]</f>
        <v>1806547.3259720176</v>
      </c>
      <c r="AL21" s="45">
        <f>(Trucks[[#This Row],[Investment cost for truck loading compressor{Invest}]]*0.11682954493602)/(0.9*Trucks[[#This Row],[Daily Hydrogen Demand{mH2}(kg/day)]]*365)</f>
        <v>6.4249041704321039E-2</v>
      </c>
      <c r="AM21" s="45">
        <f>Trucks[[#This Row],[No of annual hours{Ann}]]*Trucks[[#This Row],[Hourly salary {S}(€/h)]]</f>
        <v>2915.1774297867696</v>
      </c>
      <c r="AN21" s="45">
        <f>0.5*Trucks[[#This Row],[Direct labor costs{dL}]]</f>
        <v>1457.5887148933848</v>
      </c>
      <c r="AO21" s="45">
        <f>POWER(Trucks[[#This Row],[Daily Hydrogen Demand{mH2}(kg/day)]]/100000,0.25)*288</f>
        <v>161.95430165482054</v>
      </c>
      <c r="AP21" s="45">
        <v>18</v>
      </c>
      <c r="AQ21" s="45">
        <f>(0.021*Trucks[[#This Row],[Investment cost for truck loading compressor{Invest}]])+(0.04*Trucks[[#This Row],[Total installation costs{TIC}]])</f>
        <v>94392.097782037919</v>
      </c>
      <c r="AR21" s="45">
        <f>Trucks[[#This Row],[O&amp;Mc]]+Trucks[[#This Row],[Indirect labor costs{Idl}]]+Trucks[[#This Row],[Direct labor costs{dL}]]</f>
        <v>98764.86392671807</v>
      </c>
      <c r="AS21" s="45">
        <f>(Trucks[[#This Row],[Non energy cost for compressor(NE)]])/(0.9*Trucks[[#This Row],[Daily Hydrogen Demand{mH2}(kg/day)]]*365)</f>
        <v>3.0065407588042031E-2</v>
      </c>
      <c r="AT21" s="45">
        <f>(Trucks[[#This Row],[Rated Power{Pc}(kW)]])*0.001 * 0.306 * 24 * 365</f>
        <v>1757457.7574172453</v>
      </c>
      <c r="AU21" s="45">
        <f>(Trucks[[#This Row],[Annual energy cost for compression(Ec)(€)]])/(0.9*Trucks[[#This Row],[Daily Hydrogen Demand{mH2}(kg/day)]]*365)</f>
        <v>0.53499475111636086</v>
      </c>
      <c r="AV21" s="45">
        <f>Trucks[[#This Row],[LCOHT,E]]+Trucks[[#This Row],[LCOHT,NE]]+Trucks[[#This Row],[LCOHT,Invest]]</f>
        <v>0.62930920040872385</v>
      </c>
      <c r="AW21" s="45">
        <f>Trucks[[#This Row],[LOCHT For trucking compressor]]+Trucks[[#This Row],[LCOHT,Trucking]]</f>
        <v>1.0276007277464891</v>
      </c>
    </row>
    <row r="22" spans="1:49">
      <c r="A22" t="s">
        <v>424</v>
      </c>
      <c r="B22">
        <v>1330</v>
      </c>
      <c r="C22">
        <v>30000</v>
      </c>
      <c r="D22">
        <f>C22/B22</f>
        <v>22.556390977443609</v>
      </c>
      <c r="E22">
        <v>25</v>
      </c>
      <c r="F22">
        <v>65</v>
      </c>
      <c r="G22">
        <v>1</v>
      </c>
      <c r="H22">
        <v>1</v>
      </c>
      <c r="I22">
        <f>((2*E22)/F22)+G22+H22</f>
        <v>2.7692307692307692</v>
      </c>
      <c r="J22">
        <v>9</v>
      </c>
      <c r="K22">
        <f t="shared" si="0"/>
        <v>3.25</v>
      </c>
      <c r="L22">
        <v>0.8</v>
      </c>
      <c r="M22">
        <v>9</v>
      </c>
      <c r="N22">
        <f>2*M22</f>
        <v>18</v>
      </c>
      <c r="O22">
        <f>(0.08*((1.08)^15))/((1.08^15)-1)</f>
        <v>0.11682954493601999</v>
      </c>
      <c r="P22">
        <v>1100</v>
      </c>
      <c r="Q22">
        <f t="shared" si="1"/>
        <v>0.17401476059182211</v>
      </c>
      <c r="R22">
        <v>180</v>
      </c>
      <c r="S22">
        <f>((M22*Q22*R22*1000)+(N22*O22*P22*1000))/(C22*365)</f>
        <v>0.23699807323214134</v>
      </c>
      <c r="T22">
        <v>0.1</v>
      </c>
      <c r="U22" s="45">
        <f>((2*Trucks[[#This Row],[Distance{d}(km)]]*Trucks[[#This Row],[No of delieveries per day {nd}]])/Trucks[[#This Row],[No of trucks{Nt}]])*365</f>
        <v>45739.348370927313</v>
      </c>
      <c r="V22" s="45">
        <f>0.02*Trucks[[#This Row],[Investment cost, Trailer{ICTr}(k€)]]</f>
        <v>22</v>
      </c>
      <c r="W22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4.3540220414048821E-2</v>
      </c>
      <c r="X22" s="45">
        <v>23</v>
      </c>
      <c r="Y22" s="45">
        <f>(Trucks[[#This Row],[Total time for delievery{td}(h)]]*Trucks[[#This Row],[Labor cost{ST}(€/h)]])/Trucks[[#This Row],[Max load capacity of trailer{HT(capacity)}'[kg']]]</f>
        <v>4.7888953152111051E-2</v>
      </c>
      <c r="Z22" s="45">
        <v>0.38</v>
      </c>
      <c r="AA22" s="45">
        <v>1.54</v>
      </c>
      <c r="AB22" s="45">
        <f>(2*Trucks[[#This Row],[Distance{d}(km)]]*Trucks[[#This Row],[Fuel consumption{F}(L/km)]]*Trucks[[#This Row],[Fuel Price{FP}(€/L)]])/Trucks[[#This Row],[Max load capacity of trailer{HT(capacity)}'[kg']]]</f>
        <v>2.2000000000000002E-2</v>
      </c>
      <c r="AC22" s="45">
        <f>Trucks[[#This Row],[LCOHT,Fuel(€/kg)]]+Trucks[[#This Row],[LCOHT,Labor(€/kg)]]+Trucks[[#This Row],[LCOHT(O&amp;M)(€/kg)]]+Trucks[[#This Row],[LCOHT,Invest(€/kg)]]</f>
        <v>0.35042724679830117</v>
      </c>
      <c r="AD22" s="3">
        <f>ROUND(4.4422037649,0)</f>
        <v>4</v>
      </c>
      <c r="AE22" s="45">
        <f>IF(Trucks[[#This Row],[Component]]="Trailer(350 bar)",399.2568937,415.300722807)</f>
        <v>415.300722807</v>
      </c>
      <c r="AF22" s="45">
        <f>((Trucks[[#This Row],[Daily Hydrogen Demand{mH2}(kg/day)]])/(0.002*24*60*60))</f>
        <v>173.61111111111111</v>
      </c>
      <c r="AG22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2187107.5275901076</v>
      </c>
      <c r="AH22" s="45">
        <f>Trucks[[#This Row],[Compressor Power{P} (kW)]]/0.95</f>
        <v>2302218.4500948503</v>
      </c>
      <c r="AI22" s="45">
        <f>IF(Trucks[[#This Row],[Component]]="Trailer(350 bar)",54851.4*POWER(0.001* Trucks[[#This Row],[Rated Power{Pc}(kW)]],0.4603)*1.3, 54184.17*POWER(0.001* Trucks[[#This Row],[Rated Power{Pc}(kW)]],0.6038)*1.3)</f>
        <v>7548833.6011698069</v>
      </c>
      <c r="AJ22" s="45">
        <f>0.28*Trucks[[#This Row],[Total installation costs{TIC}]]</f>
        <v>2113673.408327546</v>
      </c>
      <c r="AK22" s="45">
        <f>Trucks[[#This Row],[Indirect costs{Id}]]+Trucks[[#This Row],[Total installation costs{TIC}]]</f>
        <v>9662507.0094973519</v>
      </c>
      <c r="AL22" s="45">
        <f>(Trucks[[#This Row],[Investment cost for truck loading compressor{Invest}]]*0.11682954493602)/(0.9*Trucks[[#This Row],[Daily Hydrogen Demand{mH2}(kg/day)]]*365)</f>
        <v>0.11454756944299128</v>
      </c>
      <c r="AM22" s="45">
        <f>Trucks[[#This Row],[No of annual hours{Ann}]]*Trucks[[#This Row],[Hourly salary {S}(€/h)]]</f>
        <v>3836.5892584880066</v>
      </c>
      <c r="AN22" s="45">
        <f>0.5*Trucks[[#This Row],[Direct labor costs{dL}]]</f>
        <v>1918.2946292440033</v>
      </c>
      <c r="AO22" s="45">
        <f>POWER(Trucks[[#This Row],[Daily Hydrogen Demand{mH2}(kg/day)]]/100000,0.25)*288</f>
        <v>213.14384769377816</v>
      </c>
      <c r="AP22" s="45">
        <v>18</v>
      </c>
      <c r="AQ22" s="45">
        <f>(0.021*Trucks[[#This Row],[Investment cost for truck loading compressor{Invest}]])+(0.04*Trucks[[#This Row],[Total installation costs{TIC}]])</f>
        <v>504865.99124623672</v>
      </c>
      <c r="AR22" s="45">
        <f>Trucks[[#This Row],[O&amp;Mc]]+Trucks[[#This Row],[Indirect labor costs{Idl}]]+Trucks[[#This Row],[Direct labor costs{dL}]]</f>
        <v>510620.87513396877</v>
      </c>
      <c r="AS22" s="45">
        <f>(Trucks[[#This Row],[Non energy cost for compressor(NE)]])/(0.9*Trucks[[#This Row],[Daily Hydrogen Demand{mH2}(kg/day)]]*365)</f>
        <v>5.1813381545811138E-2</v>
      </c>
      <c r="AT22" s="45">
        <f>(Trucks[[#This Row],[Rated Power{Pc}(kW)]])*0.001 * 0.306 * 24 * 365</f>
        <v>6171234.6885862509</v>
      </c>
      <c r="AU22" s="45">
        <f>(Trucks[[#This Row],[Annual energy cost for compression(Ec)(€)]])/(0.9*Trucks[[#This Row],[Daily Hydrogen Demand{mH2}(kg/day)]]*365)</f>
        <v>0.62620341842579919</v>
      </c>
      <c r="AV22" s="45">
        <f>Trucks[[#This Row],[LCOHT,E]]+Trucks[[#This Row],[LCOHT,NE]]+Trucks[[#This Row],[LCOHT,Invest]]</f>
        <v>0.79256436941460162</v>
      </c>
      <c r="AW22" s="45">
        <f>Trucks[[#This Row],[LOCHT For trucking compressor]]+Trucks[[#This Row],[LCOHT,Trucking]]</f>
        <v>1.1429916162129028</v>
      </c>
    </row>
    <row r="23" spans="1:49">
      <c r="A23" t="s">
        <v>424</v>
      </c>
      <c r="B23">
        <v>1330</v>
      </c>
      <c r="C23">
        <v>10000</v>
      </c>
      <c r="D23">
        <f>C23/B23</f>
        <v>7.518796992481203</v>
      </c>
      <c r="E23">
        <v>25</v>
      </c>
      <c r="F23">
        <v>65</v>
      </c>
      <c r="G23">
        <v>1</v>
      </c>
      <c r="H23">
        <v>1</v>
      </c>
      <c r="I23">
        <f>((2*E23)/F23)+G23+H23</f>
        <v>2.7692307692307692</v>
      </c>
      <c r="J23">
        <v>9</v>
      </c>
      <c r="K23">
        <f t="shared" si="0"/>
        <v>3.25</v>
      </c>
      <c r="L23">
        <v>0.8</v>
      </c>
      <c r="M23">
        <v>3</v>
      </c>
      <c r="N23">
        <f>2*M23</f>
        <v>6</v>
      </c>
      <c r="O23">
        <f>(0.08*((1.08)^15))/((1.08^15)-1)</f>
        <v>0.11682954493601999</v>
      </c>
      <c r="P23">
        <v>1100</v>
      </c>
      <c r="Q23">
        <f t="shared" si="1"/>
        <v>0.17401476059182211</v>
      </c>
      <c r="R23">
        <v>180</v>
      </c>
      <c r="S23">
        <f>((M23*Q23*R23*1000)+(N23*O23*P23*1000))/(C23*365)</f>
        <v>0.23699807323214131</v>
      </c>
      <c r="T23">
        <v>0.1</v>
      </c>
      <c r="U23" s="45">
        <f>((2*Trucks[[#This Row],[Distance{d}(km)]]*Trucks[[#This Row],[No of delieveries per day {nd}]])/Trucks[[#This Row],[No of trucks{Nt}]])*365</f>
        <v>45739.348370927321</v>
      </c>
      <c r="V23" s="45">
        <f>0.02*Trucks[[#This Row],[Investment cost, Trailer{ICTr}(k€)]]</f>
        <v>22</v>
      </c>
      <c r="W23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4.3540220414048821E-2</v>
      </c>
      <c r="X23" s="45">
        <v>23</v>
      </c>
      <c r="Y23" s="45">
        <f>(Trucks[[#This Row],[Total time for delievery{td}(h)]]*Trucks[[#This Row],[Labor cost{ST}(€/h)]])/Trucks[[#This Row],[Max load capacity of trailer{HT(capacity)}'[kg']]]</f>
        <v>4.7888953152111051E-2</v>
      </c>
      <c r="Z23" s="45">
        <v>0.38</v>
      </c>
      <c r="AA23" s="45">
        <v>1.54</v>
      </c>
      <c r="AB23" s="45">
        <f>(2*Trucks[[#This Row],[Distance{d}(km)]]*Trucks[[#This Row],[Fuel consumption{F}(L/km)]]*Trucks[[#This Row],[Fuel Price{FP}(€/L)]])/Trucks[[#This Row],[Max load capacity of trailer{HT(capacity)}'[kg']]]</f>
        <v>2.2000000000000002E-2</v>
      </c>
      <c r="AC23" s="45">
        <f>Trucks[[#This Row],[LCOHT,Fuel(€/kg)]]+Trucks[[#This Row],[LCOHT,Labor(€/kg)]]+Trucks[[#This Row],[LCOHT(O&amp;M)(€/kg)]]+Trucks[[#This Row],[LCOHT,Invest(€/kg)]]</f>
        <v>0.35042724679830117</v>
      </c>
      <c r="AD23" s="3">
        <f>ROUND(4.4422037649,0)</f>
        <v>4</v>
      </c>
      <c r="AE23" s="45">
        <f>IF(Trucks[[#This Row],[Component]]="Trailer(350 bar)",399.2568937,415.300722807)</f>
        <v>415.300722807</v>
      </c>
      <c r="AF23" s="45">
        <f>((Trucks[[#This Row],[Daily Hydrogen Demand{mH2}(kg/day)]])/(0.002*24*60*60))</f>
        <v>57.870370370370374</v>
      </c>
      <c r="AG23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729035.842530036</v>
      </c>
      <c r="AH23" s="45">
        <f>Trucks[[#This Row],[Compressor Power{P} (kW)]]/0.95</f>
        <v>767406.15003161691</v>
      </c>
      <c r="AI23" s="45">
        <f>IF(Trucks[[#This Row],[Component]]="Trailer(350 bar)",54851.4*POWER(0.001* Trucks[[#This Row],[Rated Power{Pc}(kW)]],0.4603)*1.3, 54184.17*POWER(0.001* Trucks[[#This Row],[Rated Power{Pc}(kW)]],0.6038)*1.3)</f>
        <v>3888606.866641616</v>
      </c>
      <c r="AJ23" s="45">
        <f>0.28*Trucks[[#This Row],[Total installation costs{TIC}]]</f>
        <v>1088809.9226596525</v>
      </c>
      <c r="AK23" s="45">
        <f>Trucks[[#This Row],[Indirect costs{Id}]]+Trucks[[#This Row],[Total installation costs{TIC}]]</f>
        <v>4977416.7893012688</v>
      </c>
      <c r="AL23" s="45">
        <f>(Trucks[[#This Row],[Investment cost for truck loading compressor{Invest}]]*0.11682954493602)/(0.9*Trucks[[#This Row],[Daily Hydrogen Demand{mH2}(kg/day)]]*365)</f>
        <v>0.17701958552541036</v>
      </c>
      <c r="AM23" s="45">
        <f>Trucks[[#This Row],[No of annual hours{Ann}]]*Trucks[[#This Row],[Hourly salary {S}(€/h)]]</f>
        <v>2915.1774297867696</v>
      </c>
      <c r="AN23" s="45">
        <f>0.5*Trucks[[#This Row],[Direct labor costs{dL}]]</f>
        <v>1457.5887148933848</v>
      </c>
      <c r="AO23" s="45">
        <f>POWER(Trucks[[#This Row],[Daily Hydrogen Demand{mH2}(kg/day)]]/100000,0.25)*288</f>
        <v>161.95430165482054</v>
      </c>
      <c r="AP23" s="45">
        <v>18</v>
      </c>
      <c r="AQ23" s="45">
        <f>(0.021*Trucks[[#This Row],[Investment cost for truck loading compressor{Invest}]])+(0.04*Trucks[[#This Row],[Total installation costs{TIC}]])</f>
        <v>260070.0272409913</v>
      </c>
      <c r="AR23" s="45">
        <f>Trucks[[#This Row],[O&amp;Mc]]+Trucks[[#This Row],[Indirect labor costs{Idl}]]+Trucks[[#This Row],[Direct labor costs{dL}]]</f>
        <v>264442.79338567145</v>
      </c>
      <c r="AS23" s="45">
        <f>(Trucks[[#This Row],[Non energy cost for compressor(NE)]])/(0.9*Trucks[[#This Row],[Daily Hydrogen Demand{mH2}(kg/day)]]*365)</f>
        <v>8.050008931070668E-2</v>
      </c>
      <c r="AT23" s="45">
        <f>(Trucks[[#This Row],[Rated Power{Pc}(kW)]])*0.001 * 0.306 * 24 * 365</f>
        <v>2057078.229528751</v>
      </c>
      <c r="AU23" s="45">
        <f>(Trucks[[#This Row],[Annual energy cost for compression(Ec)(€)]])/(0.9*Trucks[[#This Row],[Daily Hydrogen Demand{mH2}(kg/day)]]*365)</f>
        <v>0.62620341842579941</v>
      </c>
      <c r="AV23" s="45">
        <f>Trucks[[#This Row],[LCOHT,E]]+Trucks[[#This Row],[LCOHT,NE]]+Trucks[[#This Row],[LCOHT,Invest]]</f>
        <v>0.88372309326191645</v>
      </c>
      <c r="AW23" s="45">
        <f>Trucks[[#This Row],[LOCHT For trucking compressor]]+Trucks[[#This Row],[LCOHT,Trucking]]</f>
        <v>1.2341503400602176</v>
      </c>
    </row>
    <row r="24" spans="1:49">
      <c r="A24" t="s">
        <v>423</v>
      </c>
      <c r="B24">
        <v>900</v>
      </c>
      <c r="C24">
        <v>30000</v>
      </c>
      <c r="D24">
        <f>C24/B24</f>
        <v>33.333333333333336</v>
      </c>
      <c r="E24">
        <v>100</v>
      </c>
      <c r="F24">
        <v>72</v>
      </c>
      <c r="G24">
        <v>1</v>
      </c>
      <c r="H24">
        <v>1</v>
      </c>
      <c r="I24">
        <f>((2*E24)/F24)+G24+H24</f>
        <v>4.7777777777777777</v>
      </c>
      <c r="J24">
        <v>9</v>
      </c>
      <c r="K24">
        <f t="shared" si="0"/>
        <v>1.8837209302325582</v>
      </c>
      <c r="L24">
        <v>0.8</v>
      </c>
      <c r="M24">
        <v>23</v>
      </c>
      <c r="N24">
        <f>2*M24</f>
        <v>46</v>
      </c>
      <c r="O24">
        <f>(0.08*((1.08)^15))/((1.08^15)-1)</f>
        <v>0.11682954493601999</v>
      </c>
      <c r="P24">
        <v>689</v>
      </c>
      <c r="Q24">
        <f t="shared" si="1"/>
        <v>0.17401476059182211</v>
      </c>
      <c r="R24">
        <v>180</v>
      </c>
      <c r="S24">
        <f>((M24*Q24*R24*1000)+(N24*O24*P24*1000))/(C24*365)</f>
        <v>0.40394673114633434</v>
      </c>
      <c r="T24">
        <v>0.1</v>
      </c>
      <c r="U24" s="45">
        <f>((2*Trucks[[#This Row],[Distance{d}(km)]]*Trucks[[#This Row],[No of delieveries per day {nd}]])/Trucks[[#This Row],[No of trucks{Nt}]])*365</f>
        <v>105797.10144927536</v>
      </c>
      <c r="V24" s="45">
        <f>0.02*Trucks[[#This Row],[Investment cost, Trailer{ICTr}(k€)]]</f>
        <v>13.780000000000001</v>
      </c>
      <c r="W24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6.210745692541858E-2</v>
      </c>
      <c r="X24" s="45">
        <v>23</v>
      </c>
      <c r="Y24" s="45">
        <f>(Trucks[[#This Row],[Total time for delievery{td}(h)]]*Trucks[[#This Row],[Labor cost{ST}(€/h)]])/Trucks[[#This Row],[Max load capacity of trailer{HT(capacity)}'[kg']]]</f>
        <v>0.12209876543209876</v>
      </c>
      <c r="Z24" s="45">
        <v>0.38</v>
      </c>
      <c r="AA24" s="45">
        <v>1.54</v>
      </c>
      <c r="AB24" s="45">
        <f>(2*Trucks[[#This Row],[Distance{d}(km)]]*Trucks[[#This Row],[Fuel consumption{F}(L/km)]]*Trucks[[#This Row],[Fuel Price{FP}(€/L)]])/Trucks[[#This Row],[Max load capacity of trailer{HT(capacity)}'[kg']]]</f>
        <v>0.13004444444444446</v>
      </c>
      <c r="AC24" s="45">
        <f>Trucks[[#This Row],[LCOHT,Fuel(€/kg)]]+Trucks[[#This Row],[LCOHT,Labor(€/kg)]]+Trucks[[#This Row],[LCOHT(O&amp;M)(€/kg)]]+Trucks[[#This Row],[LCOHT,Invest(€/kg)]]</f>
        <v>0.71819739794829607</v>
      </c>
      <c r="AD24" s="3">
        <f>ROUND(4.4422037649,0)</f>
        <v>4</v>
      </c>
      <c r="AE24" s="45">
        <f>IF(Trucks[[#This Row],[Component]]="Trailer(350 bar)",399.2568937,415.300722807)</f>
        <v>399.25689369999998</v>
      </c>
      <c r="AF24" s="45">
        <f>((Trucks[[#This Row],[Daily Hydrogen Demand{mH2}(kg/day)]])/(0.002*24*60*60))</f>
        <v>173.61111111111111</v>
      </c>
      <c r="AG24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1868547.843972584</v>
      </c>
      <c r="AH24" s="45">
        <f>Trucks[[#This Row],[Compressor Power{P} (kW)]]/0.95</f>
        <v>1966892.4673395623</v>
      </c>
      <c r="AI24" s="45">
        <f>IF(Trucks[[#This Row],[Component]]="Trailer(350 bar)",54851.4*POWER(0.001* Trucks[[#This Row],[Rated Power{Pc}(kW)]],0.4603)*1.3, 54184.17*POWER(0.001* Trucks[[#This Row],[Rated Power{Pc}(kW)]],0.6038)*1.3)</f>
        <v>2340228.6245801435</v>
      </c>
      <c r="AJ24" s="45">
        <f>0.28*Trucks[[#This Row],[Total installation costs{TIC}]]</f>
        <v>655264.01488244021</v>
      </c>
      <c r="AK24" s="45">
        <f>Trucks[[#This Row],[Indirect costs{Id}]]+Trucks[[#This Row],[Total installation costs{TIC}]]</f>
        <v>2995492.6394625837</v>
      </c>
      <c r="AL24" s="45">
        <f>(Trucks[[#This Row],[Investment cost for truck loading compressor{Invest}]]*0.11682954493602)/(0.9*Trucks[[#This Row],[Daily Hydrogen Demand{mH2}(kg/day)]]*365)</f>
        <v>3.5511115365561757E-2</v>
      </c>
      <c r="AM24" s="45">
        <f>Trucks[[#This Row],[No of annual hours{Ann}]]*Trucks[[#This Row],[Hourly salary {S}(€/h)]]</f>
        <v>3836.5892584880066</v>
      </c>
      <c r="AN24" s="45">
        <f>0.5*Trucks[[#This Row],[Direct labor costs{dL}]]</f>
        <v>1918.2946292440033</v>
      </c>
      <c r="AO24" s="45">
        <f>POWER(Trucks[[#This Row],[Daily Hydrogen Demand{mH2}(kg/day)]]/100000,0.25)*288</f>
        <v>213.14384769377816</v>
      </c>
      <c r="AP24" s="45">
        <v>18</v>
      </c>
      <c r="AQ24" s="45">
        <f>(0.021*Trucks[[#This Row],[Investment cost for truck loading compressor{Invest}]])+(0.04*Trucks[[#This Row],[Total installation costs{TIC}]])</f>
        <v>156514.49041192001</v>
      </c>
      <c r="AR24" s="45">
        <f>Trucks[[#This Row],[O&amp;Mc]]+Trucks[[#This Row],[Indirect labor costs{Idl}]]+Trucks[[#This Row],[Direct labor costs{dL}]]</f>
        <v>162269.37429965203</v>
      </c>
      <c r="AS24" s="45">
        <f>(Trucks[[#This Row],[Non energy cost for compressor(NE)]])/(0.9*Trucks[[#This Row],[Daily Hydrogen Demand{mH2}(kg/day)]]*365)</f>
        <v>1.6465689934008324E-2</v>
      </c>
      <c r="AT24" s="45">
        <f>(Trucks[[#This Row],[Rated Power{Pc}(kW)]])*0.001 * 0.306 * 24 * 365</f>
        <v>5272373.2722517373</v>
      </c>
      <c r="AU24" s="45">
        <f>(Trucks[[#This Row],[Annual energy cost for compression(Ec)(€)]])/(0.9*Trucks[[#This Row],[Daily Hydrogen Demand{mH2}(kg/day)]]*365)</f>
        <v>0.53499475111636097</v>
      </c>
      <c r="AV24" s="45">
        <f>Trucks[[#This Row],[LCOHT,E]]+Trucks[[#This Row],[LCOHT,NE]]+Trucks[[#This Row],[LCOHT,Invest]]</f>
        <v>0.58697155641593102</v>
      </c>
      <c r="AW24" s="45">
        <f>Trucks[[#This Row],[LOCHT For trucking compressor]]+Trucks[[#This Row],[LCOHT,Trucking]]</f>
        <v>1.3051689543642271</v>
      </c>
    </row>
    <row r="25" spans="1:49">
      <c r="A25" t="s">
        <v>423</v>
      </c>
      <c r="B25">
        <v>900</v>
      </c>
      <c r="C25">
        <v>10000</v>
      </c>
      <c r="D25">
        <f>C25/B25</f>
        <v>11.111111111111111</v>
      </c>
      <c r="E25">
        <v>100</v>
      </c>
      <c r="F25">
        <v>72</v>
      </c>
      <c r="G25">
        <v>1</v>
      </c>
      <c r="H25">
        <v>1</v>
      </c>
      <c r="I25">
        <f>((2*E25)/F25)+G25+H25</f>
        <v>4.7777777777777777</v>
      </c>
      <c r="J25">
        <v>9</v>
      </c>
      <c r="K25">
        <f t="shared" si="0"/>
        <v>1.8837209302325582</v>
      </c>
      <c r="L25">
        <v>0.8</v>
      </c>
      <c r="M25">
        <v>8</v>
      </c>
      <c r="N25">
        <f>2*M25</f>
        <v>16</v>
      </c>
      <c r="O25">
        <f>(0.08*((1.08)^15))/((1.08^15)-1)</f>
        <v>0.11682954493601999</v>
      </c>
      <c r="P25">
        <v>689</v>
      </c>
      <c r="Q25">
        <f t="shared" si="1"/>
        <v>0.17401476059182211</v>
      </c>
      <c r="R25">
        <v>180</v>
      </c>
      <c r="S25">
        <f>((M25*Q25*R25*1000)+(N25*O25*P25*1000))/(C25*365)</f>
        <v>0.42150963250052281</v>
      </c>
      <c r="T25">
        <v>0.1</v>
      </c>
      <c r="U25" s="45">
        <f>((2*Trucks[[#This Row],[Distance{d}(km)]]*Trucks[[#This Row],[No of delieveries per day {nd}]])/Trucks[[#This Row],[No of trucks{Nt}]])*365</f>
        <v>101388.88888888889</v>
      </c>
      <c r="V25" s="45">
        <f>0.02*Trucks[[#This Row],[Investment cost, Trailer{ICTr}(k€)]]</f>
        <v>13.780000000000001</v>
      </c>
      <c r="W25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6.3841597564687977E-2</v>
      </c>
      <c r="X25" s="45">
        <v>23</v>
      </c>
      <c r="Y25" s="45">
        <f>(Trucks[[#This Row],[Total time for delievery{td}(h)]]*Trucks[[#This Row],[Labor cost{ST}(€/h)]])/Trucks[[#This Row],[Max load capacity of trailer{HT(capacity)}'[kg']]]</f>
        <v>0.12209876543209876</v>
      </c>
      <c r="Z25" s="45">
        <v>0.38</v>
      </c>
      <c r="AA25" s="45">
        <v>1.54</v>
      </c>
      <c r="AB25" s="45">
        <f>(2*Trucks[[#This Row],[Distance{d}(km)]]*Trucks[[#This Row],[Fuel consumption{F}(L/km)]]*Trucks[[#This Row],[Fuel Price{FP}(€/L)]])/Trucks[[#This Row],[Max load capacity of trailer{HT(capacity)}'[kg']]]</f>
        <v>0.13004444444444446</v>
      </c>
      <c r="AC25" s="45">
        <f>Trucks[[#This Row],[LCOHT,Fuel(€/kg)]]+Trucks[[#This Row],[LCOHT,Labor(€/kg)]]+Trucks[[#This Row],[LCOHT(O&amp;M)(€/kg)]]+Trucks[[#This Row],[LCOHT,Invest(€/kg)]]</f>
        <v>0.73749443994175401</v>
      </c>
      <c r="AD25" s="3">
        <f>ROUND(4.4422037649,0)</f>
        <v>4</v>
      </c>
      <c r="AE25" s="45">
        <f>IF(Trucks[[#This Row],[Component]]="Trailer(350 bar)",399.2568937,415.300722807)</f>
        <v>399.25689369999998</v>
      </c>
      <c r="AF25" s="45">
        <f>((Trucks[[#This Row],[Daily Hydrogen Demand{mH2}(kg/day)]])/(0.002*24*60*60))</f>
        <v>57.870370370370374</v>
      </c>
      <c r="AG25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622849.28132419463</v>
      </c>
      <c r="AH25" s="45">
        <f>Trucks[[#This Row],[Compressor Power{P} (kW)]]/0.95</f>
        <v>655630.82244652067</v>
      </c>
      <c r="AI25" s="45">
        <f>IF(Trucks[[#This Row],[Component]]="Trailer(350 bar)",54851.4*POWER(0.001* Trucks[[#This Row],[Rated Power{Pc}(kW)]],0.4603)*1.3, 54184.17*POWER(0.001* Trucks[[#This Row],[Rated Power{Pc}(kW)]],0.6038)*1.3)</f>
        <v>1411365.0984156388</v>
      </c>
      <c r="AJ25" s="45">
        <f>0.28*Trucks[[#This Row],[Total installation costs{TIC}]]</f>
        <v>395182.22755637887</v>
      </c>
      <c r="AK25" s="45">
        <f>Trucks[[#This Row],[Indirect costs{Id}]]+Trucks[[#This Row],[Total installation costs{TIC}]]</f>
        <v>1806547.3259720176</v>
      </c>
      <c r="AL25" s="45">
        <f>(Trucks[[#This Row],[Investment cost for truck loading compressor{Invest}]]*0.11682954493602)/(0.9*Trucks[[#This Row],[Daily Hydrogen Demand{mH2}(kg/day)]]*365)</f>
        <v>6.4249041704321039E-2</v>
      </c>
      <c r="AM25" s="45">
        <f>Trucks[[#This Row],[No of annual hours{Ann}]]*Trucks[[#This Row],[Hourly salary {S}(€/h)]]</f>
        <v>2915.1774297867696</v>
      </c>
      <c r="AN25" s="45">
        <f>0.5*Trucks[[#This Row],[Direct labor costs{dL}]]</f>
        <v>1457.5887148933848</v>
      </c>
      <c r="AO25" s="45">
        <f>POWER(Trucks[[#This Row],[Daily Hydrogen Demand{mH2}(kg/day)]]/100000,0.25)*288</f>
        <v>161.95430165482054</v>
      </c>
      <c r="AP25" s="45">
        <v>18</v>
      </c>
      <c r="AQ25" s="45">
        <f>(0.021*Trucks[[#This Row],[Investment cost for truck loading compressor{Invest}]])+(0.04*Trucks[[#This Row],[Total installation costs{TIC}]])</f>
        <v>94392.097782037919</v>
      </c>
      <c r="AR25" s="45">
        <f>Trucks[[#This Row],[O&amp;Mc]]+Trucks[[#This Row],[Indirect labor costs{Idl}]]+Trucks[[#This Row],[Direct labor costs{dL}]]</f>
        <v>98764.86392671807</v>
      </c>
      <c r="AS25" s="45">
        <f>(Trucks[[#This Row],[Non energy cost for compressor(NE)]])/(0.9*Trucks[[#This Row],[Daily Hydrogen Demand{mH2}(kg/day)]]*365)</f>
        <v>3.0065407588042031E-2</v>
      </c>
      <c r="AT25" s="45">
        <f>(Trucks[[#This Row],[Rated Power{Pc}(kW)]])*0.001 * 0.306 * 24 * 365</f>
        <v>1757457.7574172453</v>
      </c>
      <c r="AU25" s="45">
        <f>(Trucks[[#This Row],[Annual energy cost for compression(Ec)(€)]])/(0.9*Trucks[[#This Row],[Daily Hydrogen Demand{mH2}(kg/day)]]*365)</f>
        <v>0.53499475111636086</v>
      </c>
      <c r="AV25" s="45">
        <f>Trucks[[#This Row],[LCOHT,E]]+Trucks[[#This Row],[LCOHT,NE]]+Trucks[[#This Row],[LCOHT,Invest]]</f>
        <v>0.62930920040872385</v>
      </c>
      <c r="AW25" s="45">
        <f>Trucks[[#This Row],[LOCHT For trucking compressor]]+Trucks[[#This Row],[LCOHT,Trucking]]</f>
        <v>1.366803640350478</v>
      </c>
    </row>
    <row r="26" spans="1:49">
      <c r="A26" t="s">
        <v>423</v>
      </c>
      <c r="B26">
        <v>900</v>
      </c>
      <c r="C26">
        <v>2000</v>
      </c>
      <c r="D26">
        <f>C26/B26</f>
        <v>2.2222222222222223</v>
      </c>
      <c r="E26">
        <v>100</v>
      </c>
      <c r="F26">
        <v>72</v>
      </c>
      <c r="G26">
        <v>1</v>
      </c>
      <c r="H26">
        <v>1</v>
      </c>
      <c r="I26">
        <f>((2*E26)/F26)+G26+H26</f>
        <v>4.7777777777777777</v>
      </c>
      <c r="J26">
        <v>9</v>
      </c>
      <c r="K26">
        <f t="shared" si="0"/>
        <v>1.8837209302325582</v>
      </c>
      <c r="L26">
        <v>0.8</v>
      </c>
      <c r="M26">
        <v>2</v>
      </c>
      <c r="N26">
        <f>2*M26</f>
        <v>4</v>
      </c>
      <c r="O26">
        <f>(0.08*((1.08)^15))/((1.08^15)-1)</f>
        <v>0.11682954493601999</v>
      </c>
      <c r="P26">
        <v>689</v>
      </c>
      <c r="Q26">
        <f t="shared" si="1"/>
        <v>0.17401476059182211</v>
      </c>
      <c r="R26">
        <v>180</v>
      </c>
      <c r="S26">
        <f>((M26*Q26*R26*1000)+(N26*O26*P26*1000))/(C26*365)</f>
        <v>0.5268870406256535</v>
      </c>
      <c r="T26">
        <v>0.1</v>
      </c>
      <c r="U26" s="45">
        <f>((2*Trucks[[#This Row],[Distance{d}(km)]]*Trucks[[#This Row],[No of delieveries per day {nd}]])/Trucks[[#This Row],[No of trucks{Nt}]])*365</f>
        <v>81111.111111111109</v>
      </c>
      <c r="V26" s="45">
        <f>0.02*Trucks[[#This Row],[Investment cost, Trailer{ICTr}(k€)]]</f>
        <v>13.780000000000001</v>
      </c>
      <c r="W26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7.4246441400304425E-2</v>
      </c>
      <c r="X26" s="45">
        <v>23</v>
      </c>
      <c r="Y26" s="45">
        <f>(Trucks[[#This Row],[Total time for delievery{td}(h)]]*Trucks[[#This Row],[Labor cost{ST}(€/h)]])/Trucks[[#This Row],[Max load capacity of trailer{HT(capacity)}'[kg']]]</f>
        <v>0.12209876543209876</v>
      </c>
      <c r="Z26" s="45">
        <v>0.38</v>
      </c>
      <c r="AA26" s="45">
        <v>1.54</v>
      </c>
      <c r="AB26" s="45">
        <f>(2*Trucks[[#This Row],[Distance{d}(km)]]*Trucks[[#This Row],[Fuel consumption{F}(L/km)]]*Trucks[[#This Row],[Fuel Price{FP}(€/L)]])/Trucks[[#This Row],[Max load capacity of trailer{HT(capacity)}'[kg']]]</f>
        <v>0.13004444444444446</v>
      </c>
      <c r="AC26" s="45">
        <f>Trucks[[#This Row],[LCOHT,Fuel(€/kg)]]+Trucks[[#This Row],[LCOHT,Labor(€/kg)]]+Trucks[[#This Row],[LCOHT(O&amp;M)(€/kg)]]+Trucks[[#This Row],[LCOHT,Invest(€/kg)]]</f>
        <v>0.85327669190250111</v>
      </c>
      <c r="AD26" s="3">
        <f>ROUND(4.4422037649,0)</f>
        <v>4</v>
      </c>
      <c r="AE26" s="45">
        <f>IF(Trucks[[#This Row],[Component]]="Trailer(350 bar)",399.2568937,415.300722807)</f>
        <v>399.25689369999998</v>
      </c>
      <c r="AF26" s="45">
        <f>((Trucks[[#This Row],[Daily Hydrogen Demand{mH2}(kg/day)]])/(0.002*24*60*60))</f>
        <v>11.574074074074074</v>
      </c>
      <c r="AG26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124569.85626483895</v>
      </c>
      <c r="AH26" s="45">
        <f>Trucks[[#This Row],[Compressor Power{P} (kW)]]/0.95</f>
        <v>131126.16448930415</v>
      </c>
      <c r="AI26" s="45">
        <f>IF(Trucks[[#This Row],[Component]]="Trailer(350 bar)",54851.4*POWER(0.001* Trucks[[#This Row],[Rated Power{Pc}(kW)]],0.4603)*1.3, 54184.17*POWER(0.001* Trucks[[#This Row],[Rated Power{Pc}(kW)]],0.6038)*1.3)</f>
        <v>672827.10776915017</v>
      </c>
      <c r="AJ26" s="45">
        <f>0.28*Trucks[[#This Row],[Total installation costs{TIC}]]</f>
        <v>188391.59017536207</v>
      </c>
      <c r="AK26" s="45">
        <f>Trucks[[#This Row],[Indirect costs{Id}]]+Trucks[[#This Row],[Total installation costs{TIC}]]</f>
        <v>861218.69794451224</v>
      </c>
      <c r="AL26" s="45">
        <f>(Trucks[[#This Row],[Investment cost for truck loading compressor{Invest}]]*0.11682954493602)/(0.9*Trucks[[#This Row],[Daily Hydrogen Demand{mH2}(kg/day)]]*365)</f>
        <v>0.15314427484208376</v>
      </c>
      <c r="AM26" s="45">
        <f>Trucks[[#This Row],[No of annual hours{Ann}]]*Trucks[[#This Row],[Hourly salary {S}(€/h)]]</f>
        <v>1949.4966434559865</v>
      </c>
      <c r="AN26" s="45">
        <f>0.5*Trucks[[#This Row],[Direct labor costs{dL}]]</f>
        <v>974.74832172799324</v>
      </c>
      <c r="AO26" s="45">
        <f>POWER(Trucks[[#This Row],[Daily Hydrogen Demand{mH2}(kg/day)]]/100000,0.25)*288</f>
        <v>108.30536908088814</v>
      </c>
      <c r="AP26" s="45">
        <v>18</v>
      </c>
      <c r="AQ26" s="45">
        <f>(0.021*Trucks[[#This Row],[Investment cost for truck loading compressor{Invest}]])+(0.04*Trucks[[#This Row],[Total installation costs{TIC}]])</f>
        <v>44998.676967600768</v>
      </c>
      <c r="AR26" s="45">
        <f>Trucks[[#This Row],[O&amp;Mc]]+Trucks[[#This Row],[Indirect labor costs{Idl}]]+Trucks[[#This Row],[Direct labor costs{dL}]]</f>
        <v>47922.921932784753</v>
      </c>
      <c r="AS26" s="45">
        <f>(Trucks[[#This Row],[Non energy cost for compressor(NE)]])/(0.9*Trucks[[#This Row],[Daily Hydrogen Demand{mH2}(kg/day)]]*365)</f>
        <v>7.2942042515654115E-2</v>
      </c>
      <c r="AT26" s="45">
        <f>(Trucks[[#This Row],[Rated Power{Pc}(kW)]])*0.001 * 0.306 * 24 * 365</f>
        <v>351491.55148344918</v>
      </c>
      <c r="AU26" s="45">
        <f>(Trucks[[#This Row],[Annual energy cost for compression(Ec)(€)]])/(0.9*Trucks[[#This Row],[Daily Hydrogen Demand{mH2}(kg/day)]]*365)</f>
        <v>0.53499475111636097</v>
      </c>
      <c r="AV26" s="45">
        <f>Trucks[[#This Row],[LCOHT,E]]+Trucks[[#This Row],[LCOHT,NE]]+Trucks[[#This Row],[LCOHT,Invest]]</f>
        <v>0.76108106847409873</v>
      </c>
      <c r="AW26" s="45">
        <f>Trucks[[#This Row],[LOCHT For trucking compressor]]+Trucks[[#This Row],[LCOHT,Trucking]]</f>
        <v>1.6143577603765999</v>
      </c>
    </row>
    <row r="27" spans="1:49">
      <c r="A27" t="s">
        <v>424</v>
      </c>
      <c r="B27">
        <v>1330</v>
      </c>
      <c r="C27">
        <v>30000</v>
      </c>
      <c r="D27">
        <f>C27/B27</f>
        <v>22.556390977443609</v>
      </c>
      <c r="E27">
        <v>100</v>
      </c>
      <c r="F27">
        <v>72</v>
      </c>
      <c r="G27">
        <v>1</v>
      </c>
      <c r="H27">
        <v>1</v>
      </c>
      <c r="I27">
        <f>((2*E27)/F27)+G27+H27</f>
        <v>4.7777777777777777</v>
      </c>
      <c r="J27">
        <v>9</v>
      </c>
      <c r="K27">
        <f t="shared" si="0"/>
        <v>1.8837209302325582</v>
      </c>
      <c r="L27">
        <v>0.8</v>
      </c>
      <c r="M27">
        <v>15</v>
      </c>
      <c r="N27">
        <f>2*M27</f>
        <v>30</v>
      </c>
      <c r="O27">
        <f>(0.08*((1.08)^15))/((1.08^15)-1)</f>
        <v>0.11682954493601999</v>
      </c>
      <c r="P27">
        <v>1100</v>
      </c>
      <c r="Q27">
        <f t="shared" si="1"/>
        <v>0.17401476059182211</v>
      </c>
      <c r="R27">
        <v>180</v>
      </c>
      <c r="S27">
        <f>((M27*Q27*R27*1000)+(N27*O27*P27*1000))/(C27*365)</f>
        <v>0.39499678872023558</v>
      </c>
      <c r="T27">
        <v>0.1</v>
      </c>
      <c r="U27" s="45">
        <f>((2*Trucks[[#This Row],[Distance{d}(km)]]*Trucks[[#This Row],[No of delieveries per day {nd}]])/Trucks[[#This Row],[No of trucks{Nt}]])*365</f>
        <v>109774.43609022556</v>
      </c>
      <c r="V27" s="45">
        <f>0.02*Trucks[[#This Row],[Investment cost, Trailer{ICTr}(k€)]]</f>
        <v>22</v>
      </c>
      <c r="W27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8.1338963847976092E-2</v>
      </c>
      <c r="X27" s="45">
        <v>23</v>
      </c>
      <c r="Y27" s="45">
        <f>(Trucks[[#This Row],[Total time for delievery{td}(h)]]*Trucks[[#This Row],[Labor cost{ST}(€/h)]])/Trucks[[#This Row],[Max load capacity of trailer{HT(capacity)}'[kg']]]</f>
        <v>8.262322472848789E-2</v>
      </c>
      <c r="Z27" s="45">
        <v>0.38</v>
      </c>
      <c r="AA27" s="45">
        <v>1.54</v>
      </c>
      <c r="AB27" s="45">
        <f>(2*Trucks[[#This Row],[Distance{d}(km)]]*Trucks[[#This Row],[Fuel consumption{F}(L/km)]]*Trucks[[#This Row],[Fuel Price{FP}(€/L)]])/Trucks[[#This Row],[Max load capacity of trailer{HT(capacity)}'[kg']]]</f>
        <v>8.8000000000000009E-2</v>
      </c>
      <c r="AC27" s="45">
        <f>Trucks[[#This Row],[LCOHT,Fuel(€/kg)]]+Trucks[[#This Row],[LCOHT,Labor(€/kg)]]+Trucks[[#This Row],[LCOHT(O&amp;M)(€/kg)]]+Trucks[[#This Row],[LCOHT,Invest(€/kg)]]</f>
        <v>0.6469589772966996</v>
      </c>
      <c r="AD27" s="3">
        <f>ROUND(4.4422037649,0)</f>
        <v>4</v>
      </c>
      <c r="AE27" s="45">
        <f>IF(Trucks[[#This Row],[Component]]="Trailer(350 bar)",399.2568937,415.300722807)</f>
        <v>415.300722807</v>
      </c>
      <c r="AF27" s="45">
        <f>((Trucks[[#This Row],[Daily Hydrogen Demand{mH2}(kg/day)]])/(0.002*24*60*60))</f>
        <v>173.61111111111111</v>
      </c>
      <c r="AG27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2187107.5275901076</v>
      </c>
      <c r="AH27" s="45">
        <f>Trucks[[#This Row],[Compressor Power{P} (kW)]]/0.95</f>
        <v>2302218.4500948503</v>
      </c>
      <c r="AI27" s="45">
        <f>IF(Trucks[[#This Row],[Component]]="Trailer(350 bar)",54851.4*POWER(0.001* Trucks[[#This Row],[Rated Power{Pc}(kW)]],0.4603)*1.3, 54184.17*POWER(0.001* Trucks[[#This Row],[Rated Power{Pc}(kW)]],0.6038)*1.3)</f>
        <v>7548833.6011698069</v>
      </c>
      <c r="AJ27" s="45">
        <f>0.28*Trucks[[#This Row],[Total installation costs{TIC}]]</f>
        <v>2113673.408327546</v>
      </c>
      <c r="AK27" s="45">
        <f>Trucks[[#This Row],[Indirect costs{Id}]]+Trucks[[#This Row],[Total installation costs{TIC}]]</f>
        <v>9662507.0094973519</v>
      </c>
      <c r="AL27" s="45">
        <f>(Trucks[[#This Row],[Investment cost for truck loading compressor{Invest}]]*0.11682954493602)/(0.9*Trucks[[#This Row],[Daily Hydrogen Demand{mH2}(kg/day)]]*365)</f>
        <v>0.11454756944299128</v>
      </c>
      <c r="AM27" s="45">
        <f>Trucks[[#This Row],[No of annual hours{Ann}]]*Trucks[[#This Row],[Hourly salary {S}(€/h)]]</f>
        <v>3836.5892584880066</v>
      </c>
      <c r="AN27" s="45">
        <f>0.5*Trucks[[#This Row],[Direct labor costs{dL}]]</f>
        <v>1918.2946292440033</v>
      </c>
      <c r="AO27" s="45">
        <f>POWER(Trucks[[#This Row],[Daily Hydrogen Demand{mH2}(kg/day)]]/100000,0.25)*288</f>
        <v>213.14384769377816</v>
      </c>
      <c r="AP27" s="45">
        <v>18</v>
      </c>
      <c r="AQ27" s="45">
        <f>(0.021*Trucks[[#This Row],[Investment cost for truck loading compressor{Invest}]])+(0.04*Trucks[[#This Row],[Total installation costs{TIC}]])</f>
        <v>504865.99124623672</v>
      </c>
      <c r="AR27" s="45">
        <f>Trucks[[#This Row],[O&amp;Mc]]+Trucks[[#This Row],[Indirect labor costs{Idl}]]+Trucks[[#This Row],[Direct labor costs{dL}]]</f>
        <v>510620.87513396877</v>
      </c>
      <c r="AS27" s="45">
        <f>(Trucks[[#This Row],[Non energy cost for compressor(NE)]])/(0.9*Trucks[[#This Row],[Daily Hydrogen Demand{mH2}(kg/day)]]*365)</f>
        <v>5.1813381545811138E-2</v>
      </c>
      <c r="AT27" s="45">
        <f>(Trucks[[#This Row],[Rated Power{Pc}(kW)]])*0.001 * 0.306 * 24 * 365</f>
        <v>6171234.6885862509</v>
      </c>
      <c r="AU27" s="45">
        <f>(Trucks[[#This Row],[Annual energy cost for compression(Ec)(€)]])/(0.9*Trucks[[#This Row],[Daily Hydrogen Demand{mH2}(kg/day)]]*365)</f>
        <v>0.62620341842579919</v>
      </c>
      <c r="AV27" s="45">
        <f>Trucks[[#This Row],[LCOHT,E]]+Trucks[[#This Row],[LCOHT,NE]]+Trucks[[#This Row],[LCOHT,Invest]]</f>
        <v>0.79256436941460162</v>
      </c>
      <c r="AW27" s="45">
        <f>Trucks[[#This Row],[LOCHT For trucking compressor]]+Trucks[[#This Row],[LCOHT,Trucking]]</f>
        <v>1.4395233467113013</v>
      </c>
    </row>
    <row r="28" spans="1:49">
      <c r="A28" t="s">
        <v>424</v>
      </c>
      <c r="B28">
        <v>1330</v>
      </c>
      <c r="C28">
        <v>10000</v>
      </c>
      <c r="D28">
        <f>C28/B28</f>
        <v>7.518796992481203</v>
      </c>
      <c r="E28">
        <v>100</v>
      </c>
      <c r="F28">
        <v>72</v>
      </c>
      <c r="G28">
        <v>1</v>
      </c>
      <c r="H28">
        <v>1</v>
      </c>
      <c r="I28">
        <f>((2*E28)/F28)+G28+H28</f>
        <v>4.7777777777777777</v>
      </c>
      <c r="J28">
        <v>9</v>
      </c>
      <c r="K28">
        <f t="shared" si="0"/>
        <v>1.8837209302325582</v>
      </c>
      <c r="L28">
        <v>0.8</v>
      </c>
      <c r="M28">
        <v>5</v>
      </c>
      <c r="N28">
        <f>2*M28</f>
        <v>10</v>
      </c>
      <c r="O28">
        <f>(0.08*((1.08)^15))/((1.08^15)-1)</f>
        <v>0.11682954493601999</v>
      </c>
      <c r="P28">
        <v>1100</v>
      </c>
      <c r="Q28">
        <f t="shared" si="1"/>
        <v>0.17401476059182211</v>
      </c>
      <c r="R28">
        <v>180</v>
      </c>
      <c r="S28">
        <f>((M28*Q28*R28*1000)+(N28*O28*P28*1000))/(C28*365)</f>
        <v>0.39499678872023547</v>
      </c>
      <c r="T28">
        <v>0.1</v>
      </c>
      <c r="U28" s="45">
        <f>((2*Trucks[[#This Row],[Distance{d}(km)]]*Trucks[[#This Row],[No of delieveries per day {nd}]])/Trucks[[#This Row],[No of trucks{Nt}]])*365</f>
        <v>109774.43609022557</v>
      </c>
      <c r="V28" s="45">
        <f>0.02*Trucks[[#This Row],[Investment cost, Trailer{ICTr}(k€)]]</f>
        <v>22</v>
      </c>
      <c r="W28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8.1338963847976106E-2</v>
      </c>
      <c r="X28" s="45">
        <v>23</v>
      </c>
      <c r="Y28" s="45">
        <f>(Trucks[[#This Row],[Total time for delievery{td}(h)]]*Trucks[[#This Row],[Labor cost{ST}(€/h)]])/Trucks[[#This Row],[Max load capacity of trailer{HT(capacity)}'[kg']]]</f>
        <v>8.262322472848789E-2</v>
      </c>
      <c r="Z28" s="45">
        <v>0.38</v>
      </c>
      <c r="AA28" s="45">
        <v>1.54</v>
      </c>
      <c r="AB28" s="45">
        <f>(2*Trucks[[#This Row],[Distance{d}(km)]]*Trucks[[#This Row],[Fuel consumption{F}(L/km)]]*Trucks[[#This Row],[Fuel Price{FP}(€/L)]])/Trucks[[#This Row],[Max load capacity of trailer{HT(capacity)}'[kg']]]</f>
        <v>8.8000000000000009E-2</v>
      </c>
      <c r="AC28" s="45">
        <f>Trucks[[#This Row],[LCOHT,Fuel(€/kg)]]+Trucks[[#This Row],[LCOHT,Labor(€/kg)]]+Trucks[[#This Row],[LCOHT(O&amp;M)(€/kg)]]+Trucks[[#This Row],[LCOHT,Invest(€/kg)]]</f>
        <v>0.64695897729669949</v>
      </c>
      <c r="AD28" s="3">
        <f>ROUND(4.4422037649,0)</f>
        <v>4</v>
      </c>
      <c r="AE28" s="45">
        <f>IF(Trucks[[#This Row],[Component]]="Trailer(350 bar)",399.2568937,415.300722807)</f>
        <v>415.300722807</v>
      </c>
      <c r="AF28" s="45">
        <f>((Trucks[[#This Row],[Daily Hydrogen Demand{mH2}(kg/day)]])/(0.002*24*60*60))</f>
        <v>57.870370370370374</v>
      </c>
      <c r="AG28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729035.842530036</v>
      </c>
      <c r="AH28" s="45">
        <f>Trucks[[#This Row],[Compressor Power{P} (kW)]]/0.95</f>
        <v>767406.15003161691</v>
      </c>
      <c r="AI28" s="45">
        <f>IF(Trucks[[#This Row],[Component]]="Trailer(350 bar)",54851.4*POWER(0.001* Trucks[[#This Row],[Rated Power{Pc}(kW)]],0.4603)*1.3, 54184.17*POWER(0.001* Trucks[[#This Row],[Rated Power{Pc}(kW)]],0.6038)*1.3)</f>
        <v>3888606.866641616</v>
      </c>
      <c r="AJ28" s="45">
        <f>0.28*Trucks[[#This Row],[Total installation costs{TIC}]]</f>
        <v>1088809.9226596525</v>
      </c>
      <c r="AK28" s="45">
        <f>Trucks[[#This Row],[Indirect costs{Id}]]+Trucks[[#This Row],[Total installation costs{TIC}]]</f>
        <v>4977416.7893012688</v>
      </c>
      <c r="AL28" s="45">
        <f>(Trucks[[#This Row],[Investment cost for truck loading compressor{Invest}]]*0.11682954493602)/(0.9*Trucks[[#This Row],[Daily Hydrogen Demand{mH2}(kg/day)]]*365)</f>
        <v>0.17701958552541036</v>
      </c>
      <c r="AM28" s="45">
        <f>Trucks[[#This Row],[No of annual hours{Ann}]]*Trucks[[#This Row],[Hourly salary {S}(€/h)]]</f>
        <v>2915.1774297867696</v>
      </c>
      <c r="AN28" s="45">
        <f>0.5*Trucks[[#This Row],[Direct labor costs{dL}]]</f>
        <v>1457.5887148933848</v>
      </c>
      <c r="AO28" s="45">
        <f>POWER(Trucks[[#This Row],[Daily Hydrogen Demand{mH2}(kg/day)]]/100000,0.25)*288</f>
        <v>161.95430165482054</v>
      </c>
      <c r="AP28" s="45">
        <v>18</v>
      </c>
      <c r="AQ28" s="45">
        <f>(0.021*Trucks[[#This Row],[Investment cost for truck loading compressor{Invest}]])+(0.04*Trucks[[#This Row],[Total installation costs{TIC}]])</f>
        <v>260070.0272409913</v>
      </c>
      <c r="AR28" s="45">
        <f>Trucks[[#This Row],[O&amp;Mc]]+Trucks[[#This Row],[Indirect labor costs{Idl}]]+Trucks[[#This Row],[Direct labor costs{dL}]]</f>
        <v>264442.79338567145</v>
      </c>
      <c r="AS28" s="45">
        <f>(Trucks[[#This Row],[Non energy cost for compressor(NE)]])/(0.9*Trucks[[#This Row],[Daily Hydrogen Demand{mH2}(kg/day)]]*365)</f>
        <v>8.050008931070668E-2</v>
      </c>
      <c r="AT28" s="45">
        <f>(Trucks[[#This Row],[Rated Power{Pc}(kW)]])*0.001 * 0.306 * 24 * 365</f>
        <v>2057078.229528751</v>
      </c>
      <c r="AU28" s="45">
        <f>(Trucks[[#This Row],[Annual energy cost for compression(Ec)(€)]])/(0.9*Trucks[[#This Row],[Daily Hydrogen Demand{mH2}(kg/day)]]*365)</f>
        <v>0.62620341842579941</v>
      </c>
      <c r="AV28" s="45">
        <f>Trucks[[#This Row],[LCOHT,E]]+Trucks[[#This Row],[LCOHT,NE]]+Trucks[[#This Row],[LCOHT,Invest]]</f>
        <v>0.88372309326191645</v>
      </c>
      <c r="AW28" s="45">
        <f>Trucks[[#This Row],[LOCHT For trucking compressor]]+Trucks[[#This Row],[LCOHT,Trucking]]</f>
        <v>1.5306820705586159</v>
      </c>
    </row>
    <row r="29" spans="1:49">
      <c r="A29" t="s">
        <v>424</v>
      </c>
      <c r="B29">
        <v>1330</v>
      </c>
      <c r="C29">
        <v>2000</v>
      </c>
      <c r="D29">
        <f>C29/B29</f>
        <v>1.5037593984962405</v>
      </c>
      <c r="E29">
        <v>25</v>
      </c>
      <c r="F29">
        <v>65</v>
      </c>
      <c r="G29">
        <v>1</v>
      </c>
      <c r="H29">
        <v>1</v>
      </c>
      <c r="I29">
        <f>((2*E29)/F29)+G29+H29</f>
        <v>2.7692307692307692</v>
      </c>
      <c r="J29">
        <v>9</v>
      </c>
      <c r="K29">
        <f t="shared" si="0"/>
        <v>3.25</v>
      </c>
      <c r="L29">
        <v>0.8</v>
      </c>
      <c r="M29">
        <f xml:space="preserve"> ROUNDUP(D29 / (K29) * (L29), 0)</f>
        <v>1</v>
      </c>
      <c r="N29">
        <f>2*M29</f>
        <v>2</v>
      </c>
      <c r="O29">
        <f>(0.08*((1.08)^15))/((1.08^15)-1)</f>
        <v>0.11682954493601999</v>
      </c>
      <c r="P29">
        <v>1100</v>
      </c>
      <c r="Q29">
        <f t="shared" si="1"/>
        <v>0.17401476059182211</v>
      </c>
      <c r="R29">
        <v>180</v>
      </c>
      <c r="S29">
        <f>((M29*Q29*R29*1000)+(N29*O29*P29*1000))/(C29*365)</f>
        <v>0.39499678872023553</v>
      </c>
      <c r="T29">
        <v>0.1</v>
      </c>
      <c r="U29" s="45">
        <f>((2*Trucks[[#This Row],[Distance{d}(km)]]*Trucks[[#This Row],[No of delieveries per day {nd}]])/Trucks[[#This Row],[No of trucks{Nt}]])*365</f>
        <v>27443.609022556389</v>
      </c>
      <c r="V29" s="45">
        <f>0.02*Trucks[[#This Row],[Investment cost, Trailer{ICTr}(k€)]]</f>
        <v>22</v>
      </c>
      <c r="W29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7.0060768359254302E-2</v>
      </c>
      <c r="X29" s="45">
        <v>23</v>
      </c>
      <c r="Y29" s="45">
        <f>(Trucks[[#This Row],[Total time for delievery{td}(h)]]*Trucks[[#This Row],[Labor cost{ST}(€/h)]])/Trucks[[#This Row],[Max load capacity of trailer{HT(capacity)}'[kg']]]</f>
        <v>4.7888953152111051E-2</v>
      </c>
      <c r="Z29" s="45">
        <v>0.38</v>
      </c>
      <c r="AA29" s="45">
        <v>1.54</v>
      </c>
      <c r="AB29" s="45">
        <f>(2*Trucks[[#This Row],[Distance{d}(km)]]*Trucks[[#This Row],[Fuel consumption{F}(L/km)]]*Trucks[[#This Row],[Fuel Price{FP}(€/L)]])/Trucks[[#This Row],[Max load capacity of trailer{HT(capacity)}'[kg']]]</f>
        <v>2.2000000000000002E-2</v>
      </c>
      <c r="AC29" s="45">
        <f>Trucks[[#This Row],[LCOHT,Fuel(€/kg)]]+Trucks[[#This Row],[LCOHT,Labor(€/kg)]]+Trucks[[#This Row],[LCOHT(O&amp;M)(€/kg)]]+Trucks[[#This Row],[LCOHT,Invest(€/kg)]]</f>
        <v>0.53494651023160089</v>
      </c>
      <c r="AD29" s="3">
        <f>ROUND(4.4422037649,0)</f>
        <v>4</v>
      </c>
      <c r="AE29" s="45">
        <f>IF(Trucks[[#This Row],[Component]]="Trailer(350 bar)",399.2568937,415.300722807)</f>
        <v>415.300722807</v>
      </c>
      <c r="AF29" s="45">
        <f>((Trucks[[#This Row],[Daily Hydrogen Demand{mH2}(kg/day)]])/(0.002*24*60*60))</f>
        <v>11.574074074074074</v>
      </c>
      <c r="AG29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145807.16850600718</v>
      </c>
      <c r="AH29" s="45">
        <f>Trucks[[#This Row],[Compressor Power{P} (kW)]]/0.95</f>
        <v>153481.23000632334</v>
      </c>
      <c r="AI29" s="45">
        <f>IF(Trucks[[#This Row],[Component]]="Trailer(350 bar)",54851.4*POWER(0.001* Trucks[[#This Row],[Rated Power{Pc}(kW)]],0.4603)*1.3, 54184.17*POWER(0.001* Trucks[[#This Row],[Rated Power{Pc}(kW)]],0.6038)*1.3)</f>
        <v>1471485.3752726084</v>
      </c>
      <c r="AJ29" s="45">
        <f>0.28*Trucks[[#This Row],[Total installation costs{TIC}]]</f>
        <v>412015.90507633035</v>
      </c>
      <c r="AK29" s="45">
        <f>Trucks[[#This Row],[Indirect costs{Id}]]+Trucks[[#This Row],[Total installation costs{TIC}]]</f>
        <v>1883501.2803489387</v>
      </c>
      <c r="AL29" s="45">
        <f>(Trucks[[#This Row],[Investment cost for truck loading compressor{Invest}]]*0.11682954493602)/(0.9*Trucks[[#This Row],[Daily Hydrogen Demand{mH2}(kg/day)]]*365)</f>
        <v>0.3349293720998136</v>
      </c>
      <c r="AM29" s="45">
        <f>Trucks[[#This Row],[No of annual hours{Ann}]]*Trucks[[#This Row],[Hourly salary {S}(€/h)]]</f>
        <v>1949.4966434559865</v>
      </c>
      <c r="AN29" s="45">
        <f>0.5*Trucks[[#This Row],[Direct labor costs{dL}]]</f>
        <v>974.74832172799324</v>
      </c>
      <c r="AO29" s="45">
        <f>POWER(Trucks[[#This Row],[Daily Hydrogen Demand{mH2}(kg/day)]]/100000,0.25)*288</f>
        <v>108.30536908088814</v>
      </c>
      <c r="AP29" s="45">
        <v>18</v>
      </c>
      <c r="AQ29" s="45">
        <f>(0.021*Trucks[[#This Row],[Investment cost for truck loading compressor{Invest}]])+(0.04*Trucks[[#This Row],[Total installation costs{TIC}]])</f>
        <v>98412.941898232049</v>
      </c>
      <c r="AR29" s="45">
        <f>Trucks[[#This Row],[O&amp;Mc]]+Trucks[[#This Row],[Indirect labor costs{Idl}]]+Trucks[[#This Row],[Direct labor costs{dL}]]</f>
        <v>101337.18686341603</v>
      </c>
      <c r="AS29" s="45">
        <f>(Trucks[[#This Row],[Non energy cost for compressor(NE)]])/(0.9*Trucks[[#This Row],[Daily Hydrogen Demand{mH2}(kg/day)]]*365)</f>
        <v>0.15424229355162258</v>
      </c>
      <c r="AT29" s="45">
        <f>(Trucks[[#This Row],[Rated Power{Pc}(kW)]])*0.001 * 0.306 * 24 * 365</f>
        <v>411415.64590575016</v>
      </c>
      <c r="AU29" s="45">
        <f>(Trucks[[#This Row],[Annual energy cost for compression(Ec)(€)]])/(0.9*Trucks[[#This Row],[Daily Hydrogen Demand{mH2}(kg/day)]]*365)</f>
        <v>0.6262034184257993</v>
      </c>
      <c r="AV29" s="45">
        <f>Trucks[[#This Row],[LCOHT,E]]+Trucks[[#This Row],[LCOHT,NE]]+Trucks[[#This Row],[LCOHT,Invest]]</f>
        <v>1.1153750840772354</v>
      </c>
      <c r="AW29" s="45">
        <f>Trucks[[#This Row],[LOCHT For trucking compressor]]+Trucks[[#This Row],[LCOHT,Trucking]]</f>
        <v>1.6503215943088363</v>
      </c>
    </row>
    <row r="30" spans="1:49">
      <c r="A30" t="s">
        <v>424</v>
      </c>
      <c r="B30">
        <v>1330</v>
      </c>
      <c r="C30">
        <v>2000</v>
      </c>
      <c r="D30">
        <f>C30/B30</f>
        <v>1.5037593984962405</v>
      </c>
      <c r="E30">
        <v>100</v>
      </c>
      <c r="F30">
        <v>72</v>
      </c>
      <c r="G30">
        <v>1</v>
      </c>
      <c r="H30">
        <v>1</v>
      </c>
      <c r="I30">
        <f>((2*E30)/F30)+G30+H30</f>
        <v>4.7777777777777777</v>
      </c>
      <c r="J30">
        <v>9</v>
      </c>
      <c r="K30">
        <f t="shared" si="0"/>
        <v>1.8837209302325582</v>
      </c>
      <c r="L30">
        <v>0.8</v>
      </c>
      <c r="M30">
        <f xml:space="preserve"> ROUNDUP(D30 / (K30) * (L30), 0)</f>
        <v>1</v>
      </c>
      <c r="N30">
        <f>2*M30</f>
        <v>2</v>
      </c>
      <c r="O30">
        <f>(0.08*((1.08)^15))/((1.08^15)-1)</f>
        <v>0.11682954493601999</v>
      </c>
      <c r="P30">
        <v>1100</v>
      </c>
      <c r="Q30">
        <f t="shared" si="1"/>
        <v>0.17401476059182211</v>
      </c>
      <c r="R30">
        <v>180</v>
      </c>
      <c r="S30">
        <f>((M30*Q30*R30*1000)+(N30*O30*P30*1000))/(C30*365)</f>
        <v>0.39499678872023553</v>
      </c>
      <c r="T30">
        <v>0.1</v>
      </c>
      <c r="U30" s="45">
        <f>((2*Trucks[[#This Row],[Distance{d}(km)]]*Trucks[[#This Row],[No of delieveries per day {nd}]])/Trucks[[#This Row],[No of trucks{Nt}]])*365</f>
        <v>109774.43609022556</v>
      </c>
      <c r="V30" s="45">
        <f>0.02*Trucks[[#This Row],[Investment cost, Trailer{ICTr}(k€)]]</f>
        <v>22</v>
      </c>
      <c r="W30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8.1338963847976106E-2</v>
      </c>
      <c r="X30" s="45">
        <v>23</v>
      </c>
      <c r="Y30" s="45">
        <f>(Trucks[[#This Row],[Total time for delievery{td}(h)]]*Trucks[[#This Row],[Labor cost{ST}(€/h)]])/Trucks[[#This Row],[Max load capacity of trailer{HT(capacity)}'[kg']]]</f>
        <v>8.262322472848789E-2</v>
      </c>
      <c r="Z30" s="45">
        <v>0.38</v>
      </c>
      <c r="AA30" s="45">
        <v>1.54</v>
      </c>
      <c r="AB30" s="45">
        <f>(2*Trucks[[#This Row],[Distance{d}(km)]]*Trucks[[#This Row],[Fuel consumption{F}(L/km)]]*Trucks[[#This Row],[Fuel Price{FP}(€/L)]])/Trucks[[#This Row],[Max load capacity of trailer{HT(capacity)}'[kg']]]</f>
        <v>8.8000000000000009E-2</v>
      </c>
      <c r="AC30" s="45">
        <f>Trucks[[#This Row],[LCOHT,Fuel(€/kg)]]+Trucks[[#This Row],[LCOHT,Labor(€/kg)]]+Trucks[[#This Row],[LCOHT(O&amp;M)(€/kg)]]+Trucks[[#This Row],[LCOHT,Invest(€/kg)]]</f>
        <v>0.64695897729669949</v>
      </c>
      <c r="AD30" s="3">
        <f>ROUND(4.4422037649,0)</f>
        <v>4</v>
      </c>
      <c r="AE30" s="45">
        <f>IF(Trucks[[#This Row],[Component]]="Trailer(350 bar)",399.2568937,415.300722807)</f>
        <v>415.300722807</v>
      </c>
      <c r="AF30" s="45">
        <f>((Trucks[[#This Row],[Daily Hydrogen Demand{mH2}(kg/day)]])/(0.002*24*60*60))</f>
        <v>11.574074074074074</v>
      </c>
      <c r="AG30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145807.16850600718</v>
      </c>
      <c r="AH30" s="45">
        <f>Trucks[[#This Row],[Compressor Power{P} (kW)]]/0.95</f>
        <v>153481.23000632334</v>
      </c>
      <c r="AI30" s="45">
        <f>IF(Trucks[[#This Row],[Component]]="Trailer(350 bar)",54851.4*POWER(0.001* Trucks[[#This Row],[Rated Power{Pc}(kW)]],0.4603)*1.3, 54184.17*POWER(0.001* Trucks[[#This Row],[Rated Power{Pc}(kW)]],0.6038)*1.3)</f>
        <v>1471485.3752726084</v>
      </c>
      <c r="AJ30" s="45">
        <f>0.28*Trucks[[#This Row],[Total installation costs{TIC}]]</f>
        <v>412015.90507633035</v>
      </c>
      <c r="AK30" s="45">
        <f>Trucks[[#This Row],[Indirect costs{Id}]]+Trucks[[#This Row],[Total installation costs{TIC}]]</f>
        <v>1883501.2803489387</v>
      </c>
      <c r="AL30" s="45">
        <f>(Trucks[[#This Row],[Investment cost for truck loading compressor{Invest}]]*0.11682954493602)/(0.9*Trucks[[#This Row],[Daily Hydrogen Demand{mH2}(kg/day)]]*365)</f>
        <v>0.3349293720998136</v>
      </c>
      <c r="AM30" s="45">
        <f>Trucks[[#This Row],[No of annual hours{Ann}]]*Trucks[[#This Row],[Hourly salary {S}(€/h)]]</f>
        <v>1949.4966434559865</v>
      </c>
      <c r="AN30" s="45">
        <f>0.5*Trucks[[#This Row],[Direct labor costs{dL}]]</f>
        <v>974.74832172799324</v>
      </c>
      <c r="AO30" s="45">
        <f>POWER(Trucks[[#This Row],[Daily Hydrogen Demand{mH2}(kg/day)]]/100000,0.25)*288</f>
        <v>108.30536908088814</v>
      </c>
      <c r="AP30" s="45">
        <v>18</v>
      </c>
      <c r="AQ30" s="45">
        <f>(0.021*Trucks[[#This Row],[Investment cost for truck loading compressor{Invest}]])+(0.04*Trucks[[#This Row],[Total installation costs{TIC}]])</f>
        <v>98412.941898232049</v>
      </c>
      <c r="AR30" s="45">
        <f>Trucks[[#This Row],[O&amp;Mc]]+Trucks[[#This Row],[Indirect labor costs{Idl}]]+Trucks[[#This Row],[Direct labor costs{dL}]]</f>
        <v>101337.18686341603</v>
      </c>
      <c r="AS30" s="45">
        <f>(Trucks[[#This Row],[Non energy cost for compressor(NE)]])/(0.9*Trucks[[#This Row],[Daily Hydrogen Demand{mH2}(kg/day)]]*365)</f>
        <v>0.15424229355162258</v>
      </c>
      <c r="AT30" s="45">
        <f>(Trucks[[#This Row],[Rated Power{Pc}(kW)]])*0.001 * 0.306 * 24 * 365</f>
        <v>411415.64590575016</v>
      </c>
      <c r="AU30" s="45">
        <f>(Trucks[[#This Row],[Annual energy cost for compression(Ec)(€)]])/(0.9*Trucks[[#This Row],[Daily Hydrogen Demand{mH2}(kg/day)]]*365)</f>
        <v>0.6262034184257993</v>
      </c>
      <c r="AV30" s="45">
        <f>Trucks[[#This Row],[LCOHT,E]]+Trucks[[#This Row],[LCOHT,NE]]+Trucks[[#This Row],[LCOHT,Invest]]</f>
        <v>1.1153750840772354</v>
      </c>
      <c r="AW30" s="45">
        <f>Trucks[[#This Row],[LOCHT For trucking compressor]]+Trucks[[#This Row],[LCOHT,Trucking]]</f>
        <v>1.7623340613739349</v>
      </c>
    </row>
    <row r="31" spans="1:49">
      <c r="A31" t="s">
        <v>423</v>
      </c>
      <c r="B31">
        <v>900</v>
      </c>
      <c r="C31">
        <v>30000</v>
      </c>
      <c r="D31">
        <f>C31/B31</f>
        <v>33.333333333333336</v>
      </c>
      <c r="E31">
        <v>250</v>
      </c>
      <c r="F31">
        <v>77</v>
      </c>
      <c r="G31">
        <v>1</v>
      </c>
      <c r="H31">
        <v>1</v>
      </c>
      <c r="I31">
        <f>((2*E31)/F31)+G31+H31</f>
        <v>8.4935064935064943</v>
      </c>
      <c r="J31">
        <v>9</v>
      </c>
      <c r="K31">
        <f t="shared" si="0"/>
        <v>1.0596330275229358</v>
      </c>
      <c r="L31">
        <v>0.8</v>
      </c>
      <c r="M31">
        <v>40</v>
      </c>
      <c r="N31">
        <f>2*M31</f>
        <v>80</v>
      </c>
      <c r="O31">
        <f>(0.08*((1.08)^15))/((1.08^15)-1)</f>
        <v>0.11682954493601999</v>
      </c>
      <c r="P31">
        <v>689</v>
      </c>
      <c r="Q31">
        <f t="shared" si="1"/>
        <v>0.17401476059182211</v>
      </c>
      <c r="R31">
        <v>180</v>
      </c>
      <c r="S31">
        <f>((M31*Q31*R31*1000)+(N31*O31*P31*1000))/(C31*365)</f>
        <v>0.70251605416753804</v>
      </c>
      <c r="T31">
        <v>0.1</v>
      </c>
      <c r="U31" s="45">
        <f>((2*Trucks[[#This Row],[Distance{d}(km)]]*Trucks[[#This Row],[No of delieveries per day {nd}]])/Trucks[[#This Row],[No of trucks{Nt}]])*365</f>
        <v>152083.33333333334</v>
      </c>
      <c r="V31" s="45">
        <f>0.02*Trucks[[#This Row],[Investment cost, Trailer{ICTr}(k€)]]</f>
        <v>13.780000000000001</v>
      </c>
      <c r="W31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0.12492118112633184</v>
      </c>
      <c r="X31" s="45">
        <v>23</v>
      </c>
      <c r="Y31" s="45">
        <f>(Trucks[[#This Row],[Total time for delievery{td}(h)]]*Trucks[[#This Row],[Labor cost{ST}(€/h)]])/Trucks[[#This Row],[Max load capacity of trailer{HT(capacity)}'[kg']]]</f>
        <v>0.21705627705627709</v>
      </c>
      <c r="Z31" s="45">
        <v>0.38</v>
      </c>
      <c r="AA31" s="45">
        <v>1.54</v>
      </c>
      <c r="AB31" s="45">
        <f>(2*Trucks[[#This Row],[Distance{d}(km)]]*Trucks[[#This Row],[Fuel consumption{F}(L/km)]]*Trucks[[#This Row],[Fuel Price{FP}(€/L)]])/Trucks[[#This Row],[Max load capacity of trailer{HT(capacity)}'[kg']]]</f>
        <v>0.32511111111111113</v>
      </c>
      <c r="AC31" s="45">
        <f>Trucks[[#This Row],[LCOHT,Fuel(€/kg)]]+Trucks[[#This Row],[LCOHT,Labor(€/kg)]]+Trucks[[#This Row],[LCOHT(O&amp;M)(€/kg)]]+Trucks[[#This Row],[LCOHT,Invest(€/kg)]]</f>
        <v>1.369604623461258</v>
      </c>
      <c r="AD31" s="3">
        <f>ROUND(4.4422037649,0)</f>
        <v>4</v>
      </c>
      <c r="AE31" s="45">
        <f>IF(Trucks[[#This Row],[Component]]="Trailer(350 bar)",399.2568937,415.300722807)</f>
        <v>399.25689369999998</v>
      </c>
      <c r="AF31" s="45">
        <f>((Trucks[[#This Row],[Daily Hydrogen Demand{mH2}(kg/day)]])/(0.002*24*60*60))</f>
        <v>173.61111111111111</v>
      </c>
      <c r="AG31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1868547.843972584</v>
      </c>
      <c r="AH31" s="45">
        <f>Trucks[[#This Row],[Compressor Power{P} (kW)]]/0.95</f>
        <v>1966892.4673395623</v>
      </c>
      <c r="AI31" s="45">
        <f>IF(Trucks[[#This Row],[Component]]="Trailer(350 bar)",54851.4*POWER(0.001* Trucks[[#This Row],[Rated Power{Pc}(kW)]],0.4603)*1.3, 54184.17*POWER(0.001* Trucks[[#This Row],[Rated Power{Pc}(kW)]],0.6038)*1.3)</f>
        <v>2340228.6245801435</v>
      </c>
      <c r="AJ31" s="45">
        <f>0.28*Trucks[[#This Row],[Total installation costs{TIC}]]</f>
        <v>655264.01488244021</v>
      </c>
      <c r="AK31" s="45">
        <f>Trucks[[#This Row],[Indirect costs{Id}]]+Trucks[[#This Row],[Total installation costs{TIC}]]</f>
        <v>2995492.6394625837</v>
      </c>
      <c r="AL31" s="45">
        <f>(Trucks[[#This Row],[Investment cost for truck loading compressor{Invest}]]*0.11682954493602)/(0.9*Trucks[[#This Row],[Daily Hydrogen Demand{mH2}(kg/day)]]*365)</f>
        <v>3.5511115365561757E-2</v>
      </c>
      <c r="AM31" s="45">
        <f>Trucks[[#This Row],[No of annual hours{Ann}]]*Trucks[[#This Row],[Hourly salary {S}(€/h)]]</f>
        <v>3836.5892584880066</v>
      </c>
      <c r="AN31" s="45">
        <f>0.5*Trucks[[#This Row],[Direct labor costs{dL}]]</f>
        <v>1918.2946292440033</v>
      </c>
      <c r="AO31" s="45">
        <f>POWER(Trucks[[#This Row],[Daily Hydrogen Demand{mH2}(kg/day)]]/100000,0.25)*288</f>
        <v>213.14384769377816</v>
      </c>
      <c r="AP31" s="45">
        <v>18</v>
      </c>
      <c r="AQ31" s="45">
        <f>(0.021*Trucks[[#This Row],[Investment cost for truck loading compressor{Invest}]])+(0.04*Trucks[[#This Row],[Total installation costs{TIC}]])</f>
        <v>156514.49041192001</v>
      </c>
      <c r="AR31" s="45">
        <f>Trucks[[#This Row],[O&amp;Mc]]+Trucks[[#This Row],[Indirect labor costs{Idl}]]+Trucks[[#This Row],[Direct labor costs{dL}]]</f>
        <v>162269.37429965203</v>
      </c>
      <c r="AS31" s="45">
        <f>(Trucks[[#This Row],[Non energy cost for compressor(NE)]])/(0.9*Trucks[[#This Row],[Daily Hydrogen Demand{mH2}(kg/day)]]*365)</f>
        <v>1.6465689934008324E-2</v>
      </c>
      <c r="AT31" s="45">
        <f>(Trucks[[#This Row],[Rated Power{Pc}(kW)]])*0.001 * 0.306 * 24 * 365</f>
        <v>5272373.2722517373</v>
      </c>
      <c r="AU31" s="45">
        <f>(Trucks[[#This Row],[Annual energy cost for compression(Ec)(€)]])/(0.9*Trucks[[#This Row],[Daily Hydrogen Demand{mH2}(kg/day)]]*365)</f>
        <v>0.53499475111636097</v>
      </c>
      <c r="AV31" s="45">
        <f>Trucks[[#This Row],[LCOHT,E]]+Trucks[[#This Row],[LCOHT,NE]]+Trucks[[#This Row],[LCOHT,Invest]]</f>
        <v>0.58697155641593102</v>
      </c>
      <c r="AW31" s="45">
        <f>Trucks[[#This Row],[LOCHT For trucking compressor]]+Trucks[[#This Row],[LCOHT,Trucking]]</f>
        <v>1.956576179877189</v>
      </c>
    </row>
    <row r="32" spans="1:49">
      <c r="A32" t="s">
        <v>423</v>
      </c>
      <c r="B32">
        <v>900</v>
      </c>
      <c r="C32">
        <v>10000</v>
      </c>
      <c r="D32">
        <f>C32/B32</f>
        <v>11.111111111111111</v>
      </c>
      <c r="E32">
        <v>250</v>
      </c>
      <c r="F32">
        <v>77</v>
      </c>
      <c r="G32">
        <v>1</v>
      </c>
      <c r="H32">
        <v>1</v>
      </c>
      <c r="I32">
        <f>((2*E32)/F32)+G32+H32</f>
        <v>8.4935064935064943</v>
      </c>
      <c r="J32">
        <v>9</v>
      </c>
      <c r="K32">
        <f t="shared" si="0"/>
        <v>1.0596330275229358</v>
      </c>
      <c r="L32">
        <v>0.8</v>
      </c>
      <c r="M32">
        <v>14</v>
      </c>
      <c r="N32">
        <f>2*M32</f>
        <v>28</v>
      </c>
      <c r="O32">
        <f>(0.08*((1.08)^15))/((1.08^15)-1)</f>
        <v>0.11682954493601999</v>
      </c>
      <c r="P32">
        <v>689</v>
      </c>
      <c r="Q32">
        <f t="shared" si="1"/>
        <v>0.17401476059182211</v>
      </c>
      <c r="R32">
        <v>180</v>
      </c>
      <c r="S32">
        <f>((M32*Q32*R32*1000)+(N32*O32*P32*1000))/(C32*365)</f>
        <v>0.73764185687591488</v>
      </c>
      <c r="T32">
        <v>0.1</v>
      </c>
      <c r="U32" s="45">
        <f>((2*Trucks[[#This Row],[Distance{d}(km)]]*Trucks[[#This Row],[No of delieveries per day {nd}]])/Trucks[[#This Row],[No of trucks{Nt}]])*365</f>
        <v>144841.26984126982</v>
      </c>
      <c r="V32" s="45">
        <f>0.02*Trucks[[#This Row],[Investment cost, Trailer{ICTr}(k€)]]</f>
        <v>13.780000000000001</v>
      </c>
      <c r="W32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0.12838946240487062</v>
      </c>
      <c r="X32" s="45">
        <v>23</v>
      </c>
      <c r="Y32" s="45">
        <f>(Trucks[[#This Row],[Total time for delievery{td}(h)]]*Trucks[[#This Row],[Labor cost{ST}(€/h)]])/Trucks[[#This Row],[Max load capacity of trailer{HT(capacity)}'[kg']]]</f>
        <v>0.21705627705627709</v>
      </c>
      <c r="Z32" s="45">
        <v>0.38</v>
      </c>
      <c r="AA32" s="45">
        <v>1.54</v>
      </c>
      <c r="AB32" s="45">
        <f>(2*Trucks[[#This Row],[Distance{d}(km)]]*Trucks[[#This Row],[Fuel consumption{F}(L/km)]]*Trucks[[#This Row],[Fuel Price{FP}(€/L)]])/Trucks[[#This Row],[Max load capacity of trailer{HT(capacity)}'[kg']]]</f>
        <v>0.32511111111111113</v>
      </c>
      <c r="AC32" s="45">
        <f>Trucks[[#This Row],[LCOHT,Fuel(€/kg)]]+Trucks[[#This Row],[LCOHT,Labor(€/kg)]]+Trucks[[#This Row],[LCOHT(O&amp;M)(€/kg)]]+Trucks[[#This Row],[LCOHT,Invest(€/kg)]]</f>
        <v>1.4081987074481737</v>
      </c>
      <c r="AD32" s="3">
        <f>ROUND(4.4422037649,0)</f>
        <v>4</v>
      </c>
      <c r="AE32" s="45">
        <f>IF(Trucks[[#This Row],[Component]]="Trailer(350 bar)",399.2568937,415.300722807)</f>
        <v>399.25689369999998</v>
      </c>
      <c r="AF32" s="45">
        <f>((Trucks[[#This Row],[Daily Hydrogen Demand{mH2}(kg/day)]])/(0.002*24*60*60))</f>
        <v>57.870370370370374</v>
      </c>
      <c r="AG32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622849.28132419463</v>
      </c>
      <c r="AH32" s="45">
        <f>Trucks[[#This Row],[Compressor Power{P} (kW)]]/0.95</f>
        <v>655630.82244652067</v>
      </c>
      <c r="AI32" s="45">
        <f>IF(Trucks[[#This Row],[Component]]="Trailer(350 bar)",54851.4*POWER(0.001* Trucks[[#This Row],[Rated Power{Pc}(kW)]],0.4603)*1.3, 54184.17*POWER(0.001* Trucks[[#This Row],[Rated Power{Pc}(kW)]],0.6038)*1.3)</f>
        <v>1411365.0984156388</v>
      </c>
      <c r="AJ32" s="45">
        <f>0.28*Trucks[[#This Row],[Total installation costs{TIC}]]</f>
        <v>395182.22755637887</v>
      </c>
      <c r="AK32" s="45">
        <f>Trucks[[#This Row],[Indirect costs{Id}]]+Trucks[[#This Row],[Total installation costs{TIC}]]</f>
        <v>1806547.3259720176</v>
      </c>
      <c r="AL32" s="45">
        <f>(Trucks[[#This Row],[Investment cost for truck loading compressor{Invest}]]*0.11682954493602)/(0.9*Trucks[[#This Row],[Daily Hydrogen Demand{mH2}(kg/day)]]*365)</f>
        <v>6.4249041704321039E-2</v>
      </c>
      <c r="AM32" s="45">
        <f>Trucks[[#This Row],[No of annual hours{Ann}]]*Trucks[[#This Row],[Hourly salary {S}(€/h)]]</f>
        <v>2915.1774297867696</v>
      </c>
      <c r="AN32" s="45">
        <f>0.5*Trucks[[#This Row],[Direct labor costs{dL}]]</f>
        <v>1457.5887148933848</v>
      </c>
      <c r="AO32" s="45">
        <f>POWER(Trucks[[#This Row],[Daily Hydrogen Demand{mH2}(kg/day)]]/100000,0.25)*288</f>
        <v>161.95430165482054</v>
      </c>
      <c r="AP32" s="45">
        <v>18</v>
      </c>
      <c r="AQ32" s="45">
        <f>(0.021*Trucks[[#This Row],[Investment cost for truck loading compressor{Invest}]])+(0.04*Trucks[[#This Row],[Total installation costs{TIC}]])</f>
        <v>94392.097782037919</v>
      </c>
      <c r="AR32" s="45">
        <f>Trucks[[#This Row],[O&amp;Mc]]+Trucks[[#This Row],[Indirect labor costs{Idl}]]+Trucks[[#This Row],[Direct labor costs{dL}]]</f>
        <v>98764.86392671807</v>
      </c>
      <c r="AS32" s="45">
        <f>(Trucks[[#This Row],[Non energy cost for compressor(NE)]])/(0.9*Trucks[[#This Row],[Daily Hydrogen Demand{mH2}(kg/day)]]*365)</f>
        <v>3.0065407588042031E-2</v>
      </c>
      <c r="AT32" s="45">
        <f>(Trucks[[#This Row],[Rated Power{Pc}(kW)]])*0.001 * 0.306 * 24 * 365</f>
        <v>1757457.7574172453</v>
      </c>
      <c r="AU32" s="45">
        <f>(Trucks[[#This Row],[Annual energy cost for compression(Ec)(€)]])/(0.9*Trucks[[#This Row],[Daily Hydrogen Demand{mH2}(kg/day)]]*365)</f>
        <v>0.53499475111636086</v>
      </c>
      <c r="AV32" s="45">
        <f>Trucks[[#This Row],[LCOHT,E]]+Trucks[[#This Row],[LCOHT,NE]]+Trucks[[#This Row],[LCOHT,Invest]]</f>
        <v>0.62930920040872385</v>
      </c>
      <c r="AW32" s="45">
        <f>Trucks[[#This Row],[LOCHT For trucking compressor]]+Trucks[[#This Row],[LCOHT,Trucking]]</f>
        <v>2.0375079078568974</v>
      </c>
    </row>
    <row r="33" spans="1:49">
      <c r="A33" t="s">
        <v>423</v>
      </c>
      <c r="B33">
        <v>900</v>
      </c>
      <c r="C33">
        <v>2000</v>
      </c>
      <c r="D33">
        <f>C33/B33</f>
        <v>2.2222222222222223</v>
      </c>
      <c r="E33">
        <v>250</v>
      </c>
      <c r="F33">
        <v>77</v>
      </c>
      <c r="G33">
        <v>1</v>
      </c>
      <c r="H33">
        <v>1</v>
      </c>
      <c r="I33">
        <f>((2*E33)/F33)+G33+H33</f>
        <v>8.4935064935064943</v>
      </c>
      <c r="J33">
        <v>9</v>
      </c>
      <c r="K33">
        <f t="shared" si="0"/>
        <v>1.0596330275229358</v>
      </c>
      <c r="L33">
        <v>0.8</v>
      </c>
      <c r="M33">
        <v>3</v>
      </c>
      <c r="N33">
        <f>2*M33</f>
        <v>6</v>
      </c>
      <c r="O33">
        <f>(0.08*((1.08)^15))/((1.08^15)-1)</f>
        <v>0.11682954493601999</v>
      </c>
      <c r="P33">
        <v>689</v>
      </c>
      <c r="Q33">
        <f t="shared" si="1"/>
        <v>0.17401476059182211</v>
      </c>
      <c r="R33">
        <v>180</v>
      </c>
      <c r="S33">
        <f>((M33*Q33*R33*1000)+(N33*O33*P33*1000))/(C33*365)</f>
        <v>0.7903305609384802</v>
      </c>
      <c r="T33">
        <v>0.1</v>
      </c>
      <c r="U33">
        <f>((2*Trucks[[#This Row],[Distance{d}(km)]]*Trucks[[#This Row],[No of delieveries per day {nd}]])/Trucks[[#This Row],[No of trucks{Nt}]])*365</f>
        <v>135185.1851851852</v>
      </c>
      <c r="V33">
        <f>0.02*Trucks[[#This Row],[Investment cost, Trailer{ICTr}(k€)]]</f>
        <v>13.780000000000001</v>
      </c>
      <c r="W33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0.13359188432267885</v>
      </c>
      <c r="X33" s="45">
        <v>23</v>
      </c>
      <c r="Y33" s="45">
        <f>(Trucks[[#This Row],[Total time for delievery{td}(h)]]*Trucks[[#This Row],[Labor cost{ST}(€/h)]])/Trucks[[#This Row],[Max load capacity of trailer{HT(capacity)}'[kg']]]</f>
        <v>0.21705627705627709</v>
      </c>
      <c r="Z33" s="45">
        <v>0.38</v>
      </c>
      <c r="AA33" s="45">
        <v>1.54</v>
      </c>
      <c r="AB33" s="45">
        <f>(2*Trucks[[#This Row],[Distance{d}(km)]]*Trucks[[#This Row],[Fuel consumption{F}(L/km)]]*Trucks[[#This Row],[Fuel Price{FP}(€/L)]])/Trucks[[#This Row],[Max load capacity of trailer{HT(capacity)}'[kg']]]</f>
        <v>0.32511111111111113</v>
      </c>
      <c r="AC33" s="45">
        <f>Trucks[[#This Row],[LCOHT,Fuel(€/kg)]]+Trucks[[#This Row],[LCOHT,Labor(€/kg)]]+Trucks[[#This Row],[LCOHT(O&amp;M)(€/kg)]]+Trucks[[#This Row],[LCOHT,Invest(€/kg)]]</f>
        <v>1.4660898334285473</v>
      </c>
      <c r="AD33" s="3">
        <f>ROUND(4.4422037649,0)</f>
        <v>4</v>
      </c>
      <c r="AE33" s="45">
        <f>IF(Trucks[[#This Row],[Component]]="Trailer(350 bar)",399.2568937,415.300722807)</f>
        <v>399.25689369999998</v>
      </c>
      <c r="AF33" s="45">
        <f>((Trucks[[#This Row],[Daily Hydrogen Demand{mH2}(kg/day)]])/(0.002*24*60*60))</f>
        <v>11.574074074074074</v>
      </c>
      <c r="AG33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124569.85626483895</v>
      </c>
      <c r="AH33" s="45">
        <f>Trucks[[#This Row],[Compressor Power{P} (kW)]]/0.95</f>
        <v>131126.16448930415</v>
      </c>
      <c r="AI33" s="45">
        <f>IF(Trucks[[#This Row],[Component]]="Trailer(350 bar)",54851.4*POWER(0.001* Trucks[[#This Row],[Rated Power{Pc}(kW)]],0.4603)*1.3, 54184.17*POWER(0.001* Trucks[[#This Row],[Rated Power{Pc}(kW)]],0.6038)*1.3)</f>
        <v>672827.10776915017</v>
      </c>
      <c r="AJ33" s="45">
        <f>0.28*Trucks[[#This Row],[Total installation costs{TIC}]]</f>
        <v>188391.59017536207</v>
      </c>
      <c r="AK33" s="45">
        <f>Trucks[[#This Row],[Indirect costs{Id}]]+Trucks[[#This Row],[Total installation costs{TIC}]]</f>
        <v>861218.69794451224</v>
      </c>
      <c r="AL33" s="45">
        <f>(Trucks[[#This Row],[Investment cost for truck loading compressor{Invest}]]*0.11682954493602)/(0.9*Trucks[[#This Row],[Daily Hydrogen Demand{mH2}(kg/day)]]*365)</f>
        <v>0.15314427484208376</v>
      </c>
      <c r="AM33" s="45">
        <f>Trucks[[#This Row],[No of annual hours{Ann}]]*Trucks[[#This Row],[Hourly salary {S}(€/h)]]</f>
        <v>1949.4966434559865</v>
      </c>
      <c r="AN33" s="45">
        <f>0.5*Trucks[[#This Row],[Direct labor costs{dL}]]</f>
        <v>974.74832172799324</v>
      </c>
      <c r="AO33" s="45">
        <f>POWER(Trucks[[#This Row],[Daily Hydrogen Demand{mH2}(kg/day)]]/100000,0.25)*288</f>
        <v>108.30536908088814</v>
      </c>
      <c r="AP33" s="45">
        <v>18</v>
      </c>
      <c r="AQ33" s="45">
        <f>(0.021*Trucks[[#This Row],[Investment cost for truck loading compressor{Invest}]])+(0.04*Trucks[[#This Row],[Total installation costs{TIC}]])</f>
        <v>44998.676967600768</v>
      </c>
      <c r="AR33" s="45">
        <f>Trucks[[#This Row],[O&amp;Mc]]+Trucks[[#This Row],[Indirect labor costs{Idl}]]+Trucks[[#This Row],[Direct labor costs{dL}]]</f>
        <v>47922.921932784753</v>
      </c>
      <c r="AS33" s="45">
        <f>(Trucks[[#This Row],[Non energy cost for compressor(NE)]])/(0.9*Trucks[[#This Row],[Daily Hydrogen Demand{mH2}(kg/day)]]*365)</f>
        <v>7.2942042515654115E-2</v>
      </c>
      <c r="AT33" s="45">
        <f>(Trucks[[#This Row],[Rated Power{Pc}(kW)]])*0.001 * 0.306 * 24 * 365</f>
        <v>351491.55148344918</v>
      </c>
      <c r="AU33" s="45">
        <f>(Trucks[[#This Row],[Annual energy cost for compression(Ec)(€)]])/(0.9*Trucks[[#This Row],[Daily Hydrogen Demand{mH2}(kg/day)]]*365)</f>
        <v>0.53499475111636097</v>
      </c>
      <c r="AV33" s="45">
        <f>Trucks[[#This Row],[LCOHT,E]]+Trucks[[#This Row],[LCOHT,NE]]+Trucks[[#This Row],[LCOHT,Invest]]</f>
        <v>0.76108106847409873</v>
      </c>
      <c r="AW33" s="45">
        <f>Trucks[[#This Row],[LOCHT For trucking compressor]]+Trucks[[#This Row],[LCOHT,Trucking]]</f>
        <v>2.227170901902646</v>
      </c>
    </row>
    <row r="34" spans="1:49">
      <c r="A34" t="s">
        <v>424</v>
      </c>
      <c r="B34">
        <v>1330</v>
      </c>
      <c r="C34">
        <v>30000</v>
      </c>
      <c r="D34">
        <f>C34/B34</f>
        <v>22.556390977443609</v>
      </c>
      <c r="E34">
        <v>250</v>
      </c>
      <c r="F34">
        <v>77</v>
      </c>
      <c r="G34">
        <v>1</v>
      </c>
      <c r="H34">
        <v>1</v>
      </c>
      <c r="I34">
        <f>((2*E34)/F34)+G34+H34</f>
        <v>8.4935064935064943</v>
      </c>
      <c r="J34">
        <v>9</v>
      </c>
      <c r="K34">
        <f t="shared" si="0"/>
        <v>1.0596330275229358</v>
      </c>
      <c r="L34">
        <v>0.8</v>
      </c>
      <c r="M34">
        <v>27</v>
      </c>
      <c r="N34">
        <f>2*M34</f>
        <v>54</v>
      </c>
      <c r="O34">
        <f>(0.08*((1.08)^15))/((1.08^15)-1)</f>
        <v>0.11682954493601999</v>
      </c>
      <c r="P34">
        <v>1100</v>
      </c>
      <c r="Q34">
        <f t="shared" si="1"/>
        <v>0.17401476059182211</v>
      </c>
      <c r="R34">
        <v>180</v>
      </c>
      <c r="S34">
        <f>((M34*Q34*R34*1000)+(N34*O34*P34*1000))/(C34*365)</f>
        <v>0.71099421969642407</v>
      </c>
      <c r="T34">
        <v>0.1</v>
      </c>
      <c r="U34" s="45">
        <f>((2*Trucks[[#This Row],[Distance{d}(km)]]*Trucks[[#This Row],[No of delieveries per day {nd}]])/Trucks[[#This Row],[No of trucks{Nt}]])*365</f>
        <v>152464.49456975775</v>
      </c>
      <c r="V34" s="45">
        <f>0.02*Trucks[[#This Row],[Investment cost, Trailer{ICTr}(k€)]]</f>
        <v>22</v>
      </c>
      <c r="W34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0.15693645071583068</v>
      </c>
      <c r="X34" s="45">
        <v>23</v>
      </c>
      <c r="Y34" s="45">
        <f>(Trucks[[#This Row],[Total time for delievery{td}(h)]]*Trucks[[#This Row],[Labor cost{ST}(€/h)]])/Trucks[[#This Row],[Max load capacity of trailer{HT(capacity)}'[kg']]]</f>
        <v>0.14688018748169127</v>
      </c>
      <c r="Z34" s="45">
        <v>0.38</v>
      </c>
      <c r="AA34" s="45">
        <v>1.54</v>
      </c>
      <c r="AB34" s="45">
        <f>(2*Trucks[[#This Row],[Distance{d}(km)]]*Trucks[[#This Row],[Fuel consumption{F}(L/km)]]*Trucks[[#This Row],[Fuel Price{FP}(€/L)]])/Trucks[[#This Row],[Max load capacity of trailer{HT(capacity)}'[kg']]]</f>
        <v>0.22000000000000003</v>
      </c>
      <c r="AC34" s="45">
        <f>Trucks[[#This Row],[LCOHT,Fuel(€/kg)]]+Trucks[[#This Row],[LCOHT,Labor(€/kg)]]+Trucks[[#This Row],[LCOHT(O&amp;M)(€/kg)]]+Trucks[[#This Row],[LCOHT,Invest(€/kg)]]</f>
        <v>1.2348108578939461</v>
      </c>
      <c r="AD34" s="3">
        <f>ROUND(4.4422037649,0)</f>
        <v>4</v>
      </c>
      <c r="AE34" s="45">
        <f>IF(Trucks[[#This Row],[Component]]="Trailer(350 bar)",399.2568937,415.300722807)</f>
        <v>415.300722807</v>
      </c>
      <c r="AF34" s="45">
        <f>((Trucks[[#This Row],[Daily Hydrogen Demand{mH2}(kg/day)]])/(0.002*24*60*60))</f>
        <v>173.61111111111111</v>
      </c>
      <c r="AG34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2187107.5275901076</v>
      </c>
      <c r="AH34" s="45">
        <f>Trucks[[#This Row],[Compressor Power{P} (kW)]]/0.95</f>
        <v>2302218.4500948503</v>
      </c>
      <c r="AI34" s="45">
        <f>IF(Trucks[[#This Row],[Component]]="Trailer(350 bar)",54851.4*POWER(0.001* Trucks[[#This Row],[Rated Power{Pc}(kW)]],0.4603)*1.3, 54184.17*POWER(0.001* Trucks[[#This Row],[Rated Power{Pc}(kW)]],0.6038)*1.3)</f>
        <v>7548833.6011698069</v>
      </c>
      <c r="AJ34" s="45">
        <f>0.28*Trucks[[#This Row],[Total installation costs{TIC}]]</f>
        <v>2113673.408327546</v>
      </c>
      <c r="AK34" s="45">
        <f>Trucks[[#This Row],[Indirect costs{Id}]]+Trucks[[#This Row],[Total installation costs{TIC}]]</f>
        <v>9662507.0094973519</v>
      </c>
      <c r="AL34" s="45">
        <f>(Trucks[[#This Row],[Investment cost for truck loading compressor{Invest}]]*0.11682954493602)/(0.9*Trucks[[#This Row],[Daily Hydrogen Demand{mH2}(kg/day)]]*365)</f>
        <v>0.11454756944299128</v>
      </c>
      <c r="AM34" s="45">
        <f>Trucks[[#This Row],[No of annual hours{Ann}]]*Trucks[[#This Row],[Hourly salary {S}(€/h)]]</f>
        <v>3836.5892584880066</v>
      </c>
      <c r="AN34" s="45">
        <f>0.5*Trucks[[#This Row],[Direct labor costs{dL}]]</f>
        <v>1918.2946292440033</v>
      </c>
      <c r="AO34" s="45">
        <f>POWER(Trucks[[#This Row],[Daily Hydrogen Demand{mH2}(kg/day)]]/100000,0.25)*288</f>
        <v>213.14384769377816</v>
      </c>
      <c r="AP34" s="45">
        <v>18</v>
      </c>
      <c r="AQ34" s="45">
        <f>(0.021*Trucks[[#This Row],[Investment cost for truck loading compressor{Invest}]])+(0.04*Trucks[[#This Row],[Total installation costs{TIC}]])</f>
        <v>504865.99124623672</v>
      </c>
      <c r="AR34" s="45">
        <f>Trucks[[#This Row],[O&amp;Mc]]+Trucks[[#This Row],[Indirect labor costs{Idl}]]+Trucks[[#This Row],[Direct labor costs{dL}]]</f>
        <v>510620.87513396877</v>
      </c>
      <c r="AS34" s="45">
        <f>(Trucks[[#This Row],[Non energy cost for compressor(NE)]])/(0.9*Trucks[[#This Row],[Daily Hydrogen Demand{mH2}(kg/day)]]*365)</f>
        <v>5.1813381545811138E-2</v>
      </c>
      <c r="AT34" s="45">
        <f>(Trucks[[#This Row],[Rated Power{Pc}(kW)]])*0.001 * 0.306 * 24 * 365</f>
        <v>6171234.6885862509</v>
      </c>
      <c r="AU34" s="45">
        <f>(Trucks[[#This Row],[Annual energy cost for compression(Ec)(€)]])/(0.9*Trucks[[#This Row],[Daily Hydrogen Demand{mH2}(kg/day)]]*365)</f>
        <v>0.62620341842579919</v>
      </c>
      <c r="AV34" s="45">
        <f>Trucks[[#This Row],[LCOHT,E]]+Trucks[[#This Row],[LCOHT,NE]]+Trucks[[#This Row],[LCOHT,Invest]]</f>
        <v>0.79256436941460162</v>
      </c>
      <c r="AW34" s="45">
        <f>Trucks[[#This Row],[LOCHT For trucking compressor]]+Trucks[[#This Row],[LCOHT,Trucking]]</f>
        <v>2.0273752273085477</v>
      </c>
    </row>
    <row r="35" spans="1:49">
      <c r="A35" t="s">
        <v>424</v>
      </c>
      <c r="B35">
        <v>1330</v>
      </c>
      <c r="C35">
        <v>10000</v>
      </c>
      <c r="D35">
        <f>C35/B35</f>
        <v>7.518796992481203</v>
      </c>
      <c r="E35">
        <v>250</v>
      </c>
      <c r="F35">
        <v>77</v>
      </c>
      <c r="G35">
        <v>1</v>
      </c>
      <c r="H35">
        <v>1</v>
      </c>
      <c r="I35">
        <f>((2*E35)/F35)+G35+H35</f>
        <v>8.4935064935064943</v>
      </c>
      <c r="J35">
        <v>9</v>
      </c>
      <c r="K35">
        <f t="shared" si="0"/>
        <v>1.0596330275229358</v>
      </c>
      <c r="L35">
        <v>0.8</v>
      </c>
      <c r="M35">
        <v>9</v>
      </c>
      <c r="N35">
        <f>2*M35</f>
        <v>18</v>
      </c>
      <c r="O35">
        <f>(0.08*((1.08)^15))/((1.08^15)-1)</f>
        <v>0.11682954493601999</v>
      </c>
      <c r="P35">
        <v>1100</v>
      </c>
      <c r="Q35">
        <f t="shared" si="1"/>
        <v>0.17401476059182211</v>
      </c>
      <c r="R35">
        <v>180</v>
      </c>
      <c r="S35">
        <f>((M35*Q35*R35*1000)+(N35*O35*P35*1000))/(C35*365)</f>
        <v>0.71099421969642407</v>
      </c>
      <c r="T35">
        <v>0.1</v>
      </c>
      <c r="U35" s="45">
        <f>((2*Trucks[[#This Row],[Distance{d}(km)]]*Trucks[[#This Row],[No of delieveries per day {nd}]])/Trucks[[#This Row],[No of trucks{Nt}]])*365</f>
        <v>152464.49456975772</v>
      </c>
      <c r="V35" s="45">
        <f>0.02*Trucks[[#This Row],[Investment cost, Trailer{ICTr}(k€)]]</f>
        <v>22</v>
      </c>
      <c r="W35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0.15693645071583068</v>
      </c>
      <c r="X35" s="45">
        <v>23</v>
      </c>
      <c r="Y35" s="45">
        <f>(Trucks[[#This Row],[Total time for delievery{td}(h)]]*Trucks[[#This Row],[Labor cost{ST}(€/h)]])/Trucks[[#This Row],[Max load capacity of trailer{HT(capacity)}'[kg']]]</f>
        <v>0.14688018748169127</v>
      </c>
      <c r="Z35" s="45">
        <v>0.38</v>
      </c>
      <c r="AA35" s="45">
        <v>1.54</v>
      </c>
      <c r="AB35" s="45">
        <f>(2*Trucks[[#This Row],[Distance{d}(km)]]*Trucks[[#This Row],[Fuel consumption{F}(L/km)]]*Trucks[[#This Row],[Fuel Price{FP}(€/L)]])/Trucks[[#This Row],[Max load capacity of trailer{HT(capacity)}'[kg']]]</f>
        <v>0.22000000000000003</v>
      </c>
      <c r="AC35" s="45">
        <f>Trucks[[#This Row],[LCOHT,Fuel(€/kg)]]+Trucks[[#This Row],[LCOHT,Labor(€/kg)]]+Trucks[[#This Row],[LCOHT(O&amp;M)(€/kg)]]+Trucks[[#This Row],[LCOHT,Invest(€/kg)]]</f>
        <v>1.2348108578939461</v>
      </c>
      <c r="AD35" s="3">
        <f>ROUND(4.4422037649,0)</f>
        <v>4</v>
      </c>
      <c r="AE35" s="45">
        <f>IF(Trucks[[#This Row],[Component]]="Trailer(350 bar)",399.2568937,415.300722807)</f>
        <v>415.300722807</v>
      </c>
      <c r="AF35" s="45">
        <f>((Trucks[[#This Row],[Daily Hydrogen Demand{mH2}(kg/day)]])/(0.002*24*60*60))</f>
        <v>57.870370370370374</v>
      </c>
      <c r="AG35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729035.842530036</v>
      </c>
      <c r="AH35" s="45">
        <f>Trucks[[#This Row],[Compressor Power{P} (kW)]]/0.95</f>
        <v>767406.15003161691</v>
      </c>
      <c r="AI35" s="45">
        <f>IF(Trucks[[#This Row],[Component]]="Trailer(350 bar)",54851.4*POWER(0.001* Trucks[[#This Row],[Rated Power{Pc}(kW)]],0.4603)*1.3, 54184.17*POWER(0.001* Trucks[[#This Row],[Rated Power{Pc}(kW)]],0.6038)*1.3)</f>
        <v>3888606.866641616</v>
      </c>
      <c r="AJ35" s="45">
        <f>0.28*Trucks[[#This Row],[Total installation costs{TIC}]]</f>
        <v>1088809.9226596525</v>
      </c>
      <c r="AK35" s="45">
        <f>Trucks[[#This Row],[Indirect costs{Id}]]+Trucks[[#This Row],[Total installation costs{TIC}]]</f>
        <v>4977416.7893012688</v>
      </c>
      <c r="AL35" s="45">
        <f>(Trucks[[#This Row],[Investment cost for truck loading compressor{Invest}]]*0.11682954493602)/(0.9*Trucks[[#This Row],[Daily Hydrogen Demand{mH2}(kg/day)]]*365)</f>
        <v>0.17701958552541036</v>
      </c>
      <c r="AM35" s="45">
        <f>Trucks[[#This Row],[No of annual hours{Ann}]]*Trucks[[#This Row],[Hourly salary {S}(€/h)]]</f>
        <v>2915.1774297867696</v>
      </c>
      <c r="AN35" s="45">
        <f>0.5*Trucks[[#This Row],[Direct labor costs{dL}]]</f>
        <v>1457.5887148933848</v>
      </c>
      <c r="AO35" s="45">
        <f>POWER(Trucks[[#This Row],[Daily Hydrogen Demand{mH2}(kg/day)]]/100000,0.25)*288</f>
        <v>161.95430165482054</v>
      </c>
      <c r="AP35" s="45">
        <v>18</v>
      </c>
      <c r="AQ35" s="45">
        <f>(0.021*Trucks[[#This Row],[Investment cost for truck loading compressor{Invest}]])+(0.04*Trucks[[#This Row],[Total installation costs{TIC}]])</f>
        <v>260070.0272409913</v>
      </c>
      <c r="AR35" s="45">
        <f>Trucks[[#This Row],[O&amp;Mc]]+Trucks[[#This Row],[Indirect labor costs{Idl}]]+Trucks[[#This Row],[Direct labor costs{dL}]]</f>
        <v>264442.79338567145</v>
      </c>
      <c r="AS35" s="45">
        <f>(Trucks[[#This Row],[Non energy cost for compressor(NE)]])/(0.9*Trucks[[#This Row],[Daily Hydrogen Demand{mH2}(kg/day)]]*365)</f>
        <v>8.050008931070668E-2</v>
      </c>
      <c r="AT35" s="45">
        <f>(Trucks[[#This Row],[Rated Power{Pc}(kW)]])*0.001 * 0.306 * 24 * 365</f>
        <v>2057078.229528751</v>
      </c>
      <c r="AU35" s="45">
        <f>(Trucks[[#This Row],[Annual energy cost for compression(Ec)(€)]])/(0.9*Trucks[[#This Row],[Daily Hydrogen Demand{mH2}(kg/day)]]*365)</f>
        <v>0.62620341842579941</v>
      </c>
      <c r="AV35" s="45">
        <f>Trucks[[#This Row],[LCOHT,E]]+Trucks[[#This Row],[LCOHT,NE]]+Trucks[[#This Row],[LCOHT,Invest]]</f>
        <v>0.88372309326191645</v>
      </c>
      <c r="AW35" s="45">
        <f>Trucks[[#This Row],[LOCHT For trucking compressor]]+Trucks[[#This Row],[LCOHT,Trucking]]</f>
        <v>2.1185339511558627</v>
      </c>
    </row>
    <row r="36" spans="1:49">
      <c r="A36" t="s">
        <v>423</v>
      </c>
      <c r="B36">
        <v>900</v>
      </c>
      <c r="C36">
        <v>30000</v>
      </c>
      <c r="D36">
        <f>C36/B36</f>
        <v>33.333333333333336</v>
      </c>
      <c r="E36">
        <v>500</v>
      </c>
      <c r="F36">
        <v>77</v>
      </c>
      <c r="G36">
        <v>1</v>
      </c>
      <c r="H36">
        <v>1</v>
      </c>
      <c r="I36">
        <f>((2*E36)/F36)+G36+H36</f>
        <v>14.987012987012987</v>
      </c>
      <c r="J36">
        <v>9</v>
      </c>
      <c r="K36">
        <f t="shared" si="0"/>
        <v>0.60051993067590992</v>
      </c>
      <c r="L36">
        <v>0.8</v>
      </c>
      <c r="M36">
        <v>70</v>
      </c>
      <c r="N36">
        <f>2*M36</f>
        <v>140</v>
      </c>
      <c r="O36">
        <f>(0.08*((1.08)^15))/((1.08^15)-1)</f>
        <v>0.11682954493601999</v>
      </c>
      <c r="P36">
        <v>689</v>
      </c>
      <c r="Q36">
        <f t="shared" si="1"/>
        <v>0.17401476059182211</v>
      </c>
      <c r="R36">
        <v>180</v>
      </c>
      <c r="S36">
        <f>((M36*Q36*R36*1000)+(N36*O36*P36*1000))/(C36*365)</f>
        <v>1.2294030947931913</v>
      </c>
      <c r="T36">
        <v>0.1</v>
      </c>
      <c r="U36" s="45">
        <f>((2*Trucks[[#This Row],[Distance{d}(km)]]*Trucks[[#This Row],[No of delieveries per day {nd}]])/Trucks[[#This Row],[No of trucks{Nt}]])*365</f>
        <v>173809.52380952382</v>
      </c>
      <c r="V36" s="45">
        <f>0.02*Trucks[[#This Row],[Investment cost, Trailer{ICTr}(k€)]]</f>
        <v>13.780000000000001</v>
      </c>
      <c r="W36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0.23250095585996958</v>
      </c>
      <c r="X36" s="45">
        <v>23</v>
      </c>
      <c r="Y36" s="45">
        <f>(Trucks[[#This Row],[Total time for delievery{td}(h)]]*Trucks[[#This Row],[Labor cost{ST}(€/h)]])/Trucks[[#This Row],[Max load capacity of trailer{HT(capacity)}'[kg']]]</f>
        <v>0.38300144300144301</v>
      </c>
      <c r="Z36" s="45">
        <v>0.38</v>
      </c>
      <c r="AA36" s="45">
        <v>1.54</v>
      </c>
      <c r="AB36" s="45">
        <f>(2*Trucks[[#This Row],[Distance{d}(km)]]*Trucks[[#This Row],[Fuel consumption{F}(L/km)]]*Trucks[[#This Row],[Fuel Price{FP}(€/L)]])/Trucks[[#This Row],[Max load capacity of trailer{HT(capacity)}'[kg']]]</f>
        <v>0.65022222222222226</v>
      </c>
      <c r="AC36" s="45">
        <f>Trucks[[#This Row],[LCOHT,Fuel(€/kg)]]+Trucks[[#This Row],[LCOHT,Labor(€/kg)]]+Trucks[[#This Row],[LCOHT(O&amp;M)(€/kg)]]+Trucks[[#This Row],[LCOHT,Invest(€/kg)]]</f>
        <v>2.4951277158768264</v>
      </c>
      <c r="AD36" s="3">
        <f>ROUND(4.4422037649,0)</f>
        <v>4</v>
      </c>
      <c r="AE36" s="45">
        <f>IF(Trucks[[#This Row],[Component]]="Trailer(350 bar)",399.2568937,415.300722807)</f>
        <v>399.25689369999998</v>
      </c>
      <c r="AF36" s="45">
        <f>((Trucks[[#This Row],[Daily Hydrogen Demand{mH2}(kg/day)]])/(0.002*24*60*60))</f>
        <v>173.61111111111111</v>
      </c>
      <c r="AG36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1868547.843972584</v>
      </c>
      <c r="AH36" s="45">
        <f>Trucks[[#This Row],[Compressor Power{P} (kW)]]/0.95</f>
        <v>1966892.4673395623</v>
      </c>
      <c r="AI36" s="45">
        <f>IF(Trucks[[#This Row],[Component]]="Trailer(350 bar)",54851.4*POWER(0.001* Trucks[[#This Row],[Rated Power{Pc}(kW)]],0.4603)*1.3, 54184.17*POWER(0.001* Trucks[[#This Row],[Rated Power{Pc}(kW)]],0.6038)*1.3)</f>
        <v>2340228.6245801435</v>
      </c>
      <c r="AJ36" s="45">
        <f>0.28*Trucks[[#This Row],[Total installation costs{TIC}]]</f>
        <v>655264.01488244021</v>
      </c>
      <c r="AK36" s="45">
        <f>Trucks[[#This Row],[Indirect costs{Id}]]+Trucks[[#This Row],[Total installation costs{TIC}]]</f>
        <v>2995492.6394625837</v>
      </c>
      <c r="AL36" s="45">
        <f>(Trucks[[#This Row],[Investment cost for truck loading compressor{Invest}]]*0.11682954493602)/(0.9*Trucks[[#This Row],[Daily Hydrogen Demand{mH2}(kg/day)]]*365)</f>
        <v>3.5511115365561757E-2</v>
      </c>
      <c r="AM36" s="45">
        <f>Trucks[[#This Row],[No of annual hours{Ann}]]*Trucks[[#This Row],[Hourly salary {S}(€/h)]]</f>
        <v>3836.5892584880066</v>
      </c>
      <c r="AN36" s="45">
        <f>0.5*Trucks[[#This Row],[Direct labor costs{dL}]]</f>
        <v>1918.2946292440033</v>
      </c>
      <c r="AO36" s="45">
        <f>POWER(Trucks[[#This Row],[Daily Hydrogen Demand{mH2}(kg/day)]]/100000,0.25)*288</f>
        <v>213.14384769377816</v>
      </c>
      <c r="AP36" s="45">
        <v>18</v>
      </c>
      <c r="AQ36" s="45">
        <f>(0.021*Trucks[[#This Row],[Investment cost for truck loading compressor{Invest}]])+(0.04*Trucks[[#This Row],[Total installation costs{TIC}]])</f>
        <v>156514.49041192001</v>
      </c>
      <c r="AR36" s="45">
        <f>Trucks[[#This Row],[O&amp;Mc]]+Trucks[[#This Row],[Indirect labor costs{Idl}]]+Trucks[[#This Row],[Direct labor costs{dL}]]</f>
        <v>162269.37429965203</v>
      </c>
      <c r="AS36" s="45">
        <f>(Trucks[[#This Row],[Non energy cost for compressor(NE)]])/(0.9*Trucks[[#This Row],[Daily Hydrogen Demand{mH2}(kg/day)]]*365)</f>
        <v>1.6465689934008324E-2</v>
      </c>
      <c r="AT36" s="45">
        <f>(Trucks[[#This Row],[Rated Power{Pc}(kW)]])*0.001 * 0.306 * 24 * 365</f>
        <v>5272373.2722517373</v>
      </c>
      <c r="AU36" s="45">
        <f>(Trucks[[#This Row],[Annual energy cost for compression(Ec)(€)]])/(0.9*Trucks[[#This Row],[Daily Hydrogen Demand{mH2}(kg/day)]]*365)</f>
        <v>0.53499475111636097</v>
      </c>
      <c r="AV36" s="45">
        <f>Trucks[[#This Row],[LCOHT,E]]+Trucks[[#This Row],[LCOHT,NE]]+Trucks[[#This Row],[LCOHT,Invest]]</f>
        <v>0.58697155641593102</v>
      </c>
      <c r="AW36" s="45">
        <f>Trucks[[#This Row],[LOCHT For trucking compressor]]+Trucks[[#This Row],[LCOHT,Trucking]]</f>
        <v>3.0820992722927576</v>
      </c>
    </row>
    <row r="37" spans="1:49">
      <c r="A37" t="s">
        <v>423</v>
      </c>
      <c r="B37">
        <v>900</v>
      </c>
      <c r="C37">
        <v>10000</v>
      </c>
      <c r="D37">
        <f>C37/B37</f>
        <v>11.111111111111111</v>
      </c>
      <c r="E37">
        <v>500</v>
      </c>
      <c r="F37">
        <v>77</v>
      </c>
      <c r="G37">
        <v>1</v>
      </c>
      <c r="H37">
        <v>1</v>
      </c>
      <c r="I37">
        <f>((2*E37)/F37)+G37+H37</f>
        <v>14.987012987012987</v>
      </c>
      <c r="J37">
        <v>9</v>
      </c>
      <c r="K37">
        <f t="shared" si="0"/>
        <v>0.60051993067590992</v>
      </c>
      <c r="L37">
        <v>0.8</v>
      </c>
      <c r="M37">
        <v>24</v>
      </c>
      <c r="N37">
        <f>2*M37</f>
        <v>48</v>
      </c>
      <c r="O37">
        <f>(0.08*((1.08)^15))/((1.08^15)-1)</f>
        <v>0.11682954493601999</v>
      </c>
      <c r="P37">
        <v>689</v>
      </c>
      <c r="Q37">
        <f t="shared" si="1"/>
        <v>0.17401476059182211</v>
      </c>
      <c r="R37">
        <v>180</v>
      </c>
      <c r="S37">
        <f>((M37*Q37*R37*1000)+(N37*O37*P37*1000))/(C37*365)</f>
        <v>1.2645288975015683</v>
      </c>
      <c r="T37">
        <v>0.1</v>
      </c>
      <c r="U37" s="45">
        <f>((2*Trucks[[#This Row],[Distance{d}(km)]]*Trucks[[#This Row],[No of delieveries per day {nd}]])/Trucks[[#This Row],[No of trucks{Nt}]])*365</f>
        <v>168981.48148148149</v>
      </c>
      <c r="V37" s="45">
        <f>0.02*Trucks[[#This Row],[Investment cost, Trailer{ICTr}(k€)]]</f>
        <v>13.780000000000001</v>
      </c>
      <c r="W37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0.2359692371385084</v>
      </c>
      <c r="X37" s="45">
        <v>23</v>
      </c>
      <c r="Y37" s="45">
        <f>(Trucks[[#This Row],[Total time for delievery{td}(h)]]*Trucks[[#This Row],[Labor cost{ST}(€/h)]])/Trucks[[#This Row],[Max load capacity of trailer{HT(capacity)}'[kg']]]</f>
        <v>0.38300144300144301</v>
      </c>
      <c r="Z37" s="45">
        <v>0.38</v>
      </c>
      <c r="AA37" s="45">
        <v>1.54</v>
      </c>
      <c r="AB37" s="45">
        <f>(2*Trucks[[#This Row],[Distance{d}(km)]]*Trucks[[#This Row],[Fuel consumption{F}(L/km)]]*Trucks[[#This Row],[Fuel Price{FP}(€/L)]])/Trucks[[#This Row],[Max load capacity of trailer{HT(capacity)}'[kg']]]</f>
        <v>0.65022222222222226</v>
      </c>
      <c r="AC37" s="45">
        <f>Trucks[[#This Row],[LCOHT,Fuel(€/kg)]]+Trucks[[#This Row],[LCOHT,Labor(€/kg)]]+Trucks[[#This Row],[LCOHT(O&amp;M)(€/kg)]]+Trucks[[#This Row],[LCOHT,Invest(€/kg)]]</f>
        <v>2.5337217998637422</v>
      </c>
      <c r="AD37" s="3">
        <f>ROUND(4.4422037649,0)</f>
        <v>4</v>
      </c>
      <c r="AE37" s="45">
        <f>IF(Trucks[[#This Row],[Component]]="Trailer(350 bar)",399.2568937,415.300722807)</f>
        <v>399.25689369999998</v>
      </c>
      <c r="AF37" s="45">
        <f>((Trucks[[#This Row],[Daily Hydrogen Demand{mH2}(kg/day)]])/(0.002*24*60*60))</f>
        <v>57.870370370370374</v>
      </c>
      <c r="AG37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622849.28132419463</v>
      </c>
      <c r="AH37" s="45">
        <f>Trucks[[#This Row],[Compressor Power{P} (kW)]]/0.95</f>
        <v>655630.82244652067</v>
      </c>
      <c r="AI37" s="45">
        <f>IF(Trucks[[#This Row],[Component]]="Trailer(350 bar)",54851.4*POWER(0.001* Trucks[[#This Row],[Rated Power{Pc}(kW)]],0.4603)*1.3, 54184.17*POWER(0.001* Trucks[[#This Row],[Rated Power{Pc}(kW)]],0.6038)*1.3)</f>
        <v>1411365.0984156388</v>
      </c>
      <c r="AJ37" s="45">
        <f>0.28*Trucks[[#This Row],[Total installation costs{TIC}]]</f>
        <v>395182.22755637887</v>
      </c>
      <c r="AK37" s="45">
        <f>Trucks[[#This Row],[Indirect costs{Id}]]+Trucks[[#This Row],[Total installation costs{TIC}]]</f>
        <v>1806547.3259720176</v>
      </c>
      <c r="AL37" s="45">
        <f>(Trucks[[#This Row],[Investment cost for truck loading compressor{Invest}]]*0.11682954493602)/(0.9*Trucks[[#This Row],[Daily Hydrogen Demand{mH2}(kg/day)]]*365)</f>
        <v>6.4249041704321039E-2</v>
      </c>
      <c r="AM37" s="45">
        <f>Trucks[[#This Row],[No of annual hours{Ann}]]*Trucks[[#This Row],[Hourly salary {S}(€/h)]]</f>
        <v>2915.1774297867696</v>
      </c>
      <c r="AN37" s="45">
        <f>0.5*Trucks[[#This Row],[Direct labor costs{dL}]]</f>
        <v>1457.5887148933848</v>
      </c>
      <c r="AO37" s="45">
        <f>POWER(Trucks[[#This Row],[Daily Hydrogen Demand{mH2}(kg/day)]]/100000,0.25)*288</f>
        <v>161.95430165482054</v>
      </c>
      <c r="AP37" s="45">
        <v>18</v>
      </c>
      <c r="AQ37" s="45">
        <f>(0.021*Trucks[[#This Row],[Investment cost for truck loading compressor{Invest}]])+(0.04*Trucks[[#This Row],[Total installation costs{TIC}]])</f>
        <v>94392.097782037919</v>
      </c>
      <c r="AR37" s="45">
        <f>Trucks[[#This Row],[O&amp;Mc]]+Trucks[[#This Row],[Indirect labor costs{Idl}]]+Trucks[[#This Row],[Direct labor costs{dL}]]</f>
        <v>98764.86392671807</v>
      </c>
      <c r="AS37" s="45">
        <f>(Trucks[[#This Row],[Non energy cost for compressor(NE)]])/(0.9*Trucks[[#This Row],[Daily Hydrogen Demand{mH2}(kg/day)]]*365)</f>
        <v>3.0065407588042031E-2</v>
      </c>
      <c r="AT37" s="45">
        <f>(Trucks[[#This Row],[Rated Power{Pc}(kW)]])*0.001 * 0.306 * 24 * 365</f>
        <v>1757457.7574172453</v>
      </c>
      <c r="AU37" s="45">
        <f>(Trucks[[#This Row],[Annual energy cost for compression(Ec)(€)]])/(0.9*Trucks[[#This Row],[Daily Hydrogen Demand{mH2}(kg/day)]]*365)</f>
        <v>0.53499475111636086</v>
      </c>
      <c r="AV37" s="45">
        <f>Trucks[[#This Row],[LCOHT,E]]+Trucks[[#This Row],[LCOHT,NE]]+Trucks[[#This Row],[LCOHT,Invest]]</f>
        <v>0.62930920040872385</v>
      </c>
      <c r="AW37" s="45">
        <f>Trucks[[#This Row],[LOCHT For trucking compressor]]+Trucks[[#This Row],[LCOHT,Trucking]]</f>
        <v>3.1630310002724662</v>
      </c>
    </row>
    <row r="38" spans="1:49">
      <c r="A38" t="s">
        <v>423</v>
      </c>
      <c r="B38">
        <v>900</v>
      </c>
      <c r="C38">
        <v>2000</v>
      </c>
      <c r="D38">
        <f>C38/B38</f>
        <v>2.2222222222222223</v>
      </c>
      <c r="E38">
        <v>500</v>
      </c>
      <c r="F38">
        <v>77</v>
      </c>
      <c r="G38">
        <v>1</v>
      </c>
      <c r="H38">
        <v>1</v>
      </c>
      <c r="I38">
        <f>((2*E38)/F38)+G38+H38</f>
        <v>14.987012987012987</v>
      </c>
      <c r="J38">
        <v>9</v>
      </c>
      <c r="K38">
        <f t="shared" si="0"/>
        <v>0.60051993067590992</v>
      </c>
      <c r="L38">
        <v>0.8</v>
      </c>
      <c r="M38">
        <v>5</v>
      </c>
      <c r="N38">
        <f>2*M38</f>
        <v>10</v>
      </c>
      <c r="O38">
        <f>(0.08*((1.08)^15))/((1.08^15)-1)</f>
        <v>0.11682954493601999</v>
      </c>
      <c r="P38">
        <v>689</v>
      </c>
      <c r="Q38">
        <f t="shared" si="1"/>
        <v>0.17401476059182211</v>
      </c>
      <c r="R38">
        <v>180</v>
      </c>
      <c r="S38">
        <f>((M38*Q38*R38*1000)+(N38*O38*P38*1000))/(C38*365)</f>
        <v>1.3172176015641337</v>
      </c>
      <c r="T38">
        <v>0.1</v>
      </c>
      <c r="U38" s="45">
        <f>((2*Trucks[[#This Row],[Distance{d}(km)]]*Trucks[[#This Row],[No of delieveries per day {nd}]])/Trucks[[#This Row],[No of trucks{Nt}]])*365</f>
        <v>162222.22222222222</v>
      </c>
      <c r="V38" s="45">
        <f>0.02*Trucks[[#This Row],[Investment cost, Trailer{ICTr}(k€)]]</f>
        <v>13.780000000000001</v>
      </c>
      <c r="W38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0.24117165905631663</v>
      </c>
      <c r="X38" s="45">
        <v>23</v>
      </c>
      <c r="Y38" s="45">
        <f>(Trucks[[#This Row],[Total time for delievery{td}(h)]]*Trucks[[#This Row],[Labor cost{ST}(€/h)]])/Trucks[[#This Row],[Max load capacity of trailer{HT(capacity)}'[kg']]]</f>
        <v>0.38300144300144301</v>
      </c>
      <c r="Z38" s="45">
        <v>0.38</v>
      </c>
      <c r="AA38" s="45">
        <v>1.54</v>
      </c>
      <c r="AB38" s="45">
        <f>(2*Trucks[[#This Row],[Distance{d}(km)]]*Trucks[[#This Row],[Fuel consumption{F}(L/km)]]*Trucks[[#This Row],[Fuel Price{FP}(€/L)]])/Trucks[[#This Row],[Max load capacity of trailer{HT(capacity)}'[kg']]]</f>
        <v>0.65022222222222226</v>
      </c>
      <c r="AC38" s="45">
        <f>Trucks[[#This Row],[LCOHT,Fuel(€/kg)]]+Trucks[[#This Row],[LCOHT,Labor(€/kg)]]+Trucks[[#This Row],[LCOHT(O&amp;M)(€/kg)]]+Trucks[[#This Row],[LCOHT,Invest(€/kg)]]</f>
        <v>2.5916129258441156</v>
      </c>
      <c r="AD38" s="3">
        <f>ROUND(4.4422037649,0)</f>
        <v>4</v>
      </c>
      <c r="AE38" s="45">
        <f>IF(Trucks[[#This Row],[Component]]="Trailer(350 bar)",399.2568937,415.300722807)</f>
        <v>399.25689369999998</v>
      </c>
      <c r="AF38" s="45">
        <f>((Trucks[[#This Row],[Daily Hydrogen Demand{mH2}(kg/day)]])/(0.002*24*60*60))</f>
        <v>11.574074074074074</v>
      </c>
      <c r="AG38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124569.85626483895</v>
      </c>
      <c r="AH38" s="45">
        <f>Trucks[[#This Row],[Compressor Power{P} (kW)]]/0.95</f>
        <v>131126.16448930415</v>
      </c>
      <c r="AI38" s="45">
        <f>IF(Trucks[[#This Row],[Component]]="Trailer(350 bar)",54851.4*POWER(0.001* Trucks[[#This Row],[Rated Power{Pc}(kW)]],0.4603)*1.3, 54184.17*POWER(0.001* Trucks[[#This Row],[Rated Power{Pc}(kW)]],0.6038)*1.3)</f>
        <v>672827.10776915017</v>
      </c>
      <c r="AJ38" s="45">
        <f>0.28*Trucks[[#This Row],[Total installation costs{TIC}]]</f>
        <v>188391.59017536207</v>
      </c>
      <c r="AK38" s="45">
        <f>Trucks[[#This Row],[Indirect costs{Id}]]+Trucks[[#This Row],[Total installation costs{TIC}]]</f>
        <v>861218.69794451224</v>
      </c>
      <c r="AL38" s="45">
        <f>(Trucks[[#This Row],[Investment cost for truck loading compressor{Invest}]]*0.11682954493602)/(0.9*Trucks[[#This Row],[Daily Hydrogen Demand{mH2}(kg/day)]]*365)</f>
        <v>0.15314427484208376</v>
      </c>
      <c r="AM38" s="45">
        <f>Trucks[[#This Row],[No of annual hours{Ann}]]*Trucks[[#This Row],[Hourly salary {S}(€/h)]]</f>
        <v>1949.4966434559865</v>
      </c>
      <c r="AN38" s="45">
        <f>0.5*Trucks[[#This Row],[Direct labor costs{dL}]]</f>
        <v>974.74832172799324</v>
      </c>
      <c r="AO38" s="45">
        <f>POWER(Trucks[[#This Row],[Daily Hydrogen Demand{mH2}(kg/day)]]/100000,0.25)*288</f>
        <v>108.30536908088814</v>
      </c>
      <c r="AP38" s="45">
        <v>18</v>
      </c>
      <c r="AQ38" s="45">
        <f>(0.021*Trucks[[#This Row],[Investment cost for truck loading compressor{Invest}]])+(0.04*Trucks[[#This Row],[Total installation costs{TIC}]])</f>
        <v>44998.676967600768</v>
      </c>
      <c r="AR38" s="45">
        <f>Trucks[[#This Row],[O&amp;Mc]]+Trucks[[#This Row],[Indirect labor costs{Idl}]]+Trucks[[#This Row],[Direct labor costs{dL}]]</f>
        <v>47922.921932784753</v>
      </c>
      <c r="AS38" s="45">
        <f>(Trucks[[#This Row],[Non energy cost for compressor(NE)]])/(0.9*Trucks[[#This Row],[Daily Hydrogen Demand{mH2}(kg/day)]]*365)</f>
        <v>7.2942042515654115E-2</v>
      </c>
      <c r="AT38" s="45">
        <f>(Trucks[[#This Row],[Rated Power{Pc}(kW)]])*0.001 * 0.306 * 24 * 365</f>
        <v>351491.55148344918</v>
      </c>
      <c r="AU38" s="45">
        <f>(Trucks[[#This Row],[Annual energy cost for compression(Ec)(€)]])/(0.9*Trucks[[#This Row],[Daily Hydrogen Demand{mH2}(kg/day)]]*365)</f>
        <v>0.53499475111636097</v>
      </c>
      <c r="AV38" s="45">
        <f>Trucks[[#This Row],[LCOHT,E]]+Trucks[[#This Row],[LCOHT,NE]]+Trucks[[#This Row],[LCOHT,Invest]]</f>
        <v>0.76108106847409873</v>
      </c>
      <c r="AW38" s="45">
        <f>Trucks[[#This Row],[LOCHT For trucking compressor]]+Trucks[[#This Row],[LCOHT,Trucking]]</f>
        <v>3.3526939943182144</v>
      </c>
    </row>
    <row r="39" spans="1:49">
      <c r="A39" t="s">
        <v>424</v>
      </c>
      <c r="B39">
        <v>1330</v>
      </c>
      <c r="C39">
        <v>2000</v>
      </c>
      <c r="D39">
        <f>C39/B39</f>
        <v>1.5037593984962405</v>
      </c>
      <c r="E39">
        <v>250</v>
      </c>
      <c r="F39">
        <v>77</v>
      </c>
      <c r="G39">
        <v>1</v>
      </c>
      <c r="H39">
        <v>1</v>
      </c>
      <c r="I39">
        <f>((2*E39)/F39)+G39+H39</f>
        <v>8.4935064935064943</v>
      </c>
      <c r="J39">
        <v>9</v>
      </c>
      <c r="K39">
        <f t="shared" si="0"/>
        <v>1.0596330275229358</v>
      </c>
      <c r="L39">
        <v>0.8</v>
      </c>
      <c r="M39">
        <v>2</v>
      </c>
      <c r="N39">
        <f>2*M39</f>
        <v>4</v>
      </c>
      <c r="O39">
        <f>(0.08*((1.08)^15))/((1.08^15)-1)</f>
        <v>0.11682954493601999</v>
      </c>
      <c r="P39">
        <v>1100</v>
      </c>
      <c r="Q39">
        <f t="shared" si="1"/>
        <v>0.17401476059182211</v>
      </c>
      <c r="R39">
        <v>180</v>
      </c>
      <c r="S39">
        <f>((M39*Q39*R39*1000)+(N39*O39*P39*1000))/(C39*365)</f>
        <v>0.78999357744047105</v>
      </c>
      <c r="T39">
        <v>0.1</v>
      </c>
      <c r="U39">
        <f>((2*Trucks[[#This Row],[Distance{d}(km)]]*Trucks[[#This Row],[No of delieveries per day {nd}]])/Trucks[[#This Row],[No of trucks{Nt}]])*365</f>
        <v>137218.04511278195</v>
      </c>
      <c r="V39">
        <f>0.02*Trucks[[#This Row],[Investment cost, Trailer{ICTr}(k€)]]</f>
        <v>22</v>
      </c>
      <c r="W39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0.17019672468843342</v>
      </c>
      <c r="X39" s="45">
        <v>23</v>
      </c>
      <c r="Y39" s="45">
        <f>(Trucks[[#This Row],[Total time for delievery{td}(h)]]*Trucks[[#This Row],[Labor cost{ST}(€/h)]])/Trucks[[#This Row],[Max load capacity of trailer{HT(capacity)}'[kg']]]</f>
        <v>0.14688018748169127</v>
      </c>
      <c r="Z39" s="45">
        <v>0.38</v>
      </c>
      <c r="AA39" s="45">
        <v>1.54</v>
      </c>
      <c r="AB39" s="45">
        <f>(2*Trucks[[#This Row],[Distance{d}(km)]]*Trucks[[#This Row],[Fuel consumption{F}(L/km)]]*Trucks[[#This Row],[Fuel Price{FP}(€/L)]])/Trucks[[#This Row],[Max load capacity of trailer{HT(capacity)}'[kg']]]</f>
        <v>0.22000000000000003</v>
      </c>
      <c r="AC39" s="45">
        <f>Trucks[[#This Row],[LCOHT,Fuel(€/kg)]]+Trucks[[#This Row],[LCOHT,Labor(€/kg)]]+Trucks[[#This Row],[LCOHT(O&amp;M)(€/kg)]]+Trucks[[#This Row],[LCOHT,Invest(€/kg)]]</f>
        <v>1.3270704896105956</v>
      </c>
      <c r="AD39" s="3">
        <f>ROUND(4.4422037649,0)</f>
        <v>4</v>
      </c>
      <c r="AE39" s="45">
        <f>IF(Trucks[[#This Row],[Component]]="Trailer(350 bar)",399.2568937,415.300722807)</f>
        <v>415.300722807</v>
      </c>
      <c r="AF39" s="45">
        <f>((Trucks[[#This Row],[Daily Hydrogen Demand{mH2}(kg/day)]])/(0.002*24*60*60))</f>
        <v>11.574074074074074</v>
      </c>
      <c r="AG39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145807.16850600718</v>
      </c>
      <c r="AH39" s="45">
        <f>Trucks[[#This Row],[Compressor Power{P} (kW)]]/0.95</f>
        <v>153481.23000632334</v>
      </c>
      <c r="AI39" s="45">
        <f>IF(Trucks[[#This Row],[Component]]="Trailer(350 bar)",54851.4*POWER(0.001* Trucks[[#This Row],[Rated Power{Pc}(kW)]],0.4603)*1.3, 54184.17*POWER(0.001* Trucks[[#This Row],[Rated Power{Pc}(kW)]],0.6038)*1.3)</f>
        <v>1471485.3752726084</v>
      </c>
      <c r="AJ39" s="45">
        <f>0.28*Trucks[[#This Row],[Total installation costs{TIC}]]</f>
        <v>412015.90507633035</v>
      </c>
      <c r="AK39" s="45">
        <f>Trucks[[#This Row],[Indirect costs{Id}]]+Trucks[[#This Row],[Total installation costs{TIC}]]</f>
        <v>1883501.2803489387</v>
      </c>
      <c r="AL39" s="45">
        <f>(Trucks[[#This Row],[Investment cost for truck loading compressor{Invest}]]*0.11682954493602)/(0.9*Trucks[[#This Row],[Daily Hydrogen Demand{mH2}(kg/day)]]*365)</f>
        <v>0.3349293720998136</v>
      </c>
      <c r="AM39" s="45">
        <f>Trucks[[#This Row],[No of annual hours{Ann}]]*Trucks[[#This Row],[Hourly salary {S}(€/h)]]</f>
        <v>1949.4966434559865</v>
      </c>
      <c r="AN39" s="45">
        <f>0.5*Trucks[[#This Row],[Direct labor costs{dL}]]</f>
        <v>974.74832172799324</v>
      </c>
      <c r="AO39" s="45">
        <f>POWER(Trucks[[#This Row],[Daily Hydrogen Demand{mH2}(kg/day)]]/100000,0.25)*288</f>
        <v>108.30536908088814</v>
      </c>
      <c r="AP39" s="45">
        <v>18</v>
      </c>
      <c r="AQ39" s="45">
        <f>(0.021*Trucks[[#This Row],[Investment cost for truck loading compressor{Invest}]])+(0.04*Trucks[[#This Row],[Total installation costs{TIC}]])</f>
        <v>98412.941898232049</v>
      </c>
      <c r="AR39" s="45">
        <f>Trucks[[#This Row],[O&amp;Mc]]+Trucks[[#This Row],[Indirect labor costs{Idl}]]+Trucks[[#This Row],[Direct labor costs{dL}]]</f>
        <v>101337.18686341603</v>
      </c>
      <c r="AS39" s="45">
        <f>(Trucks[[#This Row],[Non energy cost for compressor(NE)]])/(0.9*Trucks[[#This Row],[Daily Hydrogen Demand{mH2}(kg/day)]]*365)</f>
        <v>0.15424229355162258</v>
      </c>
      <c r="AT39" s="45">
        <f>(Trucks[[#This Row],[Rated Power{Pc}(kW)]])*0.001 * 0.306 * 24 * 365</f>
        <v>411415.64590575016</v>
      </c>
      <c r="AU39" s="45">
        <f>(Trucks[[#This Row],[Annual energy cost for compression(Ec)(€)]])/(0.9*Trucks[[#This Row],[Daily Hydrogen Demand{mH2}(kg/day)]]*365)</f>
        <v>0.6262034184257993</v>
      </c>
      <c r="AV39" s="45">
        <f>Trucks[[#This Row],[LCOHT,E]]+Trucks[[#This Row],[LCOHT,NE]]+Trucks[[#This Row],[LCOHT,Invest]]</f>
        <v>1.1153750840772354</v>
      </c>
      <c r="AW39" s="45">
        <f>Trucks[[#This Row],[LOCHT For trucking compressor]]+Trucks[[#This Row],[LCOHT,Trucking]]</f>
        <v>2.4424455736878308</v>
      </c>
    </row>
    <row r="40" spans="1:49">
      <c r="A40" t="s">
        <v>424</v>
      </c>
      <c r="B40">
        <v>1330</v>
      </c>
      <c r="C40">
        <v>30000</v>
      </c>
      <c r="D40">
        <f>C40/B40</f>
        <v>22.556390977443609</v>
      </c>
      <c r="E40">
        <v>500</v>
      </c>
      <c r="F40">
        <v>77</v>
      </c>
      <c r="G40">
        <v>1</v>
      </c>
      <c r="H40">
        <v>1</v>
      </c>
      <c r="I40">
        <f>((2*E40)/F40)+G40+H40</f>
        <v>14.987012987012987</v>
      </c>
      <c r="J40">
        <v>9</v>
      </c>
      <c r="K40">
        <f t="shared" si="0"/>
        <v>0.60051993067590992</v>
      </c>
      <c r="L40">
        <v>0.8</v>
      </c>
      <c r="M40">
        <v>47</v>
      </c>
      <c r="N40">
        <f>2*M40</f>
        <v>94</v>
      </c>
      <c r="O40">
        <f>(0.08*((1.08)^15))/((1.08^15)-1)</f>
        <v>0.11682954493601999</v>
      </c>
      <c r="P40">
        <v>1100</v>
      </c>
      <c r="Q40">
        <f t="shared" si="1"/>
        <v>0.17401476059182211</v>
      </c>
      <c r="R40">
        <v>180</v>
      </c>
      <c r="S40">
        <f>((M40*Q40*R40*1000)+(N40*O40*P40*1000))/(C40*365)</f>
        <v>1.2376566046567381</v>
      </c>
      <c r="T40">
        <v>0.1</v>
      </c>
      <c r="U40" s="45">
        <f>((2*Trucks[[#This Row],[Distance{d}(km)]]*Trucks[[#This Row],[No of delieveries per day {nd}]])/Trucks[[#This Row],[No of trucks{Nt}]])*365</f>
        <v>175171.9724844025</v>
      </c>
      <c r="V40" s="45">
        <f>0.02*Trucks[[#This Row],[Investment cost, Trailer{ICTr}(k€)]]</f>
        <v>22</v>
      </c>
      <c r="W40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0.28293226216225498</v>
      </c>
      <c r="X40" s="45">
        <v>23</v>
      </c>
      <c r="Y40" s="45">
        <f>(Trucks[[#This Row],[Total time for delievery{td}(h)]]*Trucks[[#This Row],[Labor cost{ST}(€/h)]])/Trucks[[#This Row],[Max load capacity of trailer{HT(capacity)}'[kg']]]</f>
        <v>0.25917390879796892</v>
      </c>
      <c r="Z40" s="45">
        <v>0.38</v>
      </c>
      <c r="AA40" s="45">
        <v>1.54</v>
      </c>
      <c r="AB40" s="45">
        <f>(2*Trucks[[#This Row],[Distance{d}(km)]]*Trucks[[#This Row],[Fuel consumption{F}(L/km)]]*Trucks[[#This Row],[Fuel Price{FP}(€/L)]])/Trucks[[#This Row],[Max load capacity of trailer{HT(capacity)}'[kg']]]</f>
        <v>0.44000000000000006</v>
      </c>
      <c r="AC40" s="45">
        <f>Trucks[[#This Row],[LCOHT,Fuel(€/kg)]]+Trucks[[#This Row],[LCOHT,Labor(€/kg)]]+Trucks[[#This Row],[LCOHT(O&amp;M)(€/kg)]]+Trucks[[#This Row],[LCOHT,Invest(€/kg)]]</f>
        <v>2.219762775616962</v>
      </c>
      <c r="AD40" s="3">
        <f>ROUND(4.4422037649,0)</f>
        <v>4</v>
      </c>
      <c r="AE40" s="45">
        <f>IF(Trucks[[#This Row],[Component]]="Trailer(350 bar)",399.2568937,415.300722807)</f>
        <v>415.300722807</v>
      </c>
      <c r="AF40" s="45">
        <f>((Trucks[[#This Row],[Daily Hydrogen Demand{mH2}(kg/day)]])/(0.002*24*60*60))</f>
        <v>173.61111111111111</v>
      </c>
      <c r="AG40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2187107.5275901076</v>
      </c>
      <c r="AH40" s="45">
        <f>Trucks[[#This Row],[Compressor Power{P} (kW)]]/0.95</f>
        <v>2302218.4500948503</v>
      </c>
      <c r="AI40" s="45">
        <f>IF(Trucks[[#This Row],[Component]]="Trailer(350 bar)",54851.4*POWER(0.001* Trucks[[#This Row],[Rated Power{Pc}(kW)]],0.4603)*1.3, 54184.17*POWER(0.001* Trucks[[#This Row],[Rated Power{Pc}(kW)]],0.6038)*1.3)</f>
        <v>7548833.6011698069</v>
      </c>
      <c r="AJ40" s="45">
        <f>0.28*Trucks[[#This Row],[Total installation costs{TIC}]]</f>
        <v>2113673.408327546</v>
      </c>
      <c r="AK40" s="45">
        <f>Trucks[[#This Row],[Indirect costs{Id}]]+Trucks[[#This Row],[Total installation costs{TIC}]]</f>
        <v>9662507.0094973519</v>
      </c>
      <c r="AL40" s="45">
        <f>(Trucks[[#This Row],[Investment cost for truck loading compressor{Invest}]]*0.11682954493602)/(0.9*Trucks[[#This Row],[Daily Hydrogen Demand{mH2}(kg/day)]]*365)</f>
        <v>0.11454756944299128</v>
      </c>
      <c r="AM40" s="45">
        <f>Trucks[[#This Row],[No of annual hours{Ann}]]*Trucks[[#This Row],[Hourly salary {S}(€/h)]]</f>
        <v>3836.5892584880066</v>
      </c>
      <c r="AN40" s="45">
        <f>0.5*Trucks[[#This Row],[Direct labor costs{dL}]]</f>
        <v>1918.2946292440033</v>
      </c>
      <c r="AO40" s="45">
        <f>POWER(Trucks[[#This Row],[Daily Hydrogen Demand{mH2}(kg/day)]]/100000,0.25)*288</f>
        <v>213.14384769377816</v>
      </c>
      <c r="AP40" s="45">
        <v>18</v>
      </c>
      <c r="AQ40" s="45">
        <f>(0.021*Trucks[[#This Row],[Investment cost for truck loading compressor{Invest}]])+(0.04*Trucks[[#This Row],[Total installation costs{TIC}]])</f>
        <v>504865.99124623672</v>
      </c>
      <c r="AR40" s="45">
        <f>Trucks[[#This Row],[O&amp;Mc]]+Trucks[[#This Row],[Indirect labor costs{Idl}]]+Trucks[[#This Row],[Direct labor costs{dL}]]</f>
        <v>510620.87513396877</v>
      </c>
      <c r="AS40" s="45">
        <f>(Trucks[[#This Row],[Non energy cost for compressor(NE)]])/(0.9*Trucks[[#This Row],[Daily Hydrogen Demand{mH2}(kg/day)]]*365)</f>
        <v>5.1813381545811138E-2</v>
      </c>
      <c r="AT40" s="45">
        <f>(Trucks[[#This Row],[Rated Power{Pc}(kW)]])*0.001 * 0.306 * 24 * 365</f>
        <v>6171234.6885862509</v>
      </c>
      <c r="AU40" s="45">
        <f>(Trucks[[#This Row],[Annual energy cost for compression(Ec)(€)]])/(0.9*Trucks[[#This Row],[Daily Hydrogen Demand{mH2}(kg/day)]]*365)</f>
        <v>0.62620341842579919</v>
      </c>
      <c r="AV40" s="45">
        <f>Trucks[[#This Row],[LCOHT,E]]+Trucks[[#This Row],[LCOHT,NE]]+Trucks[[#This Row],[LCOHT,Invest]]</f>
        <v>0.79256436941460162</v>
      </c>
      <c r="AW40" s="45">
        <f>Trucks[[#This Row],[LOCHT For trucking compressor]]+Trucks[[#This Row],[LCOHT,Trucking]]</f>
        <v>3.0123271450315636</v>
      </c>
    </row>
    <row r="41" spans="1:49">
      <c r="A41" t="s">
        <v>424</v>
      </c>
      <c r="B41">
        <v>1330</v>
      </c>
      <c r="C41">
        <v>10000</v>
      </c>
      <c r="D41">
        <f>C41/B41</f>
        <v>7.518796992481203</v>
      </c>
      <c r="E41">
        <v>500</v>
      </c>
      <c r="F41">
        <v>77</v>
      </c>
      <c r="G41">
        <v>1</v>
      </c>
      <c r="H41">
        <v>1</v>
      </c>
      <c r="I41">
        <f>((2*E41)/F41)+G41+H41</f>
        <v>14.987012987012987</v>
      </c>
      <c r="J41">
        <v>9</v>
      </c>
      <c r="K41">
        <f t="shared" si="0"/>
        <v>0.60051993067590992</v>
      </c>
      <c r="L41">
        <v>0.8</v>
      </c>
      <c r="M41">
        <v>16</v>
      </c>
      <c r="N41">
        <f>2*M41</f>
        <v>32</v>
      </c>
      <c r="O41">
        <f>(0.08*((1.08)^15))/((1.08^15)-1)</f>
        <v>0.11682954493601999</v>
      </c>
      <c r="P41">
        <v>1100</v>
      </c>
      <c r="Q41">
        <f t="shared" si="1"/>
        <v>0.17401476059182211</v>
      </c>
      <c r="R41">
        <v>180</v>
      </c>
      <c r="S41">
        <f>((M41*Q41*R41*1000)+(N41*O41*P41*1000))/(C41*365)</f>
        <v>1.2639897239047537</v>
      </c>
      <c r="T41">
        <v>0.1</v>
      </c>
      <c r="U41" s="45">
        <f>((2*Trucks[[#This Row],[Distance{d}(km)]]*Trucks[[#This Row],[No of delieveries per day {nd}]])/Trucks[[#This Row],[No of trucks{Nt}]])*365</f>
        <v>171522.55639097744</v>
      </c>
      <c r="V41" s="45">
        <f>0.02*Trucks[[#This Row],[Investment cost, Trailer{ICTr}(k€)]]</f>
        <v>22</v>
      </c>
      <c r="W41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0.28735235348645582</v>
      </c>
      <c r="X41" s="45">
        <v>23</v>
      </c>
      <c r="Y41" s="45">
        <f>(Trucks[[#This Row],[Total time for delievery{td}(h)]]*Trucks[[#This Row],[Labor cost{ST}(€/h)]])/Trucks[[#This Row],[Max load capacity of trailer{HT(capacity)}'[kg']]]</f>
        <v>0.25917390879796892</v>
      </c>
      <c r="Z41" s="45">
        <v>0.38</v>
      </c>
      <c r="AA41" s="45">
        <v>1.54</v>
      </c>
      <c r="AB41" s="45">
        <f>(2*Trucks[[#This Row],[Distance{d}(km)]]*Trucks[[#This Row],[Fuel consumption{F}(L/km)]]*Trucks[[#This Row],[Fuel Price{FP}(€/L)]])/Trucks[[#This Row],[Max load capacity of trailer{HT(capacity)}'[kg']]]</f>
        <v>0.44000000000000006</v>
      </c>
      <c r="AC41" s="45">
        <f>Trucks[[#This Row],[LCOHT,Fuel(€/kg)]]+Trucks[[#This Row],[LCOHT,Labor(€/kg)]]+Trucks[[#This Row],[LCOHT(O&amp;M)(€/kg)]]+Trucks[[#This Row],[LCOHT,Invest(€/kg)]]</f>
        <v>2.2505159861891784</v>
      </c>
      <c r="AD41" s="3">
        <f>ROUND(4.4422037649,0)</f>
        <v>4</v>
      </c>
      <c r="AE41" s="45">
        <f>IF(Trucks[[#This Row],[Component]]="Trailer(350 bar)",399.2568937,415.300722807)</f>
        <v>415.300722807</v>
      </c>
      <c r="AF41" s="45">
        <f>((Trucks[[#This Row],[Daily Hydrogen Demand{mH2}(kg/day)]])/(0.002*24*60*60))</f>
        <v>57.870370370370374</v>
      </c>
      <c r="AG41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729035.842530036</v>
      </c>
      <c r="AH41" s="45">
        <f>Trucks[[#This Row],[Compressor Power{P} (kW)]]/0.95</f>
        <v>767406.15003161691</v>
      </c>
      <c r="AI41" s="45">
        <f>IF(Trucks[[#This Row],[Component]]="Trailer(350 bar)",54851.4*POWER(0.001* Trucks[[#This Row],[Rated Power{Pc}(kW)]],0.4603)*1.3, 54184.17*POWER(0.001* Trucks[[#This Row],[Rated Power{Pc}(kW)]],0.6038)*1.3)</f>
        <v>3888606.866641616</v>
      </c>
      <c r="AJ41" s="45">
        <f>0.28*Trucks[[#This Row],[Total installation costs{TIC}]]</f>
        <v>1088809.9226596525</v>
      </c>
      <c r="AK41" s="45">
        <f>Trucks[[#This Row],[Indirect costs{Id}]]+Trucks[[#This Row],[Total installation costs{TIC}]]</f>
        <v>4977416.7893012688</v>
      </c>
      <c r="AL41" s="45">
        <f>(Trucks[[#This Row],[Investment cost for truck loading compressor{Invest}]]*0.11682954493602)/(0.9*Trucks[[#This Row],[Daily Hydrogen Demand{mH2}(kg/day)]]*365)</f>
        <v>0.17701958552541036</v>
      </c>
      <c r="AM41" s="45">
        <f>Trucks[[#This Row],[No of annual hours{Ann}]]*Trucks[[#This Row],[Hourly salary {S}(€/h)]]</f>
        <v>2915.1774297867696</v>
      </c>
      <c r="AN41" s="45">
        <f>0.5*Trucks[[#This Row],[Direct labor costs{dL}]]</f>
        <v>1457.5887148933848</v>
      </c>
      <c r="AO41" s="45">
        <f>POWER(Trucks[[#This Row],[Daily Hydrogen Demand{mH2}(kg/day)]]/100000,0.25)*288</f>
        <v>161.95430165482054</v>
      </c>
      <c r="AP41" s="45">
        <v>18</v>
      </c>
      <c r="AQ41" s="45">
        <f>(0.021*Trucks[[#This Row],[Investment cost for truck loading compressor{Invest}]])+(0.04*Trucks[[#This Row],[Total installation costs{TIC}]])</f>
        <v>260070.0272409913</v>
      </c>
      <c r="AR41" s="45">
        <f>Trucks[[#This Row],[O&amp;Mc]]+Trucks[[#This Row],[Indirect labor costs{Idl}]]+Trucks[[#This Row],[Direct labor costs{dL}]]</f>
        <v>264442.79338567145</v>
      </c>
      <c r="AS41" s="45">
        <f>(Trucks[[#This Row],[Non energy cost for compressor(NE)]])/(0.9*Trucks[[#This Row],[Daily Hydrogen Demand{mH2}(kg/day)]]*365)</f>
        <v>8.050008931070668E-2</v>
      </c>
      <c r="AT41" s="45">
        <f>(Trucks[[#This Row],[Rated Power{Pc}(kW)]])*0.001 * 0.306 * 24 * 365</f>
        <v>2057078.229528751</v>
      </c>
      <c r="AU41" s="45">
        <f>(Trucks[[#This Row],[Annual energy cost for compression(Ec)(€)]])/(0.9*Trucks[[#This Row],[Daily Hydrogen Demand{mH2}(kg/day)]]*365)</f>
        <v>0.62620341842579941</v>
      </c>
      <c r="AV41" s="45">
        <f>Trucks[[#This Row],[LCOHT,E]]+Trucks[[#This Row],[LCOHT,NE]]+Trucks[[#This Row],[LCOHT,Invest]]</f>
        <v>0.88372309326191645</v>
      </c>
      <c r="AW41" s="45">
        <f>Trucks[[#This Row],[LOCHT For trucking compressor]]+Trucks[[#This Row],[LCOHT,Trucking]]</f>
        <v>3.1342390794510946</v>
      </c>
    </row>
    <row r="42" spans="1:49">
      <c r="A42" t="s">
        <v>424</v>
      </c>
      <c r="B42">
        <v>1330</v>
      </c>
      <c r="C42">
        <v>2000</v>
      </c>
      <c r="D42">
        <f>C42/B42</f>
        <v>1.5037593984962405</v>
      </c>
      <c r="E42">
        <v>500</v>
      </c>
      <c r="F42">
        <v>77</v>
      </c>
      <c r="G42">
        <v>1</v>
      </c>
      <c r="H42">
        <v>1</v>
      </c>
      <c r="I42">
        <f>((2*E42)/F42)+G42+H42</f>
        <v>14.987012987012987</v>
      </c>
      <c r="J42">
        <v>9</v>
      </c>
      <c r="K42">
        <f t="shared" si="0"/>
        <v>0.60051993067590992</v>
      </c>
      <c r="L42">
        <v>0.8</v>
      </c>
      <c r="M42">
        <v>4</v>
      </c>
      <c r="N42">
        <f>2*M42</f>
        <v>8</v>
      </c>
      <c r="O42">
        <f>(0.08*((1.08)^15))/((1.08^15)-1)</f>
        <v>0.11682954493601999</v>
      </c>
      <c r="P42">
        <v>1100</v>
      </c>
      <c r="Q42">
        <f t="shared" si="1"/>
        <v>0.17401476059182211</v>
      </c>
      <c r="R42">
        <v>180</v>
      </c>
      <c r="S42">
        <f>((M42*Q42*R42*1000)+(N42*O42*P42*1000))/(C42*365)</f>
        <v>1.5799871548809421</v>
      </c>
      <c r="T42">
        <v>0.1</v>
      </c>
      <c r="U42" s="45">
        <f>((2*Trucks[[#This Row],[Distance{d}(km)]]*Trucks[[#This Row],[No of delieveries per day {nd}]])/Trucks[[#This Row],[No of trucks{Nt}]])*365</f>
        <v>137218.04511278195</v>
      </c>
      <c r="V42" s="45">
        <f>0.02*Trucks[[#This Row],[Investment cost, Trailer{ICTr}(k€)]]</f>
        <v>22</v>
      </c>
      <c r="W42" s="45">
        <f>((Trucks[[#This Row],[No of trucks{Nt}]]*Trucks[[#This Row],[Variable cost for trucks{VCT}(€/km)]]*Trucks[[#This Row],[Annual drive distance per truck {dT,yr}(km)]])+(Trucks[[#This Row],[No of trailers{NTr}]]*Trucks[[#This Row],[Fixed O&amp;M Costs {FCTr}]]*Trucks[[#This Row],[Investment cost, Trailer{ICTr}(k€)]]))/(Trucks[[#This Row],[Daily Hydrogen Demand{mH2}(kg/day)]]*365)</f>
        <v>0.34039344937686683</v>
      </c>
      <c r="X42" s="45">
        <v>23</v>
      </c>
      <c r="Y42" s="45">
        <f>(Trucks[[#This Row],[Total time for delievery{td}(h)]]*Trucks[[#This Row],[Labor cost{ST}(€/h)]])/Trucks[[#This Row],[Max load capacity of trailer{HT(capacity)}'[kg']]]</f>
        <v>0.25917390879796892</v>
      </c>
      <c r="Z42" s="45">
        <v>0.38</v>
      </c>
      <c r="AA42" s="45">
        <v>1.54</v>
      </c>
      <c r="AB42" s="45">
        <f>(2*Trucks[[#This Row],[Distance{d}(km)]]*Trucks[[#This Row],[Fuel consumption{F}(L/km)]]*Trucks[[#This Row],[Fuel Price{FP}(€/L)]])/Trucks[[#This Row],[Max load capacity of trailer{HT(capacity)}'[kg']]]</f>
        <v>0.44000000000000006</v>
      </c>
      <c r="AC42" s="45">
        <f>Trucks[[#This Row],[LCOHT,Fuel(€/kg)]]+Trucks[[#This Row],[LCOHT,Labor(€/kg)]]+Trucks[[#This Row],[LCOHT(O&amp;M)(€/kg)]]+Trucks[[#This Row],[LCOHT,Invest(€/kg)]]</f>
        <v>2.6195545130557778</v>
      </c>
      <c r="AD42" s="3">
        <f>ROUND(4.4422037649,0)</f>
        <v>4</v>
      </c>
      <c r="AE42" s="45">
        <f>IF(Trucks[[#This Row],[Component]]="Trailer(350 bar)",399.2568937,415.300722807)</f>
        <v>415.300722807</v>
      </c>
      <c r="AF42" s="45">
        <f>((Trucks[[#This Row],[Daily Hydrogen Demand{mH2}(kg/day)]])/(0.002*24*60*60))</f>
        <v>11.574074074074074</v>
      </c>
      <c r="AG42" s="58">
        <f>IF(
  Trucks[[#This Row],[Component]] = "Trailer(350 bar)",
  (
    (POWER(350 / 20, 0.41 / (Trucks[[#This Row],[No of compressor stages{N}]] * 1.41)) - 1) *
    Trucks[[#This Row],[Molar flow {qM}(moles/sec)]] *
    8.314 * 305.15 * 1.41 *
    Trucks[[#This Row],[No of compressor stages{N}]]
  ) / (0.41 * 0.75),
  (
    (POWER(540 / 20, 0.41 / (Trucks[[#This Row],[No of compressor stages{N}]] * 1.41)) - 1) *
    Trucks[[#This Row],[Molar flow {qM}(moles/sec)]] *
    8.314 * 305.15 * 1.41 *
    Trucks[[#This Row],[No of compressor stages{N}]]
  ) / (0.41 * 0.75)
)</f>
        <v>145807.16850600718</v>
      </c>
      <c r="AH42" s="45">
        <f>Trucks[[#This Row],[Compressor Power{P} (kW)]]/0.95</f>
        <v>153481.23000632334</v>
      </c>
      <c r="AI42" s="45">
        <f>IF(Trucks[[#This Row],[Component]]="Trailer(350 bar)",54851.4*POWER(0.001* Trucks[[#This Row],[Rated Power{Pc}(kW)]],0.4603)*1.3, 54184.17*POWER(0.001* Trucks[[#This Row],[Rated Power{Pc}(kW)]],0.6038)*1.3)</f>
        <v>1471485.3752726084</v>
      </c>
      <c r="AJ42" s="45">
        <f>0.28*Trucks[[#This Row],[Total installation costs{TIC}]]</f>
        <v>412015.90507633035</v>
      </c>
      <c r="AK42" s="45">
        <f>Trucks[[#This Row],[Indirect costs{Id}]]+Trucks[[#This Row],[Total installation costs{TIC}]]</f>
        <v>1883501.2803489387</v>
      </c>
      <c r="AL42" s="45">
        <f>(Trucks[[#This Row],[Investment cost for truck loading compressor{Invest}]]*0.11682954493602)/(0.9*Trucks[[#This Row],[Daily Hydrogen Demand{mH2}(kg/day)]]*365)</f>
        <v>0.3349293720998136</v>
      </c>
      <c r="AM42" s="45">
        <f>Trucks[[#This Row],[No of annual hours{Ann}]]*Trucks[[#This Row],[Hourly salary {S}(€/h)]]</f>
        <v>1949.4966434559865</v>
      </c>
      <c r="AN42" s="45">
        <f>0.5*Trucks[[#This Row],[Direct labor costs{dL}]]</f>
        <v>974.74832172799324</v>
      </c>
      <c r="AO42" s="45">
        <f>POWER(Trucks[[#This Row],[Daily Hydrogen Demand{mH2}(kg/day)]]/100000,0.25)*288</f>
        <v>108.30536908088814</v>
      </c>
      <c r="AP42" s="45">
        <v>18</v>
      </c>
      <c r="AQ42" s="45">
        <f>(0.021*Trucks[[#This Row],[Investment cost for truck loading compressor{Invest}]])+(0.04*Trucks[[#This Row],[Total installation costs{TIC}]])</f>
        <v>98412.941898232049</v>
      </c>
      <c r="AR42" s="45">
        <f>Trucks[[#This Row],[O&amp;Mc]]+Trucks[[#This Row],[Indirect labor costs{Idl}]]+Trucks[[#This Row],[Direct labor costs{dL}]]</f>
        <v>101337.18686341603</v>
      </c>
      <c r="AS42" s="45">
        <f>(Trucks[[#This Row],[Non energy cost for compressor(NE)]])/(0.9*Trucks[[#This Row],[Daily Hydrogen Demand{mH2}(kg/day)]]*365)</f>
        <v>0.15424229355162258</v>
      </c>
      <c r="AT42" s="45">
        <f>(Trucks[[#This Row],[Rated Power{Pc}(kW)]])*0.001 * 0.306 * 24 * 365</f>
        <v>411415.64590575016</v>
      </c>
      <c r="AU42" s="45">
        <f>(Trucks[[#This Row],[Annual energy cost for compression(Ec)(€)]])/(0.9*Trucks[[#This Row],[Daily Hydrogen Demand{mH2}(kg/day)]]*365)</f>
        <v>0.6262034184257993</v>
      </c>
      <c r="AV42" s="45">
        <f>Trucks[[#This Row],[LCOHT,E]]+Trucks[[#This Row],[LCOHT,NE]]+Trucks[[#This Row],[LCOHT,Invest]]</f>
        <v>1.1153750840772354</v>
      </c>
      <c r="AW42" s="45">
        <f>Trucks[[#This Row],[LOCHT For trucking compressor]]+Trucks[[#This Row],[LCOHT,Trucking]]</f>
        <v>3.7349295971330134</v>
      </c>
    </row>
    <row r="43" spans="1:49">
      <c r="U43" s="45"/>
      <c r="V43" s="45"/>
      <c r="W43" s="45"/>
      <c r="X43" s="45"/>
      <c r="Y43" s="45"/>
      <c r="Z43" s="45"/>
      <c r="AA43" s="45"/>
      <c r="AB43" s="45"/>
      <c r="AC43" s="45"/>
    </row>
    <row r="44" spans="1:49">
      <c r="U44" s="45"/>
      <c r="V44" s="45"/>
      <c r="W44" s="45"/>
      <c r="X44" s="45"/>
      <c r="Y44" s="45"/>
      <c r="Z44" s="45"/>
      <c r="AA44" s="45"/>
      <c r="AB44" s="45"/>
      <c r="AC44" s="45"/>
    </row>
    <row r="48" spans="1:49">
      <c r="J48" s="53" t="s">
        <v>264</v>
      </c>
    </row>
    <row r="53" spans="18:34">
      <c r="R53" s="26"/>
    </row>
    <row r="59" spans="18:34">
      <c r="AH59" s="44">
        <f>Table5[[#This Row],[O&amp;Mc]]+'Trucks Model'!AR19</f>
        <v>183542.12108581216</v>
      </c>
    </row>
    <row r="70" spans="1:44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</row>
    <row r="71" spans="1:44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</row>
  </sheetData>
  <dataValidations count="2">
    <dataValidation type="list" allowBlank="1" showInputMessage="1" showErrorMessage="1" sqref="B3" xr:uid="{C003D48F-F8EC-46C9-8D83-42B32F6F5C76}">
      <formula1>"25,100,250,500"</formula1>
    </dataValidation>
    <dataValidation type="list" allowBlank="1" showInputMessage="1" showErrorMessage="1" sqref="B4" xr:uid="{5BFD8C0A-43EA-4406-90DC-1E68A5746E6C}">
      <formula1>"350,540"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F60A-2572-4077-81B4-38AED7CD1049}">
  <dimension ref="A1:G17"/>
  <sheetViews>
    <sheetView workbookViewId="0">
      <selection activeCell="G7" sqref="G7"/>
    </sheetView>
  </sheetViews>
  <sheetFormatPr defaultColWidth="9.140625" defaultRowHeight="15"/>
  <cols>
    <col min="1" max="1" width="33" style="33" customWidth="1"/>
    <col min="2" max="2" width="34.7109375" style="33" customWidth="1"/>
    <col min="3" max="3" width="31.28515625" style="33" customWidth="1"/>
    <col min="4" max="4" width="28.5703125" style="33" customWidth="1"/>
    <col min="5" max="5" width="38" style="33" customWidth="1"/>
    <col min="6" max="6" width="47" style="33" customWidth="1"/>
    <col min="7" max="7" width="27.85546875" style="33" customWidth="1"/>
    <col min="8" max="16384" width="9.140625" style="33"/>
  </cols>
  <sheetData>
    <row r="1" spans="1:7">
      <c r="D1" s="113" t="s">
        <v>425</v>
      </c>
      <c r="E1" s="113"/>
      <c r="F1" s="113"/>
      <c r="G1" s="113"/>
    </row>
    <row r="2" spans="1:7">
      <c r="A2" s="33" t="s">
        <v>426</v>
      </c>
      <c r="B2" s="33" t="s">
        <v>255</v>
      </c>
      <c r="C2" s="33" t="s">
        <v>256</v>
      </c>
      <c r="D2" s="54" t="s">
        <v>427</v>
      </c>
      <c r="E2" s="54" t="s">
        <v>428</v>
      </c>
      <c r="F2" s="54" t="s">
        <v>256</v>
      </c>
      <c r="G2" s="54" t="s">
        <v>257</v>
      </c>
    </row>
    <row r="3" spans="1:7" ht="41.25">
      <c r="A3" s="33" t="s">
        <v>429</v>
      </c>
      <c r="B3" s="33" t="s">
        <v>430</v>
      </c>
      <c r="C3" s="33" t="s">
        <v>431</v>
      </c>
      <c r="D3" s="54" t="s">
        <v>432</v>
      </c>
      <c r="E3" s="54" t="s">
        <v>433</v>
      </c>
      <c r="F3" s="54" t="s">
        <v>434</v>
      </c>
      <c r="G3" s="54" t="s">
        <v>435</v>
      </c>
    </row>
    <row r="4" spans="1:7" ht="108">
      <c r="A4" s="33" t="s">
        <v>436</v>
      </c>
      <c r="B4" s="33" t="s">
        <v>437</v>
      </c>
      <c r="C4" s="33" t="s">
        <v>438</v>
      </c>
      <c r="D4" s="54" t="s">
        <v>439</v>
      </c>
      <c r="E4" s="54" t="s">
        <v>440</v>
      </c>
      <c r="F4" s="57" t="s">
        <v>441</v>
      </c>
      <c r="G4" s="54" t="s">
        <v>442</v>
      </c>
    </row>
    <row r="5" spans="1:7" ht="27.75">
      <c r="A5" s="33" t="s">
        <v>443</v>
      </c>
      <c r="B5" s="33" t="s">
        <v>444</v>
      </c>
      <c r="C5" s="33" t="s">
        <v>445</v>
      </c>
      <c r="D5" s="54" t="s">
        <v>446</v>
      </c>
      <c r="E5" s="54" t="s">
        <v>447</v>
      </c>
      <c r="F5" s="54"/>
      <c r="G5" s="54"/>
    </row>
    <row r="6" spans="1:7" ht="54.75">
      <c r="A6" s="33" t="s">
        <v>448</v>
      </c>
      <c r="B6" s="33" t="s">
        <v>449</v>
      </c>
      <c r="C6" s="33" t="s">
        <v>450</v>
      </c>
      <c r="D6" s="54" t="s">
        <v>451</v>
      </c>
      <c r="E6" s="54" t="s">
        <v>452</v>
      </c>
      <c r="F6" s="54" t="s">
        <v>453</v>
      </c>
      <c r="G6" s="54"/>
    </row>
    <row r="7" spans="1:7">
      <c r="A7" s="33" t="s">
        <v>454</v>
      </c>
      <c r="B7" s="33" t="s">
        <v>455</v>
      </c>
      <c r="D7" s="54" t="s">
        <v>456</v>
      </c>
      <c r="E7" s="54" t="s">
        <v>457</v>
      </c>
      <c r="F7" s="54" t="s">
        <v>458</v>
      </c>
      <c r="G7" s="54"/>
    </row>
    <row r="8" spans="1:7" ht="41.25">
      <c r="A8" s="33" t="s">
        <v>459</v>
      </c>
      <c r="B8" s="33" t="s">
        <v>460</v>
      </c>
      <c r="C8" s="33" t="s">
        <v>461</v>
      </c>
      <c r="D8" s="54" t="s">
        <v>462</v>
      </c>
      <c r="E8" s="54" t="s">
        <v>463</v>
      </c>
      <c r="F8" s="54" t="s">
        <v>464</v>
      </c>
      <c r="G8" s="54"/>
    </row>
    <row r="9" spans="1:7" ht="54.75">
      <c r="A9" s="33" t="s">
        <v>465</v>
      </c>
      <c r="B9" s="33" t="s">
        <v>466</v>
      </c>
      <c r="C9" s="33" t="s">
        <v>467</v>
      </c>
      <c r="D9" s="54" t="s">
        <v>468</v>
      </c>
      <c r="E9" s="54" t="s">
        <v>469</v>
      </c>
      <c r="F9" s="54" t="s">
        <v>470</v>
      </c>
      <c r="G9" s="54"/>
    </row>
    <row r="10" spans="1:7" ht="54.75">
      <c r="A10" s="33" t="s">
        <v>471</v>
      </c>
      <c r="B10" s="33" t="s">
        <v>472</v>
      </c>
      <c r="C10" s="33" t="s">
        <v>473</v>
      </c>
      <c r="D10" s="54" t="s">
        <v>474</v>
      </c>
      <c r="E10" s="54" t="s">
        <v>475</v>
      </c>
      <c r="F10" s="54" t="s">
        <v>476</v>
      </c>
      <c r="G10" s="54" t="s">
        <v>477</v>
      </c>
    </row>
    <row r="11" spans="1:7" ht="27.75">
      <c r="A11" s="33" t="s">
        <v>478</v>
      </c>
      <c r="B11" s="33" t="s">
        <v>479</v>
      </c>
      <c r="D11" s="54" t="s">
        <v>480</v>
      </c>
      <c r="E11" s="54" t="s">
        <v>481</v>
      </c>
      <c r="F11" s="54"/>
      <c r="G11" s="54"/>
    </row>
    <row r="12" spans="1:7" ht="41.25">
      <c r="A12" s="33" t="s">
        <v>482</v>
      </c>
      <c r="B12" s="33" t="s">
        <v>483</v>
      </c>
      <c r="C12" s="33" t="s">
        <v>484</v>
      </c>
      <c r="D12" s="108" t="s">
        <v>286</v>
      </c>
      <c r="E12" s="108"/>
      <c r="F12" s="54"/>
      <c r="G12" s="54"/>
    </row>
    <row r="13" spans="1:7" ht="27.75">
      <c r="A13" s="33" t="s">
        <v>485</v>
      </c>
      <c r="B13" s="33" t="s">
        <v>486</v>
      </c>
      <c r="C13" s="33" t="s">
        <v>487</v>
      </c>
      <c r="D13" s="54" t="s">
        <v>488</v>
      </c>
      <c r="E13" s="54" t="s">
        <v>489</v>
      </c>
      <c r="F13" s="54"/>
      <c r="G13" s="54"/>
    </row>
    <row r="14" spans="1:7">
      <c r="D14" s="54" t="s">
        <v>295</v>
      </c>
      <c r="E14" s="54" t="s">
        <v>490</v>
      </c>
      <c r="F14" s="54"/>
      <c r="G14" s="54"/>
    </row>
    <row r="15" spans="1:7">
      <c r="D15" s="54" t="s">
        <v>491</v>
      </c>
      <c r="E15" s="54" t="s">
        <v>492</v>
      </c>
      <c r="F15" s="54"/>
      <c r="G15" s="54"/>
    </row>
    <row r="16" spans="1:7" ht="27.75">
      <c r="D16" s="54" t="s">
        <v>493</v>
      </c>
      <c r="E16" s="54" t="s">
        <v>494</v>
      </c>
      <c r="F16" s="54" t="s">
        <v>495</v>
      </c>
      <c r="G16" s="54"/>
    </row>
    <row r="17" spans="4:7">
      <c r="D17" s="54" t="s">
        <v>496</v>
      </c>
      <c r="E17" s="54" t="s">
        <v>497</v>
      </c>
      <c r="F17" s="54"/>
      <c r="G17" s="54"/>
    </row>
  </sheetData>
  <mergeCells count="1">
    <mergeCell ref="D1:G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CE8F-B037-4661-9E2E-779A2F0D8500}">
  <dimension ref="A2:C5"/>
  <sheetViews>
    <sheetView workbookViewId="0">
      <selection activeCell="C3" sqref="C3"/>
    </sheetView>
  </sheetViews>
  <sheetFormatPr defaultRowHeight="15"/>
  <cols>
    <col min="1" max="1" width="26.85546875" bestFit="1" customWidth="1"/>
    <col min="2" max="2" width="23.5703125" bestFit="1" customWidth="1"/>
    <col min="3" max="3" width="23.140625" bestFit="1" customWidth="1"/>
  </cols>
  <sheetData>
    <row r="2" spans="1:3">
      <c r="A2" t="s">
        <v>152</v>
      </c>
      <c r="B2" t="s">
        <v>498</v>
      </c>
      <c r="C2" t="s">
        <v>499</v>
      </c>
    </row>
    <row r="3" spans="1:3">
      <c r="A3">
        <v>10000</v>
      </c>
      <c r="B3">
        <v>100</v>
      </c>
      <c r="C3" s="3">
        <v>0</v>
      </c>
    </row>
    <row r="4" spans="1:3">
      <c r="A4">
        <v>30000</v>
      </c>
      <c r="B4">
        <v>100</v>
      </c>
      <c r="C4" s="3">
        <v>108.561643835616</v>
      </c>
    </row>
    <row r="5" spans="1:3">
      <c r="A5">
        <v>100000</v>
      </c>
      <c r="B5">
        <v>200</v>
      </c>
      <c r="C5" s="3">
        <v>355.22388059701399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3747-E15A-4C50-93F7-3A52EDA17DFE}">
  <dimension ref="A1:S42"/>
  <sheetViews>
    <sheetView topLeftCell="I1" workbookViewId="0">
      <selection activeCell="H6" sqref="H6"/>
    </sheetView>
  </sheetViews>
  <sheetFormatPr defaultRowHeight="15"/>
  <cols>
    <col min="1" max="3" width="27.42578125" customWidth="1"/>
    <col min="4" max="4" width="27.7109375" customWidth="1"/>
    <col min="5" max="8" width="27.42578125" customWidth="1"/>
    <col min="9" max="9" width="28.140625" customWidth="1"/>
    <col min="10" max="10" width="28" customWidth="1"/>
    <col min="11" max="11" width="34.7109375" customWidth="1"/>
    <col min="12" max="12" width="36.5703125" bestFit="1" customWidth="1"/>
    <col min="14" max="14" width="21.42578125" customWidth="1"/>
    <col min="15" max="15" width="24" customWidth="1"/>
    <col min="16" max="16" width="33.5703125" customWidth="1"/>
    <col min="17" max="17" width="17.5703125" customWidth="1"/>
    <col min="18" max="18" width="24.28515625" customWidth="1"/>
  </cols>
  <sheetData>
    <row r="1" spans="1:19" ht="41.25">
      <c r="D1" s="74" t="s">
        <v>500</v>
      </c>
      <c r="I1" s="74" t="s">
        <v>501</v>
      </c>
      <c r="K1" s="74" t="s">
        <v>502</v>
      </c>
      <c r="L1" s="74" t="s">
        <v>503</v>
      </c>
    </row>
    <row r="4" spans="1:19" ht="28.5">
      <c r="A4" s="77" t="s">
        <v>504</v>
      </c>
      <c r="B4" s="68" t="s">
        <v>178</v>
      </c>
      <c r="C4" s="80" t="s">
        <v>184</v>
      </c>
      <c r="D4" s="78" t="s">
        <v>197</v>
      </c>
      <c r="E4" s="78" t="s">
        <v>198</v>
      </c>
      <c r="F4" s="78" t="s">
        <v>199</v>
      </c>
      <c r="G4" s="78" t="s">
        <v>505</v>
      </c>
      <c r="H4" s="83" t="s">
        <v>506</v>
      </c>
      <c r="I4" s="31" t="s">
        <v>219</v>
      </c>
      <c r="J4" s="31" t="s">
        <v>220</v>
      </c>
      <c r="K4" s="69" t="s">
        <v>507</v>
      </c>
      <c r="L4" s="70" t="s">
        <v>224</v>
      </c>
      <c r="M4" s="31" t="s">
        <v>225</v>
      </c>
      <c r="N4" s="31" t="s">
        <v>508</v>
      </c>
      <c r="O4" s="31" t="s">
        <v>227</v>
      </c>
      <c r="P4" s="71" t="s">
        <v>228</v>
      </c>
      <c r="Q4" s="31" t="s">
        <v>509</v>
      </c>
      <c r="R4" s="31" t="s">
        <v>510</v>
      </c>
      <c r="S4" s="33"/>
    </row>
    <row r="5" spans="1:19">
      <c r="A5" s="72">
        <v>10000</v>
      </c>
      <c r="B5" s="72">
        <f>100</f>
        <v>100</v>
      </c>
      <c r="C5" s="81">
        <f>25</f>
        <v>25</v>
      </c>
      <c r="D5" s="79">
        <v>2</v>
      </c>
      <c r="E5" s="3">
        <v>381.35408266399998</v>
      </c>
      <c r="F5" s="79">
        <f>A5/(0.01604*24*60*60)</f>
        <v>7.2157569040362057</v>
      </c>
      <c r="G5" s="79">
        <f>Table10[[#This Row],[No of compressor stages{N}]]*(1.41/0.41)*(0.997612688/0.8)*305.15*Table10[[#This Row],[Molar flow{qM}(moles/sec)]]*8.314*0.19978130798</f>
        <v>31368.761252695396</v>
      </c>
      <c r="H5" s="79">
        <f>Table10[[#This Row],[Compressor Power(P)]]/0.95</f>
        <v>33019.748687047788</v>
      </c>
      <c r="I5">
        <f>A5/0.677649444499187</f>
        <v>14756.892492386596</v>
      </c>
      <c r="J5">
        <f>(Table9[[#This Row],[Mass flow rate{Qb} (m3/day)]]*1.01325*288.15)/(1.01325*273.15)</f>
        <v>15567.265501304038</v>
      </c>
      <c r="K5" s="33">
        <f>(14.737*1.01325*0.997612687835682*288*Table9[[#This Row],[Mass flow rate(Sm3/day)]])/(273.15*70*B5*B5)</f>
        <v>0.34929569669992633</v>
      </c>
      <c r="L5">
        <f>Table9[[#This Row],[Velocity of methane{v}(m/sec)]]*0.677649444499187</f>
        <v>0.23670003483466157</v>
      </c>
      <c r="M5">
        <f>(0.677649444499187*Table9[[#This Row],[Velocity of methane{v}(m/sec)]]*B5)/Table9[[#This Row],[μ]]</f>
        <v>100</v>
      </c>
      <c r="N5" s="1">
        <v>0.169369875</v>
      </c>
      <c r="O5" s="76">
        <f>(Table9[[#This Row],[Friction factor {f}]]*C5*0.677649444499187*Table9[[#This Row],[Velocity of methane{v}(m/sec)]]*Table9[[#This Row],[Velocity of methane{v}(m/sec)]])/(2*B5)</f>
        <v>1.7504017427448456E-3</v>
      </c>
      <c r="P5">
        <f>70-Table9[[#This Row],[Pressure drop (Δp) (bar)]]</f>
        <v>69.99824959825726</v>
      </c>
      <c r="Q5" s="33">
        <f>35/(Table9[[#This Row],[Pressure drop (Δp) (bar)]]/C5)</f>
        <v>499885.24270313641</v>
      </c>
      <c r="R5" s="33">
        <f>CEILING(C5 / Table9[[#This Row],[Lsegment(mm)]], 1)</f>
        <v>1</v>
      </c>
    </row>
    <row r="6" spans="1:19">
      <c r="A6" s="73">
        <v>10000</v>
      </c>
      <c r="B6" s="73">
        <f>150</f>
        <v>150</v>
      </c>
      <c r="C6" s="82">
        <f>25</f>
        <v>25</v>
      </c>
      <c r="D6" s="79">
        <v>2</v>
      </c>
      <c r="E6" s="3">
        <v>381.35408266399998</v>
      </c>
      <c r="F6" s="79">
        <f t="shared" ref="F6:F36" si="0">A6/(0.01604*24*60*60)</f>
        <v>7.2157569040362057</v>
      </c>
      <c r="G6" s="79">
        <f>Table10[[#This Row],[No of compressor stages{N}]]*(1.41/0.41)*(0.997612688/0.8)*305.15*Table10[[#This Row],[Molar flow{qM}(moles/sec)]]*8.314*0.19978130798</f>
        <v>31368.761252695396</v>
      </c>
      <c r="H6" s="79">
        <f>Table10[[#This Row],[Compressor Power(P)]]/0.95</f>
        <v>33019.748687047788</v>
      </c>
      <c r="I6">
        <f t="shared" ref="I6:I36" si="1">A6/0.677649444499187</f>
        <v>14756.892492386596</v>
      </c>
      <c r="J6">
        <f>(Table9[[#This Row],[Mass flow rate{Qb} (m3/day)]]*1.01325*288.15)/(1.01325*273.15)</f>
        <v>15567.265501304038</v>
      </c>
      <c r="K6">
        <f>(14.737*1.01325*0.997612687835682*288*Table9[[#This Row],[Mass flow rate(Sm3/day)]])/(273.15*70*B6*B6)</f>
        <v>0.15524253186663392</v>
      </c>
      <c r="L6">
        <f>Table9[[#This Row],[Velocity of methane{v}(m/sec)]]*0.677649444499187</f>
        <v>0.10520001548207181</v>
      </c>
      <c r="M6">
        <f>(0.677649444499187*Table9[[#This Row],[Velocity of methane{v}(m/sec)]]*B6)/Table9[[#This Row],[μ]]</f>
        <v>150</v>
      </c>
      <c r="N6" s="1">
        <v>0.13797463099999999</v>
      </c>
      <c r="O6">
        <f>(Table9[[#This Row],[Friction factor {f}]]*C6*0.677649444499187*Table9[[#This Row],[Velocity of methane{v}(m/sec)]]*Table9[[#This Row],[Velocity of methane{v}(m/sec)]])/(2*B6)</f>
        <v>1.8777791650484641E-4</v>
      </c>
      <c r="P6">
        <f>70-Table9[[#This Row],[Pressure drop (Δp) (bar)]]</f>
        <v>69.999812222083492</v>
      </c>
      <c r="Q6">
        <f>35/(Table9[[#This Row],[Pressure drop (Δp) (bar)]]/C6)</f>
        <v>4659759.8710571323</v>
      </c>
      <c r="R6">
        <f>CEILING(C6 / Table9[[#This Row],[Lsegment(mm)]], 1)</f>
        <v>1</v>
      </c>
    </row>
    <row r="7" spans="1:19">
      <c r="A7" s="72">
        <v>10000</v>
      </c>
      <c r="B7" s="72">
        <f>200</f>
        <v>200</v>
      </c>
      <c r="C7" s="81">
        <f>25</f>
        <v>25</v>
      </c>
      <c r="D7" s="79">
        <v>2</v>
      </c>
      <c r="E7" s="3">
        <v>381.35408266399998</v>
      </c>
      <c r="F7" s="79">
        <f t="shared" si="0"/>
        <v>7.2157569040362057</v>
      </c>
      <c r="G7" s="79">
        <f>Table10[[#This Row],[No of compressor stages{N}]]*(1.41/0.41)*(0.997612688/0.8)*305.15*Table10[[#This Row],[Molar flow{qM}(moles/sec)]]*8.314*0.19978130798</f>
        <v>31368.761252695396</v>
      </c>
      <c r="H7" s="79">
        <f>Table10[[#This Row],[Compressor Power(P)]]/0.95</f>
        <v>33019.748687047788</v>
      </c>
      <c r="I7">
        <f t="shared" si="1"/>
        <v>14756.892492386596</v>
      </c>
      <c r="J7">
        <f>(Table9[[#This Row],[Mass flow rate{Qb} (m3/day)]]*1.01325*288.15)/(1.01325*273.15)</f>
        <v>15567.265501304038</v>
      </c>
      <c r="K7">
        <f>(14.737*1.01325*0.997612687835682*288*Table9[[#This Row],[Mass flow rate(Sm3/day)]])/(273.15*70*B7*B7)</f>
        <v>8.7323924174981582E-2</v>
      </c>
      <c r="L7">
        <f>Table9[[#This Row],[Velocity of methane{v}(m/sec)]]*0.677649444499187</f>
        <v>5.9175008708665391E-2</v>
      </c>
      <c r="M7">
        <f>(0.677649444499187*Table9[[#This Row],[Velocity of methane{v}(m/sec)]]*B7)/Table9[[#This Row],[μ]]</f>
        <v>200</v>
      </c>
      <c r="N7" s="1">
        <v>0.12035120000000001</v>
      </c>
      <c r="O7">
        <f>(Table9[[#This Row],[Friction factor {f}]]*C7*0.677649444499187*Table9[[#This Row],[Velocity of methane{v}(m/sec)]]*Table9[[#This Row],[Velocity of methane{v}(m/sec)]])/(2*B7)</f>
        <v>3.8868879099189258E-5</v>
      </c>
      <c r="P7">
        <f>70-Table9[[#This Row],[Pressure drop (Δp) (bar)]]</f>
        <v>69.999961131120898</v>
      </c>
      <c r="Q7">
        <f>35/(Table9[[#This Row],[Pressure drop (Δp) (bar)]]/C7)</f>
        <v>22511583.052526232</v>
      </c>
      <c r="R7">
        <f>CEILING(C7 / Table9[[#This Row],[Lsegment(mm)]], 1)</f>
        <v>1</v>
      </c>
    </row>
    <row r="8" spans="1:19">
      <c r="A8" s="73">
        <v>30000</v>
      </c>
      <c r="B8" s="73">
        <v>100</v>
      </c>
      <c r="C8" s="82">
        <f>25</f>
        <v>25</v>
      </c>
      <c r="D8" s="79">
        <v>2</v>
      </c>
      <c r="E8" s="3">
        <v>381.35408266399998</v>
      </c>
      <c r="F8" s="79">
        <f t="shared" si="0"/>
        <v>21.647270712108618</v>
      </c>
      <c r="G8" s="79">
        <f>Table10[[#This Row],[No of compressor stages{N}]]*(1.41/0.41)*(0.997612688/0.8)*305.15*Table10[[#This Row],[Molar flow{qM}(moles/sec)]]*8.314*0.19978130798</f>
        <v>94106.283758086196</v>
      </c>
      <c r="H8" s="79">
        <f>Table10[[#This Row],[Compressor Power(P)]]/0.95</f>
        <v>99059.246061143363</v>
      </c>
      <c r="I8">
        <f t="shared" si="1"/>
        <v>44270.677477159792</v>
      </c>
      <c r="J8">
        <f>(Table9[[#This Row],[Mass flow rate{Qb} (m3/day)]]*1.01325*288.15)/(1.01325*273.15)</f>
        <v>46701.796503912112</v>
      </c>
      <c r="K8">
        <f>(14.737*1.01325*0.997612687835682*288*Table9[[#This Row],[Mass flow rate(Sm3/day)]])/(273.15*70*B8*B8)</f>
        <v>1.047887090099779</v>
      </c>
      <c r="L8">
        <f>Table9[[#This Row],[Velocity of methane{v}(m/sec)]]*0.677649444499187</f>
        <v>0.71010010450398475</v>
      </c>
      <c r="M8">
        <f>(0.677649444499187*Table9[[#This Row],[Velocity of methane{v}(m/sec)]]*B8)/Table9[[#This Row],[μ]]</f>
        <v>100.00000000000001</v>
      </c>
      <c r="N8" s="1">
        <v>0.169369875</v>
      </c>
      <c r="O8">
        <f>(Table9[[#This Row],[Friction factor {f}]]*C8*0.677649444499187*Table9[[#This Row],[Velocity of methane{v}(m/sec)]]*Table9[[#This Row],[Velocity of methane{v}(m/sec)]])/(2*B8)</f>
        <v>1.5753615684703612E-2</v>
      </c>
      <c r="P8">
        <f>70-Table9[[#This Row],[Pressure drop (Δp) (bar)]]</f>
        <v>69.984246384315298</v>
      </c>
      <c r="Q8">
        <f>35/(Table9[[#This Row],[Pressure drop (Δp) (bar)]]/C8)</f>
        <v>55542.80474479292</v>
      </c>
      <c r="R8">
        <f>CEILING(C8 / Table9[[#This Row],[Lsegment(mm)]], 1)</f>
        <v>1</v>
      </c>
    </row>
    <row r="9" spans="1:19">
      <c r="A9" s="72">
        <v>30000</v>
      </c>
      <c r="B9" s="72">
        <f>150</f>
        <v>150</v>
      </c>
      <c r="C9" s="81">
        <f>25</f>
        <v>25</v>
      </c>
      <c r="D9" s="79">
        <v>2</v>
      </c>
      <c r="E9" s="3">
        <v>381.35408266399998</v>
      </c>
      <c r="F9" s="79">
        <f t="shared" si="0"/>
        <v>21.647270712108618</v>
      </c>
      <c r="G9" s="79">
        <f>Table10[[#This Row],[No of compressor stages{N}]]*(1.41/0.41)*(0.997612688/0.8)*305.15*Table10[[#This Row],[Molar flow{qM}(moles/sec)]]*8.314*0.19978130798</f>
        <v>94106.283758086196</v>
      </c>
      <c r="H9" s="79">
        <f>Table10[[#This Row],[Compressor Power(P)]]/0.95</f>
        <v>99059.246061143363</v>
      </c>
      <c r="I9">
        <f t="shared" si="1"/>
        <v>44270.677477159792</v>
      </c>
      <c r="J9">
        <f>(Table9[[#This Row],[Mass flow rate{Qb} (m3/day)]]*1.01325*288.15)/(1.01325*273.15)</f>
        <v>46701.796503912112</v>
      </c>
      <c r="K9">
        <f>(14.737*1.01325*0.997612687835682*288*Table9[[#This Row],[Mass flow rate(Sm3/day)]])/(273.15*70*B9*B9)</f>
        <v>0.46572759559990173</v>
      </c>
      <c r="L9">
        <f>Table9[[#This Row],[Velocity of methane{v}(m/sec)]]*0.677649444499187</f>
        <v>0.31560004644621542</v>
      </c>
      <c r="M9">
        <f>(0.677649444499187*Table9[[#This Row],[Velocity of methane{v}(m/sec)]]*B9)/Table9[[#This Row],[μ]]</f>
        <v>150</v>
      </c>
      <c r="N9" s="1">
        <v>0.13797463099999999</v>
      </c>
      <c r="O9">
        <f>(Table9[[#This Row],[Friction factor {f}]]*C9*0.677649444499187*Table9[[#This Row],[Velocity of methane{v}(m/sec)]]*Table9[[#This Row],[Velocity of methane{v}(m/sec)]])/(2*B9)</f>
        <v>1.6900012485436173E-3</v>
      </c>
      <c r="P9">
        <f>70-Table9[[#This Row],[Pressure drop (Δp) (bar)]]</f>
        <v>69.998309998751452</v>
      </c>
      <c r="Q9">
        <f>35/(Table9[[#This Row],[Pressure drop (Δp) (bar)]]/C9)</f>
        <v>517751.09678412584</v>
      </c>
      <c r="R9">
        <f>CEILING(C9 / Table9[[#This Row],[Lsegment(mm)]], 1)</f>
        <v>1</v>
      </c>
    </row>
    <row r="10" spans="1:19">
      <c r="A10" s="73">
        <v>30000</v>
      </c>
      <c r="B10" s="73">
        <f>200</f>
        <v>200</v>
      </c>
      <c r="C10" s="82">
        <f>25</f>
        <v>25</v>
      </c>
      <c r="D10" s="79">
        <v>2</v>
      </c>
      <c r="E10" s="3">
        <v>381.35408266399998</v>
      </c>
      <c r="F10" s="79">
        <f t="shared" si="0"/>
        <v>21.647270712108618</v>
      </c>
      <c r="G10" s="79">
        <f>Table10[[#This Row],[No of compressor stages{N}]]*(1.41/0.41)*(0.997612688/0.8)*305.15*Table10[[#This Row],[Molar flow{qM}(moles/sec)]]*8.314*0.19978130798</f>
        <v>94106.283758086196</v>
      </c>
      <c r="H10" s="79">
        <f>Table10[[#This Row],[Compressor Power(P)]]/0.95</f>
        <v>99059.246061143363</v>
      </c>
      <c r="I10">
        <f t="shared" si="1"/>
        <v>44270.677477159792</v>
      </c>
      <c r="J10">
        <f>(Table9[[#This Row],[Mass flow rate{Qb} (m3/day)]]*1.01325*288.15)/(1.01325*273.15)</f>
        <v>46701.796503912112</v>
      </c>
      <c r="K10">
        <f>(14.737*1.01325*0.997612687835682*288*Table9[[#This Row],[Mass flow rate(Sm3/day)]])/(273.15*70*B10*B10)</f>
        <v>0.26197177252494475</v>
      </c>
      <c r="L10">
        <f>Table9[[#This Row],[Velocity of methane{v}(m/sec)]]*0.677649444499187</f>
        <v>0.17752502612599619</v>
      </c>
      <c r="M10">
        <f>(0.677649444499187*Table9[[#This Row],[Velocity of methane{v}(m/sec)]]*B10)/Table9[[#This Row],[μ]]</f>
        <v>200.00000000000003</v>
      </c>
      <c r="N10" s="1">
        <v>0.12035120000000001</v>
      </c>
      <c r="O10">
        <f>(Table9[[#This Row],[Friction factor {f}]]*C10*0.677649444499187*Table9[[#This Row],[Velocity of methane{v}(m/sec)]]*Table9[[#This Row],[Velocity of methane{v}(m/sec)]])/(2*B10)</f>
        <v>3.4981991189270335E-4</v>
      </c>
      <c r="P10">
        <f>70-Table9[[#This Row],[Pressure drop (Δp) (bar)]]</f>
        <v>69.999650180088111</v>
      </c>
      <c r="Q10">
        <f>35/(Table9[[#This Row],[Pressure drop (Δp) (bar)]]/C10)</f>
        <v>2501287.0058362479</v>
      </c>
      <c r="R10">
        <f>CEILING(C10 / Table9[[#This Row],[Lsegment(mm)]], 1)</f>
        <v>1</v>
      </c>
    </row>
    <row r="11" spans="1:19">
      <c r="A11" s="72">
        <v>100000</v>
      </c>
      <c r="B11" s="72">
        <v>150</v>
      </c>
      <c r="C11" s="81">
        <f>25</f>
        <v>25</v>
      </c>
      <c r="D11" s="79">
        <v>2</v>
      </c>
      <c r="E11" s="3">
        <v>381.35408266399998</v>
      </c>
      <c r="F11" s="79">
        <f t="shared" si="0"/>
        <v>72.157569040362063</v>
      </c>
      <c r="G11" s="79">
        <f>Table10[[#This Row],[No of compressor stages{N}]]*(1.41/0.41)*(0.997612688/0.8)*305.15*Table10[[#This Row],[Molar flow{qM}(moles/sec)]]*8.314*0.19978130798</f>
        <v>313687.61252695398</v>
      </c>
      <c r="H11" s="79">
        <f>Table10[[#This Row],[Compressor Power(P)]]/0.95</f>
        <v>330197.48687047791</v>
      </c>
      <c r="I11">
        <f t="shared" si="1"/>
        <v>147568.92492386597</v>
      </c>
      <c r="J11">
        <f>(Table9[[#This Row],[Mass flow rate{Qb} (m3/day)]]*1.01325*288.15)/(1.01325*273.15)</f>
        <v>155672.65501304038</v>
      </c>
      <c r="K11">
        <f>(14.737*1.01325*0.997612687835682*288*Table9[[#This Row],[Mass flow rate(Sm3/day)]])/(273.15*70*B11*B11)</f>
        <v>1.552425318666339</v>
      </c>
      <c r="L11">
        <f>Table9[[#This Row],[Velocity of methane{v}(m/sec)]]*0.677649444499187</f>
        <v>1.0520001548207178</v>
      </c>
      <c r="M11">
        <f>(0.677649444499187*Table9[[#This Row],[Velocity of methane{v}(m/sec)]]*B11)/Table9[[#This Row],[μ]]</f>
        <v>150</v>
      </c>
      <c r="N11" s="1">
        <v>0.13797463099999999</v>
      </c>
      <c r="O11">
        <f>(Table9[[#This Row],[Friction factor {f}]]*C11*0.677649444499187*Table9[[#This Row],[Velocity of methane{v}(m/sec)]]*Table9[[#This Row],[Velocity of methane{v}(m/sec)]])/(2*B11)</f>
        <v>1.8777791650484633E-2</v>
      </c>
      <c r="P11">
        <f>70-Table9[[#This Row],[Pressure drop (Δp) (bar)]]</f>
        <v>69.981222208349521</v>
      </c>
      <c r="Q11">
        <f>35/(Table9[[#This Row],[Pressure drop (Δp) (bar)]]/C11)</f>
        <v>46597.598710571343</v>
      </c>
      <c r="R11">
        <f>CEILING(C11 / Table9[[#This Row],[Lsegment(mm)]], 1)</f>
        <v>1</v>
      </c>
    </row>
    <row r="12" spans="1:19">
      <c r="A12" s="73">
        <v>100000</v>
      </c>
      <c r="B12" s="73">
        <v>200</v>
      </c>
      <c r="C12" s="82">
        <f>25</f>
        <v>25</v>
      </c>
      <c r="D12" s="79">
        <v>2</v>
      </c>
      <c r="E12" s="3">
        <v>381.35408266399998</v>
      </c>
      <c r="F12" s="79">
        <f t="shared" si="0"/>
        <v>72.157569040362063</v>
      </c>
      <c r="G12" s="79">
        <f>Table10[[#This Row],[No of compressor stages{N}]]*(1.41/0.41)*(0.997612688/0.8)*305.15*Table10[[#This Row],[Molar flow{qM}(moles/sec)]]*8.314*0.19978130798</f>
        <v>313687.61252695398</v>
      </c>
      <c r="H12" s="79">
        <f>Table10[[#This Row],[Compressor Power(P)]]/0.95</f>
        <v>330197.48687047791</v>
      </c>
      <c r="I12">
        <f t="shared" si="1"/>
        <v>147568.92492386597</v>
      </c>
      <c r="J12">
        <f>(Table9[[#This Row],[Mass flow rate{Qb} (m3/day)]]*1.01325*288.15)/(1.01325*273.15)</f>
        <v>155672.65501304038</v>
      </c>
      <c r="K12">
        <f>(14.737*1.01325*0.997612687835682*288*Table9[[#This Row],[Mass flow rate(Sm3/day)]])/(273.15*70*B12*B12)</f>
        <v>0.87323924174981571</v>
      </c>
      <c r="L12">
        <f>Table9[[#This Row],[Velocity of methane{v}(m/sec)]]*0.677649444499187</f>
        <v>0.59175008708665389</v>
      </c>
      <c r="M12">
        <f>(0.677649444499187*Table9[[#This Row],[Velocity of methane{v}(m/sec)]]*B12)/Table9[[#This Row],[μ]]</f>
        <v>200</v>
      </c>
      <c r="N12" s="1">
        <v>0.12035120000000001</v>
      </c>
      <c r="O12">
        <f>(Table9[[#This Row],[Friction factor {f}]]*C12*0.677649444499187*Table9[[#This Row],[Velocity of methane{v}(m/sec)]]*Table9[[#This Row],[Velocity of methane{v}(m/sec)]])/(2*B12)</f>
        <v>3.8868879099189248E-3</v>
      </c>
      <c r="P12">
        <f>70-Table9[[#This Row],[Pressure drop (Δp) (bar)]]</f>
        <v>69.996113112090086</v>
      </c>
      <c r="Q12">
        <f>35/(Table9[[#This Row],[Pressure drop (Δp) (bar)]]/C12)</f>
        <v>225115.83052526237</v>
      </c>
      <c r="R12">
        <f>CEILING(C12 / Table9[[#This Row],[Lsegment(mm)]], 1)</f>
        <v>1</v>
      </c>
    </row>
    <row r="13" spans="1:19">
      <c r="A13" s="72">
        <v>10000</v>
      </c>
      <c r="B13" s="72">
        <f>100</f>
        <v>100</v>
      </c>
      <c r="C13" s="81">
        <f>100</f>
        <v>100</v>
      </c>
      <c r="D13" s="79">
        <v>2</v>
      </c>
      <c r="E13" s="3">
        <v>381.35408266399998</v>
      </c>
      <c r="F13" s="79">
        <f t="shared" si="0"/>
        <v>7.2157569040362057</v>
      </c>
      <c r="G13" s="79">
        <f>Table10[[#This Row],[No of compressor stages{N}]]*(1.41/0.41)*(0.997612688/0.8)*305.15*Table10[[#This Row],[Molar flow{qM}(moles/sec)]]*8.314*0.19978130798</f>
        <v>31368.761252695396</v>
      </c>
      <c r="H13" s="79">
        <f>Table10[[#This Row],[Compressor Power(P)]]/0.95</f>
        <v>33019.748687047788</v>
      </c>
      <c r="I13">
        <f t="shared" si="1"/>
        <v>14756.892492386596</v>
      </c>
      <c r="J13">
        <f>(Table9[[#This Row],[Mass flow rate{Qb} (m3/day)]]*1.01325*288.15)/(1.01325*273.15)</f>
        <v>15567.265501304038</v>
      </c>
      <c r="K13">
        <f>(14.737*1.01325*0.997612687835682*288*Table9[[#This Row],[Mass flow rate(Sm3/day)]])/(273.15*70*B13*B13)</f>
        <v>0.34929569669992633</v>
      </c>
      <c r="L13">
        <f>Table9[[#This Row],[Velocity of methane{v}(m/sec)]]*0.677649444499187</f>
        <v>0.23670003483466157</v>
      </c>
      <c r="M13">
        <f>(0.677649444499187*Table9[[#This Row],[Velocity of methane{v}(m/sec)]]*B13)/Table9[[#This Row],[μ]]</f>
        <v>100</v>
      </c>
      <c r="N13" s="1">
        <v>0.169369875</v>
      </c>
      <c r="O13">
        <f>(Table9[[#This Row],[Friction factor {f}]]*C13*0.677649444499187*Table9[[#This Row],[Velocity of methane{v}(m/sec)]]*Table9[[#This Row],[Velocity of methane{v}(m/sec)]])/(2*B13)</f>
        <v>7.0016069709793825E-3</v>
      </c>
      <c r="P13">
        <f>70-Table9[[#This Row],[Pressure drop (Δp) (bar)]]</f>
        <v>69.992998393029026</v>
      </c>
      <c r="Q13">
        <f>35/(Table9[[#This Row],[Pressure drop (Δp) (bar)]]/C13)</f>
        <v>499885.24270313641</v>
      </c>
      <c r="R13">
        <f>CEILING(C13 / Table9[[#This Row],[Lsegment(mm)]], 1)</f>
        <v>1</v>
      </c>
    </row>
    <row r="14" spans="1:19">
      <c r="A14" s="73">
        <v>10000</v>
      </c>
      <c r="B14" s="73">
        <f>150</f>
        <v>150</v>
      </c>
      <c r="C14" s="82">
        <f>100</f>
        <v>100</v>
      </c>
      <c r="D14" s="79">
        <v>2</v>
      </c>
      <c r="E14" s="3">
        <v>381.35408266399998</v>
      </c>
      <c r="F14" s="79">
        <f t="shared" si="0"/>
        <v>7.2157569040362057</v>
      </c>
      <c r="G14" s="79">
        <f>Table10[[#This Row],[No of compressor stages{N}]]*(1.41/0.41)*(0.997612688/0.8)*305.15*Table10[[#This Row],[Molar flow{qM}(moles/sec)]]*8.314*0.19978130798</f>
        <v>31368.761252695396</v>
      </c>
      <c r="H14" s="79">
        <f>Table10[[#This Row],[Compressor Power(P)]]/0.95</f>
        <v>33019.748687047788</v>
      </c>
      <c r="I14">
        <f t="shared" si="1"/>
        <v>14756.892492386596</v>
      </c>
      <c r="J14">
        <f>(Table9[[#This Row],[Mass flow rate{Qb} (m3/day)]]*1.01325*288.15)/(1.01325*273.15)</f>
        <v>15567.265501304038</v>
      </c>
      <c r="K14">
        <f>(14.737*1.01325*0.997612687835682*288*Table9[[#This Row],[Mass flow rate(Sm3/day)]])/(273.15*70*B14*B14)</f>
        <v>0.15524253186663392</v>
      </c>
      <c r="L14">
        <f>Table9[[#This Row],[Velocity of methane{v}(m/sec)]]*0.677649444499187</f>
        <v>0.10520001548207181</v>
      </c>
      <c r="M14">
        <f>(0.677649444499187*Table9[[#This Row],[Velocity of methane{v}(m/sec)]]*B14)/Table9[[#This Row],[μ]]</f>
        <v>150</v>
      </c>
      <c r="N14" s="1">
        <v>0.13797463099999999</v>
      </c>
      <c r="O14">
        <f>(Table9[[#This Row],[Friction factor {f}]]*C14*0.677649444499187*Table9[[#This Row],[Velocity of methane{v}(m/sec)]]*Table9[[#This Row],[Velocity of methane{v}(m/sec)]])/(2*B14)</f>
        <v>7.5111166601938564E-4</v>
      </c>
      <c r="P14">
        <f>70-Table9[[#This Row],[Pressure drop (Δp) (bar)]]</f>
        <v>69.99924888833398</v>
      </c>
      <c r="Q14">
        <f>35/(Table9[[#This Row],[Pressure drop (Δp) (bar)]]/C14)</f>
        <v>4659759.8710571323</v>
      </c>
      <c r="R14">
        <f>CEILING(C14 / Table9[[#This Row],[Lsegment(mm)]], 1)</f>
        <v>1</v>
      </c>
    </row>
    <row r="15" spans="1:19">
      <c r="A15" s="72">
        <v>10000</v>
      </c>
      <c r="B15" s="72">
        <f>200</f>
        <v>200</v>
      </c>
      <c r="C15" s="81">
        <f>100</f>
        <v>100</v>
      </c>
      <c r="D15" s="79">
        <v>2</v>
      </c>
      <c r="E15" s="3">
        <v>381.35408266399998</v>
      </c>
      <c r="F15" s="79">
        <f t="shared" si="0"/>
        <v>7.2157569040362057</v>
      </c>
      <c r="G15" s="79">
        <f>Table10[[#This Row],[No of compressor stages{N}]]*(1.41/0.41)*(0.997612688/0.8)*305.15*Table10[[#This Row],[Molar flow{qM}(moles/sec)]]*8.314*0.19978130798</f>
        <v>31368.761252695396</v>
      </c>
      <c r="H15" s="79">
        <f>Table10[[#This Row],[Compressor Power(P)]]/0.95</f>
        <v>33019.748687047788</v>
      </c>
      <c r="I15">
        <f t="shared" si="1"/>
        <v>14756.892492386596</v>
      </c>
      <c r="J15">
        <f>(Table9[[#This Row],[Mass flow rate{Qb} (m3/day)]]*1.01325*288.15)/(1.01325*273.15)</f>
        <v>15567.265501304038</v>
      </c>
      <c r="K15">
        <f>(14.737*1.01325*0.997612687835682*288*Table9[[#This Row],[Mass flow rate(Sm3/day)]])/(273.15*70*B15*B15)</f>
        <v>8.7323924174981582E-2</v>
      </c>
      <c r="L15">
        <f>Table9[[#This Row],[Velocity of methane{v}(m/sec)]]*0.677649444499187</f>
        <v>5.9175008708665391E-2</v>
      </c>
      <c r="M15">
        <f>(0.677649444499187*Table9[[#This Row],[Velocity of methane{v}(m/sec)]]*B15)/Table9[[#This Row],[μ]]</f>
        <v>200</v>
      </c>
      <c r="N15" s="1">
        <v>0.12035120000000001</v>
      </c>
      <c r="O15">
        <f>(Table9[[#This Row],[Friction factor {f}]]*C15*0.677649444499187*Table9[[#This Row],[Velocity of methane{v}(m/sec)]]*Table9[[#This Row],[Velocity of methane{v}(m/sec)]])/(2*B15)</f>
        <v>1.5547551639675703E-4</v>
      </c>
      <c r="P15">
        <f>70-Table9[[#This Row],[Pressure drop (Δp) (bar)]]</f>
        <v>69.999844524483606</v>
      </c>
      <c r="Q15">
        <f>35/(Table9[[#This Row],[Pressure drop (Δp) (bar)]]/C15)</f>
        <v>22511583.052526232</v>
      </c>
      <c r="R15">
        <f>CEILING(C15 / Table9[[#This Row],[Lsegment(mm)]], 1)</f>
        <v>1</v>
      </c>
    </row>
    <row r="16" spans="1:19">
      <c r="A16" s="73">
        <v>30000</v>
      </c>
      <c r="B16" s="73">
        <v>100</v>
      </c>
      <c r="C16" s="82">
        <f>100</f>
        <v>100</v>
      </c>
      <c r="D16" s="79">
        <v>2</v>
      </c>
      <c r="E16" s="3">
        <v>381.35408266399998</v>
      </c>
      <c r="F16" s="79">
        <f t="shared" si="0"/>
        <v>21.647270712108618</v>
      </c>
      <c r="G16" s="79">
        <f>Table10[[#This Row],[No of compressor stages{N}]]*(1.41/0.41)*(0.997612688/0.8)*305.15*Table10[[#This Row],[Molar flow{qM}(moles/sec)]]*8.314*0.19978130798</f>
        <v>94106.283758086196</v>
      </c>
      <c r="H16" s="79">
        <f>Table10[[#This Row],[Compressor Power(P)]]/0.95</f>
        <v>99059.246061143363</v>
      </c>
      <c r="I16">
        <f t="shared" si="1"/>
        <v>44270.677477159792</v>
      </c>
      <c r="J16">
        <f>(Table9[[#This Row],[Mass flow rate{Qb} (m3/day)]]*1.01325*288.15)/(1.01325*273.15)</f>
        <v>46701.796503912112</v>
      </c>
      <c r="K16">
        <f>(14.737*1.01325*0.997612687835682*288*Table9[[#This Row],[Mass flow rate(Sm3/day)]])/(273.15*70*B16*B16)</f>
        <v>1.047887090099779</v>
      </c>
      <c r="L16">
        <f>Table9[[#This Row],[Velocity of methane{v}(m/sec)]]*0.677649444499187</f>
        <v>0.71010010450398475</v>
      </c>
      <c r="M16">
        <f>(0.677649444499187*Table9[[#This Row],[Velocity of methane{v}(m/sec)]]*B16)/Table9[[#This Row],[μ]]</f>
        <v>100.00000000000001</v>
      </c>
      <c r="N16" s="1">
        <v>0.169369875</v>
      </c>
      <c r="O16">
        <f>(Table9[[#This Row],[Friction factor {f}]]*C16*0.677649444499187*Table9[[#This Row],[Velocity of methane{v}(m/sec)]]*Table9[[#This Row],[Velocity of methane{v}(m/sec)]])/(2*B16)</f>
        <v>6.3014462738814447E-2</v>
      </c>
      <c r="P16">
        <f>70-Table9[[#This Row],[Pressure drop (Δp) (bar)]]</f>
        <v>69.93698553726118</v>
      </c>
      <c r="Q16">
        <f>35/(Table9[[#This Row],[Pressure drop (Δp) (bar)]]/C16)</f>
        <v>55542.80474479292</v>
      </c>
      <c r="R16">
        <f>CEILING(C16 / Table9[[#This Row],[Lsegment(mm)]], 1)</f>
        <v>1</v>
      </c>
    </row>
    <row r="17" spans="1:18">
      <c r="A17" s="72">
        <v>30000</v>
      </c>
      <c r="B17" s="72">
        <f>150</f>
        <v>150</v>
      </c>
      <c r="C17" s="81">
        <f>100</f>
        <v>100</v>
      </c>
      <c r="D17" s="79">
        <v>2</v>
      </c>
      <c r="E17" s="3">
        <v>381.35408266399998</v>
      </c>
      <c r="F17" s="79">
        <f t="shared" si="0"/>
        <v>21.647270712108618</v>
      </c>
      <c r="G17" s="79">
        <f>Table10[[#This Row],[No of compressor stages{N}]]*(1.41/0.41)*(0.997612688/0.8)*305.15*Table10[[#This Row],[Molar flow{qM}(moles/sec)]]*8.314*0.19978130798</f>
        <v>94106.283758086196</v>
      </c>
      <c r="H17" s="79">
        <f>Table10[[#This Row],[Compressor Power(P)]]/0.95</f>
        <v>99059.246061143363</v>
      </c>
      <c r="I17">
        <f t="shared" si="1"/>
        <v>44270.677477159792</v>
      </c>
      <c r="J17">
        <f>(Table9[[#This Row],[Mass flow rate{Qb} (m3/day)]]*1.01325*288.15)/(1.01325*273.15)</f>
        <v>46701.796503912112</v>
      </c>
      <c r="K17">
        <f>(14.737*1.01325*0.997612687835682*288*Table9[[#This Row],[Mass flow rate(Sm3/day)]])/(273.15*70*B17*B17)</f>
        <v>0.46572759559990173</v>
      </c>
      <c r="L17">
        <f>Table9[[#This Row],[Velocity of methane{v}(m/sec)]]*0.677649444499187</f>
        <v>0.31560004644621542</v>
      </c>
      <c r="M17">
        <f>(0.677649444499187*Table9[[#This Row],[Velocity of methane{v}(m/sec)]]*B17)/Table9[[#This Row],[μ]]</f>
        <v>150</v>
      </c>
      <c r="N17" s="1">
        <v>0.13797463099999999</v>
      </c>
      <c r="O17">
        <f>(Table9[[#This Row],[Friction factor {f}]]*C17*0.677649444499187*Table9[[#This Row],[Velocity of methane{v}(m/sec)]]*Table9[[#This Row],[Velocity of methane{v}(m/sec)]])/(2*B17)</f>
        <v>6.7600049941744693E-3</v>
      </c>
      <c r="P17">
        <f>70-Table9[[#This Row],[Pressure drop (Δp) (bar)]]</f>
        <v>69.993239995005823</v>
      </c>
      <c r="Q17">
        <f>35/(Table9[[#This Row],[Pressure drop (Δp) (bar)]]/C17)</f>
        <v>517751.09678412584</v>
      </c>
      <c r="R17">
        <f>CEILING(C17 / Table9[[#This Row],[Lsegment(mm)]], 1)</f>
        <v>1</v>
      </c>
    </row>
    <row r="18" spans="1:18">
      <c r="A18" s="73">
        <v>30000</v>
      </c>
      <c r="B18" s="73">
        <f>200</f>
        <v>200</v>
      </c>
      <c r="C18" s="82">
        <f>100</f>
        <v>100</v>
      </c>
      <c r="D18" s="79">
        <v>2</v>
      </c>
      <c r="E18" s="3">
        <v>381.35408266399998</v>
      </c>
      <c r="F18" s="79">
        <f t="shared" si="0"/>
        <v>21.647270712108618</v>
      </c>
      <c r="G18" s="79">
        <f>Table10[[#This Row],[No of compressor stages{N}]]*(1.41/0.41)*(0.997612688/0.8)*305.15*Table10[[#This Row],[Molar flow{qM}(moles/sec)]]*8.314*0.19978130798</f>
        <v>94106.283758086196</v>
      </c>
      <c r="H18" s="79">
        <f>Table10[[#This Row],[Compressor Power(P)]]/0.95</f>
        <v>99059.246061143363</v>
      </c>
      <c r="I18">
        <f t="shared" si="1"/>
        <v>44270.677477159792</v>
      </c>
      <c r="J18">
        <f>(Table9[[#This Row],[Mass flow rate{Qb} (m3/day)]]*1.01325*288.15)/(1.01325*273.15)</f>
        <v>46701.796503912112</v>
      </c>
      <c r="K18">
        <f>(14.737*1.01325*0.997612687835682*288*Table9[[#This Row],[Mass flow rate(Sm3/day)]])/(273.15*70*B18*B18)</f>
        <v>0.26197177252494475</v>
      </c>
      <c r="L18">
        <f>Table9[[#This Row],[Velocity of methane{v}(m/sec)]]*0.677649444499187</f>
        <v>0.17752502612599619</v>
      </c>
      <c r="M18">
        <f>(0.677649444499187*Table9[[#This Row],[Velocity of methane{v}(m/sec)]]*B18)/Table9[[#This Row],[μ]]</f>
        <v>200.00000000000003</v>
      </c>
      <c r="N18" s="1">
        <v>0.12035120000000001</v>
      </c>
      <c r="O18">
        <f>(Table9[[#This Row],[Friction factor {f}]]*C18*0.677649444499187*Table9[[#This Row],[Velocity of methane{v}(m/sec)]]*Table9[[#This Row],[Velocity of methane{v}(m/sec)]])/(2*B18)</f>
        <v>1.3992796475708134E-3</v>
      </c>
      <c r="P18">
        <f>70-Table9[[#This Row],[Pressure drop (Δp) (bar)]]</f>
        <v>69.998600720352428</v>
      </c>
      <c r="Q18">
        <f>35/(Table9[[#This Row],[Pressure drop (Δp) (bar)]]/C18)</f>
        <v>2501287.0058362479</v>
      </c>
      <c r="R18">
        <f>CEILING(C18 / Table9[[#This Row],[Lsegment(mm)]], 1)</f>
        <v>1</v>
      </c>
    </row>
    <row r="19" spans="1:18">
      <c r="A19" s="72">
        <v>100000</v>
      </c>
      <c r="B19" s="72">
        <v>150</v>
      </c>
      <c r="C19" s="81">
        <f>100</f>
        <v>100</v>
      </c>
      <c r="D19" s="79">
        <v>2</v>
      </c>
      <c r="E19" s="3">
        <v>381.35408266399998</v>
      </c>
      <c r="F19" s="79">
        <f t="shared" si="0"/>
        <v>72.157569040362063</v>
      </c>
      <c r="G19" s="79">
        <f>Table10[[#This Row],[No of compressor stages{N}]]*(1.41/0.41)*(0.997612688/0.8)*305.15*Table10[[#This Row],[Molar flow{qM}(moles/sec)]]*8.314*0.19978130798</f>
        <v>313687.61252695398</v>
      </c>
      <c r="H19" s="79">
        <f>Table10[[#This Row],[Compressor Power(P)]]/0.95</f>
        <v>330197.48687047791</v>
      </c>
      <c r="I19">
        <f t="shared" si="1"/>
        <v>147568.92492386597</v>
      </c>
      <c r="J19">
        <f>(Table9[[#This Row],[Mass flow rate{Qb} (m3/day)]]*1.01325*288.15)/(1.01325*273.15)</f>
        <v>155672.65501304038</v>
      </c>
      <c r="K19">
        <f>(14.737*1.01325*0.997612687835682*288*Table9[[#This Row],[Mass flow rate(Sm3/day)]])/(273.15*70*B19*B19)</f>
        <v>1.552425318666339</v>
      </c>
      <c r="L19">
        <f>Table9[[#This Row],[Velocity of methane{v}(m/sec)]]*0.677649444499187</f>
        <v>1.0520001548207178</v>
      </c>
      <c r="M19">
        <f>(0.677649444499187*Table9[[#This Row],[Velocity of methane{v}(m/sec)]]*B19)/Table9[[#This Row],[μ]]</f>
        <v>150</v>
      </c>
      <c r="N19" s="1">
        <v>0.13797463099999999</v>
      </c>
      <c r="O19">
        <f>(Table9[[#This Row],[Friction factor {f}]]*C19*0.677649444499187*Table9[[#This Row],[Velocity of methane{v}(m/sec)]]*Table9[[#This Row],[Velocity of methane{v}(m/sec)]])/(2*B19)</f>
        <v>7.5111166601938534E-2</v>
      </c>
      <c r="P19">
        <f>70-Table9[[#This Row],[Pressure drop (Δp) (bar)]]</f>
        <v>69.924888833398057</v>
      </c>
      <c r="Q19">
        <f>35/(Table9[[#This Row],[Pressure drop (Δp) (bar)]]/C19)</f>
        <v>46597.598710571343</v>
      </c>
      <c r="R19">
        <f>CEILING(C19 / Table9[[#This Row],[Lsegment(mm)]], 1)</f>
        <v>1</v>
      </c>
    </row>
    <row r="20" spans="1:18">
      <c r="A20" s="73">
        <v>100000</v>
      </c>
      <c r="B20" s="73">
        <v>200</v>
      </c>
      <c r="C20" s="82">
        <f>100</f>
        <v>100</v>
      </c>
      <c r="D20" s="79">
        <v>2</v>
      </c>
      <c r="E20" s="3">
        <v>381.35408266399998</v>
      </c>
      <c r="F20" s="79">
        <f t="shared" si="0"/>
        <v>72.157569040362063</v>
      </c>
      <c r="G20" s="79">
        <f>Table10[[#This Row],[No of compressor stages{N}]]*(1.41/0.41)*(0.997612688/0.8)*305.15*Table10[[#This Row],[Molar flow{qM}(moles/sec)]]*8.314*0.19978130798</f>
        <v>313687.61252695398</v>
      </c>
      <c r="H20" s="79">
        <f>Table10[[#This Row],[Compressor Power(P)]]/0.95</f>
        <v>330197.48687047791</v>
      </c>
      <c r="I20">
        <f t="shared" si="1"/>
        <v>147568.92492386597</v>
      </c>
      <c r="J20">
        <f>(Table9[[#This Row],[Mass flow rate{Qb} (m3/day)]]*1.01325*288.15)/(1.01325*273.15)</f>
        <v>155672.65501304038</v>
      </c>
      <c r="K20">
        <f>(14.737*1.01325*0.997612687835682*288*Table9[[#This Row],[Mass flow rate(Sm3/day)]])/(273.15*70*B20*B20)</f>
        <v>0.87323924174981571</v>
      </c>
      <c r="L20">
        <f>Table9[[#This Row],[Velocity of methane{v}(m/sec)]]*0.677649444499187</f>
        <v>0.59175008708665389</v>
      </c>
      <c r="M20">
        <f>(0.677649444499187*Table9[[#This Row],[Velocity of methane{v}(m/sec)]]*B20)/Table9[[#This Row],[μ]]</f>
        <v>200</v>
      </c>
      <c r="N20" s="1">
        <v>0.12035120000000001</v>
      </c>
      <c r="O20">
        <f>(Table9[[#This Row],[Friction factor {f}]]*C20*0.677649444499187*Table9[[#This Row],[Velocity of methane{v}(m/sec)]]*Table9[[#This Row],[Velocity of methane{v}(m/sec)]])/(2*B20)</f>
        <v>1.5547551639675699E-2</v>
      </c>
      <c r="P20">
        <f>70-Table9[[#This Row],[Pressure drop (Δp) (bar)]]</f>
        <v>69.984452448360329</v>
      </c>
      <c r="Q20">
        <f>35/(Table9[[#This Row],[Pressure drop (Δp) (bar)]]/C20)</f>
        <v>225115.83052526237</v>
      </c>
      <c r="R20">
        <f>CEILING(C20 / Table9[[#This Row],[Lsegment(mm)]], 1)</f>
        <v>1</v>
      </c>
    </row>
    <row r="21" spans="1:18">
      <c r="A21" s="72">
        <v>10000</v>
      </c>
      <c r="B21" s="72">
        <f>100</f>
        <v>100</v>
      </c>
      <c r="C21" s="81">
        <f>150</f>
        <v>150</v>
      </c>
      <c r="D21" s="79">
        <v>2</v>
      </c>
      <c r="E21" s="3">
        <v>381.35408266399998</v>
      </c>
      <c r="F21" s="79">
        <f t="shared" si="0"/>
        <v>7.2157569040362057</v>
      </c>
      <c r="G21" s="79">
        <f>Table10[[#This Row],[No of compressor stages{N}]]*(1.41/0.41)*(0.997612688/0.8)*305.15*Table10[[#This Row],[Molar flow{qM}(moles/sec)]]*8.314*0.19978130798</f>
        <v>31368.761252695396</v>
      </c>
      <c r="H21" s="79">
        <f>Table10[[#This Row],[Compressor Power(P)]]/0.95</f>
        <v>33019.748687047788</v>
      </c>
      <c r="I21">
        <f t="shared" si="1"/>
        <v>14756.892492386596</v>
      </c>
      <c r="J21">
        <f>(Table9[[#This Row],[Mass flow rate{Qb} (m3/day)]]*1.01325*288.15)/(1.01325*273.15)</f>
        <v>15567.265501304038</v>
      </c>
      <c r="K21">
        <f>(14.737*1.01325*0.997612687835682*288*Table9[[#This Row],[Mass flow rate(Sm3/day)]])/(273.15*70*B21*B21)</f>
        <v>0.34929569669992633</v>
      </c>
      <c r="L21">
        <f>Table9[[#This Row],[Velocity of methane{v}(m/sec)]]*0.677649444499187</f>
        <v>0.23670003483466157</v>
      </c>
      <c r="M21">
        <f>(0.677649444499187*Table9[[#This Row],[Velocity of methane{v}(m/sec)]]*B21)/Table9[[#This Row],[μ]]</f>
        <v>100</v>
      </c>
      <c r="N21" s="1">
        <v>0.169369875</v>
      </c>
      <c r="O21">
        <f>(Table9[[#This Row],[Friction factor {f}]]*C21*0.677649444499187*Table9[[#This Row],[Velocity of methane{v}(m/sec)]]*Table9[[#This Row],[Velocity of methane{v}(m/sec)]])/(2*B21)</f>
        <v>1.0502410456469076E-2</v>
      </c>
      <c r="P21">
        <f>70-Table9[[#This Row],[Pressure drop (Δp) (bar)]]</f>
        <v>69.989497589543532</v>
      </c>
      <c r="Q21">
        <f>35/(Table9[[#This Row],[Pressure drop (Δp) (bar)]]/C21)</f>
        <v>499885.24270313617</v>
      </c>
      <c r="R21">
        <f>CEILING(C21 / Table9[[#This Row],[Lsegment(mm)]], 1)</f>
        <v>1</v>
      </c>
    </row>
    <row r="22" spans="1:18">
      <c r="A22" s="73">
        <v>10000</v>
      </c>
      <c r="B22" s="73">
        <f>150</f>
        <v>150</v>
      </c>
      <c r="C22" s="82">
        <f>150</f>
        <v>150</v>
      </c>
      <c r="D22" s="79">
        <v>2</v>
      </c>
      <c r="E22" s="3">
        <v>381.35408266399998</v>
      </c>
      <c r="F22" s="79">
        <f t="shared" si="0"/>
        <v>7.2157569040362057</v>
      </c>
      <c r="G22" s="79">
        <f>Table10[[#This Row],[No of compressor stages{N}]]*(1.41/0.41)*(0.997612688/0.8)*305.15*Table10[[#This Row],[Molar flow{qM}(moles/sec)]]*8.314*0.19978130798</f>
        <v>31368.761252695396</v>
      </c>
      <c r="H22" s="79">
        <f>Table10[[#This Row],[Compressor Power(P)]]/0.95</f>
        <v>33019.748687047788</v>
      </c>
      <c r="I22">
        <f t="shared" si="1"/>
        <v>14756.892492386596</v>
      </c>
      <c r="J22">
        <f>(Table9[[#This Row],[Mass flow rate{Qb} (m3/day)]]*1.01325*288.15)/(1.01325*273.15)</f>
        <v>15567.265501304038</v>
      </c>
      <c r="K22">
        <f>(14.737*1.01325*0.997612687835682*288*Table9[[#This Row],[Mass flow rate(Sm3/day)]])/(273.15*70*B22*B22)</f>
        <v>0.15524253186663392</v>
      </c>
      <c r="L22">
        <f>Table9[[#This Row],[Velocity of methane{v}(m/sec)]]*0.677649444499187</f>
        <v>0.10520001548207181</v>
      </c>
      <c r="M22">
        <f>(0.677649444499187*Table9[[#This Row],[Velocity of methane{v}(m/sec)]]*B22)/Table9[[#This Row],[μ]]</f>
        <v>150</v>
      </c>
      <c r="N22" s="1">
        <v>0.13797463099999999</v>
      </c>
      <c r="O22">
        <f>(Table9[[#This Row],[Friction factor {f}]]*C22*0.677649444499187*Table9[[#This Row],[Velocity of methane{v}(m/sec)]]*Table9[[#This Row],[Velocity of methane{v}(m/sec)]])/(2*B22)</f>
        <v>1.1266674990290785E-3</v>
      </c>
      <c r="P22">
        <f>70-Table9[[#This Row],[Pressure drop (Δp) (bar)]]</f>
        <v>69.998873332500978</v>
      </c>
      <c r="Q22">
        <f>35/(Table9[[#This Row],[Pressure drop (Δp) (bar)]]/C22)</f>
        <v>4659759.8710571313</v>
      </c>
      <c r="R22">
        <f>CEILING(C22 / Table9[[#This Row],[Lsegment(mm)]], 1)</f>
        <v>1</v>
      </c>
    </row>
    <row r="23" spans="1:18">
      <c r="A23" s="72">
        <v>10000</v>
      </c>
      <c r="B23" s="72">
        <f>200</f>
        <v>200</v>
      </c>
      <c r="C23" s="81">
        <f>150</f>
        <v>150</v>
      </c>
      <c r="D23" s="79">
        <v>2</v>
      </c>
      <c r="E23" s="3">
        <v>381.35408266399998</v>
      </c>
      <c r="F23" s="79">
        <f t="shared" si="0"/>
        <v>7.2157569040362057</v>
      </c>
      <c r="G23" s="79">
        <f>Table10[[#This Row],[No of compressor stages{N}]]*(1.41/0.41)*(0.997612688/0.8)*305.15*Table10[[#This Row],[Molar flow{qM}(moles/sec)]]*8.314*0.19978130798</f>
        <v>31368.761252695396</v>
      </c>
      <c r="H23" s="79">
        <f>Table10[[#This Row],[Compressor Power(P)]]/0.95</f>
        <v>33019.748687047788</v>
      </c>
      <c r="I23">
        <f t="shared" si="1"/>
        <v>14756.892492386596</v>
      </c>
      <c r="J23">
        <f>(Table9[[#This Row],[Mass flow rate{Qb} (m3/day)]]*1.01325*288.15)/(1.01325*273.15)</f>
        <v>15567.265501304038</v>
      </c>
      <c r="K23">
        <f>(14.737*1.01325*0.997612687835682*288*Table9[[#This Row],[Mass flow rate(Sm3/day)]])/(273.15*70*B23*B23)</f>
        <v>8.7323924174981582E-2</v>
      </c>
      <c r="L23">
        <f>Table9[[#This Row],[Velocity of methane{v}(m/sec)]]*0.677649444499187</f>
        <v>5.9175008708665391E-2</v>
      </c>
      <c r="M23">
        <f>(0.677649444499187*Table9[[#This Row],[Velocity of methane{v}(m/sec)]]*B23)/Table9[[#This Row],[μ]]</f>
        <v>200</v>
      </c>
      <c r="N23" s="1">
        <v>0.12035120000000001</v>
      </c>
      <c r="O23">
        <f>(Table9[[#This Row],[Friction factor {f}]]*C23*0.677649444499187*Table9[[#This Row],[Velocity of methane{v}(m/sec)]]*Table9[[#This Row],[Velocity of methane{v}(m/sec)]])/(2*B23)</f>
        <v>2.3321327459513555E-4</v>
      </c>
      <c r="P23">
        <f>70-Table9[[#This Row],[Pressure drop (Δp) (bar)]]</f>
        <v>69.999766786725402</v>
      </c>
      <c r="Q23">
        <f>35/(Table9[[#This Row],[Pressure drop (Δp) (bar)]]/C23)</f>
        <v>22511583.052526232</v>
      </c>
      <c r="R23">
        <f>CEILING(C23 / Table9[[#This Row],[Lsegment(mm)]], 1)</f>
        <v>1</v>
      </c>
    </row>
    <row r="24" spans="1:18">
      <c r="A24" s="73">
        <v>30000</v>
      </c>
      <c r="B24" s="73">
        <v>100</v>
      </c>
      <c r="C24" s="82">
        <f>150</f>
        <v>150</v>
      </c>
      <c r="D24" s="79">
        <v>2</v>
      </c>
      <c r="E24" s="3">
        <v>381.35408266399998</v>
      </c>
      <c r="F24" s="79">
        <f t="shared" si="0"/>
        <v>21.647270712108618</v>
      </c>
      <c r="G24" s="79">
        <f>Table10[[#This Row],[No of compressor stages{N}]]*(1.41/0.41)*(0.997612688/0.8)*305.15*Table10[[#This Row],[Molar flow{qM}(moles/sec)]]*8.314*0.19978130798</f>
        <v>94106.283758086196</v>
      </c>
      <c r="H24" s="79">
        <f>Table10[[#This Row],[Compressor Power(P)]]/0.95</f>
        <v>99059.246061143363</v>
      </c>
      <c r="I24">
        <f t="shared" si="1"/>
        <v>44270.677477159792</v>
      </c>
      <c r="J24">
        <f>(Table9[[#This Row],[Mass flow rate{Qb} (m3/day)]]*1.01325*288.15)/(1.01325*273.15)</f>
        <v>46701.796503912112</v>
      </c>
      <c r="K24">
        <f>(14.737*1.01325*0.997612687835682*288*Table9[[#This Row],[Mass flow rate(Sm3/day)]])/(273.15*70*B24*B24)</f>
        <v>1.047887090099779</v>
      </c>
      <c r="L24">
        <f>Table9[[#This Row],[Velocity of methane{v}(m/sec)]]*0.677649444499187</f>
        <v>0.71010010450398475</v>
      </c>
      <c r="M24">
        <f>(0.677649444499187*Table9[[#This Row],[Velocity of methane{v}(m/sec)]]*B24)/Table9[[#This Row],[μ]]</f>
        <v>100.00000000000001</v>
      </c>
      <c r="N24" s="1">
        <v>0.169369875</v>
      </c>
      <c r="O24">
        <f>(Table9[[#This Row],[Friction factor {f}]]*C24*0.677649444499187*Table9[[#This Row],[Velocity of methane{v}(m/sec)]]*Table9[[#This Row],[Velocity of methane{v}(m/sec)]])/(2*B24)</f>
        <v>9.4521694108221671E-2</v>
      </c>
      <c r="P24">
        <f>70-Table9[[#This Row],[Pressure drop (Δp) (bar)]]</f>
        <v>69.905478305891776</v>
      </c>
      <c r="Q24">
        <f>35/(Table9[[#This Row],[Pressure drop (Δp) (bar)]]/C24)</f>
        <v>55542.80474479292</v>
      </c>
      <c r="R24">
        <f>CEILING(C24 / Table9[[#This Row],[Lsegment(mm)]], 1)</f>
        <v>1</v>
      </c>
    </row>
    <row r="25" spans="1:18">
      <c r="A25" s="72">
        <v>30000</v>
      </c>
      <c r="B25" s="72">
        <f>150</f>
        <v>150</v>
      </c>
      <c r="C25" s="81">
        <f>150</f>
        <v>150</v>
      </c>
      <c r="D25" s="79">
        <v>2</v>
      </c>
      <c r="E25" s="3">
        <v>381.35408266399998</v>
      </c>
      <c r="F25" s="79">
        <f t="shared" si="0"/>
        <v>21.647270712108618</v>
      </c>
      <c r="G25" s="79">
        <f>Table10[[#This Row],[No of compressor stages{N}]]*(1.41/0.41)*(0.997612688/0.8)*305.15*Table10[[#This Row],[Molar flow{qM}(moles/sec)]]*8.314*0.19978130798</f>
        <v>94106.283758086196</v>
      </c>
      <c r="H25" s="79">
        <f>Table10[[#This Row],[Compressor Power(P)]]/0.95</f>
        <v>99059.246061143363</v>
      </c>
      <c r="I25">
        <f t="shared" si="1"/>
        <v>44270.677477159792</v>
      </c>
      <c r="J25">
        <f>(Table9[[#This Row],[Mass flow rate{Qb} (m3/day)]]*1.01325*288.15)/(1.01325*273.15)</f>
        <v>46701.796503912112</v>
      </c>
      <c r="K25">
        <f>(14.737*1.01325*0.997612687835682*288*Table9[[#This Row],[Mass flow rate(Sm3/day)]])/(273.15*70*B25*B25)</f>
        <v>0.46572759559990173</v>
      </c>
      <c r="L25">
        <f>Table9[[#This Row],[Velocity of methane{v}(m/sec)]]*0.677649444499187</f>
        <v>0.31560004644621542</v>
      </c>
      <c r="M25">
        <f>(0.677649444499187*Table9[[#This Row],[Velocity of methane{v}(m/sec)]]*B25)/Table9[[#This Row],[μ]]</f>
        <v>150</v>
      </c>
      <c r="N25" s="1">
        <v>0.13797463099999999</v>
      </c>
      <c r="O25">
        <f>(Table9[[#This Row],[Friction factor {f}]]*C25*0.677649444499187*Table9[[#This Row],[Velocity of methane{v}(m/sec)]]*Table9[[#This Row],[Velocity of methane{v}(m/sec)]])/(2*B25)</f>
        <v>1.0140007491261704E-2</v>
      </c>
      <c r="P25">
        <f>70-Table9[[#This Row],[Pressure drop (Δp) (bar)]]</f>
        <v>69.989859992508741</v>
      </c>
      <c r="Q25">
        <f>35/(Table9[[#This Row],[Pressure drop (Δp) (bar)]]/C25)</f>
        <v>517751.09678412584</v>
      </c>
      <c r="R25">
        <f>CEILING(C25 / Table9[[#This Row],[Lsegment(mm)]], 1)</f>
        <v>1</v>
      </c>
    </row>
    <row r="26" spans="1:18">
      <c r="A26" s="73">
        <v>30000</v>
      </c>
      <c r="B26" s="73">
        <f>200</f>
        <v>200</v>
      </c>
      <c r="C26" s="82">
        <f>150</f>
        <v>150</v>
      </c>
      <c r="D26" s="79">
        <v>2</v>
      </c>
      <c r="E26" s="3">
        <v>381.35408266399998</v>
      </c>
      <c r="F26" s="79">
        <f t="shared" si="0"/>
        <v>21.647270712108618</v>
      </c>
      <c r="G26" s="79">
        <f>Table10[[#This Row],[No of compressor stages{N}]]*(1.41/0.41)*(0.997612688/0.8)*305.15*Table10[[#This Row],[Molar flow{qM}(moles/sec)]]*8.314*0.19978130798</f>
        <v>94106.283758086196</v>
      </c>
      <c r="H26" s="79">
        <f>Table10[[#This Row],[Compressor Power(P)]]/0.95</f>
        <v>99059.246061143363</v>
      </c>
      <c r="I26">
        <f t="shared" si="1"/>
        <v>44270.677477159792</v>
      </c>
      <c r="J26">
        <f>(Table9[[#This Row],[Mass flow rate{Qb} (m3/day)]]*1.01325*288.15)/(1.01325*273.15)</f>
        <v>46701.796503912112</v>
      </c>
      <c r="K26">
        <f>(14.737*1.01325*0.997612687835682*288*Table9[[#This Row],[Mass flow rate(Sm3/day)]])/(273.15*70*B26*B26)</f>
        <v>0.26197177252494475</v>
      </c>
      <c r="L26">
        <f>Table9[[#This Row],[Velocity of methane{v}(m/sec)]]*0.677649444499187</f>
        <v>0.17752502612599619</v>
      </c>
      <c r="M26">
        <f>(0.677649444499187*Table9[[#This Row],[Velocity of methane{v}(m/sec)]]*B26)/Table9[[#This Row],[μ]]</f>
        <v>200.00000000000003</v>
      </c>
      <c r="N26" s="1">
        <v>0.12035120000000001</v>
      </c>
      <c r="O26">
        <f>(Table9[[#This Row],[Friction factor {f}]]*C26*0.677649444499187*Table9[[#This Row],[Velocity of methane{v}(m/sec)]]*Table9[[#This Row],[Velocity of methane{v}(m/sec)]])/(2*B26)</f>
        <v>2.09891947135622E-3</v>
      </c>
      <c r="P26">
        <f>70-Table9[[#This Row],[Pressure drop (Δp) (bar)]]</f>
        <v>69.997901080528649</v>
      </c>
      <c r="Q26">
        <f>35/(Table9[[#This Row],[Pressure drop (Δp) (bar)]]/C26)</f>
        <v>2501287.0058362479</v>
      </c>
      <c r="R26">
        <f>CEILING(C26 / Table9[[#This Row],[Lsegment(mm)]], 1)</f>
        <v>1</v>
      </c>
    </row>
    <row r="27" spans="1:18">
      <c r="A27" s="72">
        <v>100000</v>
      </c>
      <c r="B27" s="72">
        <v>150</v>
      </c>
      <c r="C27" s="81">
        <f>150</f>
        <v>150</v>
      </c>
      <c r="D27" s="79">
        <v>2</v>
      </c>
      <c r="E27" s="3">
        <v>381.35408266399998</v>
      </c>
      <c r="F27" s="79">
        <f t="shared" si="0"/>
        <v>72.157569040362063</v>
      </c>
      <c r="G27" s="79">
        <f>Table10[[#This Row],[No of compressor stages{N}]]*(1.41/0.41)*(0.997612688/0.8)*305.15*Table10[[#This Row],[Molar flow{qM}(moles/sec)]]*8.314*0.19978130798</f>
        <v>313687.61252695398</v>
      </c>
      <c r="H27" s="79">
        <f>Table10[[#This Row],[Compressor Power(P)]]/0.95</f>
        <v>330197.48687047791</v>
      </c>
      <c r="I27">
        <f t="shared" si="1"/>
        <v>147568.92492386597</v>
      </c>
      <c r="J27">
        <f>(Table9[[#This Row],[Mass flow rate{Qb} (m3/day)]]*1.01325*288.15)/(1.01325*273.15)</f>
        <v>155672.65501304038</v>
      </c>
      <c r="K27">
        <f>(14.737*1.01325*0.997612687835682*288*Table9[[#This Row],[Mass flow rate(Sm3/day)]])/(273.15*70*B27*B27)</f>
        <v>1.552425318666339</v>
      </c>
      <c r="L27">
        <f>Table9[[#This Row],[Velocity of methane{v}(m/sec)]]*0.677649444499187</f>
        <v>1.0520001548207178</v>
      </c>
      <c r="M27">
        <f>(0.677649444499187*Table9[[#This Row],[Velocity of methane{v}(m/sec)]]*B27)/Table9[[#This Row],[μ]]</f>
        <v>150</v>
      </c>
      <c r="N27" s="1">
        <v>0.13797463099999999</v>
      </c>
      <c r="O27">
        <f>(Table9[[#This Row],[Friction factor {f}]]*C27*0.677649444499187*Table9[[#This Row],[Velocity of methane{v}(m/sec)]]*Table9[[#This Row],[Velocity of methane{v}(m/sec)]])/(2*B27)</f>
        <v>0.11266674990290781</v>
      </c>
      <c r="P27">
        <f>70-Table9[[#This Row],[Pressure drop (Δp) (bar)]]</f>
        <v>69.887333250097086</v>
      </c>
      <c r="Q27">
        <f>35/(Table9[[#This Row],[Pressure drop (Δp) (bar)]]/C27)</f>
        <v>46597.598710571336</v>
      </c>
      <c r="R27">
        <f>CEILING(C27 / Table9[[#This Row],[Lsegment(mm)]], 1)</f>
        <v>1</v>
      </c>
    </row>
    <row r="28" spans="1:18">
      <c r="A28" s="73">
        <v>100000</v>
      </c>
      <c r="B28" s="73">
        <v>200</v>
      </c>
      <c r="C28" s="82">
        <f>150</f>
        <v>150</v>
      </c>
      <c r="D28" s="79">
        <v>2</v>
      </c>
      <c r="E28" s="3">
        <v>381.35408266399998</v>
      </c>
      <c r="F28" s="79">
        <f t="shared" si="0"/>
        <v>72.157569040362063</v>
      </c>
      <c r="G28" s="79">
        <f>Table10[[#This Row],[No of compressor stages{N}]]*(1.41/0.41)*(0.997612688/0.8)*305.15*Table10[[#This Row],[Molar flow{qM}(moles/sec)]]*8.314*0.19978130798</f>
        <v>313687.61252695398</v>
      </c>
      <c r="H28" s="79">
        <f>Table10[[#This Row],[Compressor Power(P)]]/0.95</f>
        <v>330197.48687047791</v>
      </c>
      <c r="I28">
        <f t="shared" si="1"/>
        <v>147568.92492386597</v>
      </c>
      <c r="J28">
        <f>(Table9[[#This Row],[Mass flow rate{Qb} (m3/day)]]*1.01325*288.15)/(1.01325*273.15)</f>
        <v>155672.65501304038</v>
      </c>
      <c r="K28">
        <f>(14.737*1.01325*0.997612687835682*288*Table9[[#This Row],[Mass flow rate(Sm3/day)]])/(273.15*70*B28*B28)</f>
        <v>0.87323924174981571</v>
      </c>
      <c r="L28">
        <f>Table9[[#This Row],[Velocity of methane{v}(m/sec)]]*0.677649444499187</f>
        <v>0.59175008708665389</v>
      </c>
      <c r="M28">
        <f>(0.677649444499187*Table9[[#This Row],[Velocity of methane{v}(m/sec)]]*B28)/Table9[[#This Row],[μ]]</f>
        <v>200</v>
      </c>
      <c r="N28" s="1">
        <v>0.12035120000000001</v>
      </c>
      <c r="O28">
        <f>(Table9[[#This Row],[Friction factor {f}]]*C28*0.677649444499187*Table9[[#This Row],[Velocity of methane{v}(m/sec)]]*Table9[[#This Row],[Velocity of methane{v}(m/sec)]])/(2*B28)</f>
        <v>2.3321327459513552E-2</v>
      </c>
      <c r="P28">
        <f>70-Table9[[#This Row],[Pressure drop (Δp) (bar)]]</f>
        <v>69.976678672540487</v>
      </c>
      <c r="Q28">
        <f>35/(Table9[[#This Row],[Pressure drop (Δp) (bar)]]/C28)</f>
        <v>225115.83052526237</v>
      </c>
      <c r="R28">
        <f>CEILING(C28 / Table9[[#This Row],[Lsegment(mm)]], 1)</f>
        <v>1</v>
      </c>
    </row>
    <row r="29" spans="1:18">
      <c r="A29" s="72">
        <v>10000</v>
      </c>
      <c r="B29" s="72">
        <f>100</f>
        <v>100</v>
      </c>
      <c r="C29" s="81">
        <f>200</f>
        <v>200</v>
      </c>
      <c r="D29" s="79">
        <v>2</v>
      </c>
      <c r="E29" s="3">
        <v>381.35408266399998</v>
      </c>
      <c r="F29" s="79">
        <f t="shared" si="0"/>
        <v>7.2157569040362057</v>
      </c>
      <c r="G29" s="79">
        <f>Table10[[#This Row],[No of compressor stages{N}]]*(1.41/0.41)*(0.997612688/0.8)*305.15*Table10[[#This Row],[Molar flow{qM}(moles/sec)]]*8.314*0.19978130798</f>
        <v>31368.761252695396</v>
      </c>
      <c r="H29" s="79">
        <f>Table10[[#This Row],[Compressor Power(P)]]/0.95</f>
        <v>33019.748687047788</v>
      </c>
      <c r="I29">
        <f t="shared" si="1"/>
        <v>14756.892492386596</v>
      </c>
      <c r="J29">
        <f>(Table9[[#This Row],[Mass flow rate{Qb} (m3/day)]]*1.01325*288.15)/(1.01325*273.15)</f>
        <v>15567.265501304038</v>
      </c>
      <c r="K29">
        <f>(14.737*1.01325*0.997612687835682*288*Table9[[#This Row],[Mass flow rate(Sm3/day)]])/(273.15*70*B29*B29)</f>
        <v>0.34929569669992633</v>
      </c>
      <c r="L29">
        <f>Table9[[#This Row],[Velocity of methane{v}(m/sec)]]*0.677649444499187</f>
        <v>0.23670003483466157</v>
      </c>
      <c r="M29">
        <f>(0.677649444499187*Table9[[#This Row],[Velocity of methane{v}(m/sec)]]*B29)/Table9[[#This Row],[μ]]</f>
        <v>100</v>
      </c>
      <c r="N29" s="1">
        <v>0.169369875</v>
      </c>
      <c r="O29">
        <f>(Table9[[#This Row],[Friction factor {f}]]*C29*0.677649444499187*Table9[[#This Row],[Velocity of methane{v}(m/sec)]]*Table9[[#This Row],[Velocity of methane{v}(m/sec)]])/(2*B29)</f>
        <v>1.4003213941958765E-2</v>
      </c>
      <c r="P29">
        <f>70-Table9[[#This Row],[Pressure drop (Δp) (bar)]]</f>
        <v>69.985996786058038</v>
      </c>
      <c r="Q29">
        <f>35/(Table9[[#This Row],[Pressure drop (Δp) (bar)]]/C29)</f>
        <v>499885.24270313641</v>
      </c>
      <c r="R29">
        <f>CEILING(C29 / Table9[[#This Row],[Lsegment(mm)]], 1)</f>
        <v>1</v>
      </c>
    </row>
    <row r="30" spans="1:18" ht="15.75" customHeight="1">
      <c r="A30" s="73">
        <v>10000</v>
      </c>
      <c r="B30" s="73">
        <f>150</f>
        <v>150</v>
      </c>
      <c r="C30" s="82">
        <f>200</f>
        <v>200</v>
      </c>
      <c r="D30" s="79">
        <v>2</v>
      </c>
      <c r="E30" s="3">
        <v>381.35408266399998</v>
      </c>
      <c r="F30" s="79">
        <f t="shared" si="0"/>
        <v>7.2157569040362057</v>
      </c>
      <c r="G30" s="79">
        <f>Table10[[#This Row],[No of compressor stages{N}]]*(1.41/0.41)*(0.997612688/0.8)*305.15*Table10[[#This Row],[Molar flow{qM}(moles/sec)]]*8.314*0.19978130798</f>
        <v>31368.761252695396</v>
      </c>
      <c r="H30" s="79">
        <f>Table10[[#This Row],[Compressor Power(P)]]/0.95</f>
        <v>33019.748687047788</v>
      </c>
      <c r="I30">
        <f t="shared" si="1"/>
        <v>14756.892492386596</v>
      </c>
      <c r="J30">
        <f>(Table9[[#This Row],[Mass flow rate{Qb} (m3/day)]]*1.01325*288.15)/(1.01325*273.15)</f>
        <v>15567.265501304038</v>
      </c>
      <c r="K30">
        <f>(14.737*1.01325*0.997612687835682*288*Table9[[#This Row],[Mass flow rate(Sm3/day)]])/(273.15*70*B30*B30)</f>
        <v>0.15524253186663392</v>
      </c>
      <c r="L30">
        <f>Table9[[#This Row],[Velocity of methane{v}(m/sec)]]*0.677649444499187</f>
        <v>0.10520001548207181</v>
      </c>
      <c r="M30">
        <f>(0.677649444499187*Table9[[#This Row],[Velocity of methane{v}(m/sec)]]*B30)/Table9[[#This Row],[μ]]</f>
        <v>150</v>
      </c>
      <c r="N30" s="1">
        <v>0.13797463099999999</v>
      </c>
      <c r="O30">
        <f>(Table9[[#This Row],[Friction factor {f}]]*C30*0.677649444499187*Table9[[#This Row],[Velocity of methane{v}(m/sec)]]*Table9[[#This Row],[Velocity of methane{v}(m/sec)]])/(2*B30)</f>
        <v>1.5022233320387713E-3</v>
      </c>
      <c r="P30">
        <f>70-Table9[[#This Row],[Pressure drop (Δp) (bar)]]</f>
        <v>69.998497776667961</v>
      </c>
      <c r="Q30">
        <f>35/(Table9[[#This Row],[Pressure drop (Δp) (bar)]]/C30)</f>
        <v>4659759.8710571323</v>
      </c>
      <c r="R30">
        <f>CEILING(C30 / Table9[[#This Row],[Lsegment(mm)]], 1)</f>
        <v>1</v>
      </c>
    </row>
    <row r="31" spans="1:18">
      <c r="A31" s="72">
        <v>10000</v>
      </c>
      <c r="B31" s="72">
        <f>200</f>
        <v>200</v>
      </c>
      <c r="C31" s="81">
        <f>200</f>
        <v>200</v>
      </c>
      <c r="D31" s="79">
        <v>2</v>
      </c>
      <c r="E31" s="3">
        <v>381.35408266399998</v>
      </c>
      <c r="F31" s="79">
        <f t="shared" si="0"/>
        <v>7.2157569040362057</v>
      </c>
      <c r="G31" s="79">
        <f>Table10[[#This Row],[No of compressor stages{N}]]*(1.41/0.41)*(0.997612688/0.8)*305.15*Table10[[#This Row],[Molar flow{qM}(moles/sec)]]*8.314*0.19978130798</f>
        <v>31368.761252695396</v>
      </c>
      <c r="H31" s="79">
        <f>Table10[[#This Row],[Compressor Power(P)]]/0.95</f>
        <v>33019.748687047788</v>
      </c>
      <c r="I31">
        <f t="shared" si="1"/>
        <v>14756.892492386596</v>
      </c>
      <c r="J31">
        <f>(Table9[[#This Row],[Mass flow rate{Qb} (m3/day)]]*1.01325*288.15)/(1.01325*273.15)</f>
        <v>15567.265501304038</v>
      </c>
      <c r="K31">
        <f>(14.737*1.01325*0.997612687835682*288*Table9[[#This Row],[Mass flow rate(Sm3/day)]])/(273.15*70*B31*B31)</f>
        <v>8.7323924174981582E-2</v>
      </c>
      <c r="L31">
        <f>Table9[[#This Row],[Velocity of methane{v}(m/sec)]]*0.677649444499187</f>
        <v>5.9175008708665391E-2</v>
      </c>
      <c r="M31">
        <f>(0.677649444499187*Table9[[#This Row],[Velocity of methane{v}(m/sec)]]*B31)/Table9[[#This Row],[μ]]</f>
        <v>200</v>
      </c>
      <c r="N31" s="1">
        <v>0.12035120000000001</v>
      </c>
      <c r="O31">
        <f>(Table9[[#This Row],[Friction factor {f}]]*C31*0.677649444499187*Table9[[#This Row],[Velocity of methane{v}(m/sec)]]*Table9[[#This Row],[Velocity of methane{v}(m/sec)]])/(2*B31)</f>
        <v>3.1095103279351406E-4</v>
      </c>
      <c r="P31">
        <f>70-Table9[[#This Row],[Pressure drop (Δp) (bar)]]</f>
        <v>69.999689048967213</v>
      </c>
      <c r="Q31">
        <f>35/(Table9[[#This Row],[Pressure drop (Δp) (bar)]]/C31)</f>
        <v>22511583.052526232</v>
      </c>
      <c r="R31">
        <f>CEILING(C31 / Table9[[#This Row],[Lsegment(mm)]], 1)</f>
        <v>1</v>
      </c>
    </row>
    <row r="32" spans="1:18">
      <c r="A32" s="73">
        <v>30000</v>
      </c>
      <c r="B32" s="73">
        <v>100</v>
      </c>
      <c r="C32" s="82">
        <f>200</f>
        <v>200</v>
      </c>
      <c r="D32" s="79">
        <v>2</v>
      </c>
      <c r="E32" s="3">
        <v>381.35408266399998</v>
      </c>
      <c r="F32" s="79">
        <f t="shared" si="0"/>
        <v>21.647270712108618</v>
      </c>
      <c r="G32" s="79">
        <f>Table10[[#This Row],[No of compressor stages{N}]]*(1.41/0.41)*(0.997612688/0.8)*305.15*Table10[[#This Row],[Molar flow{qM}(moles/sec)]]*8.314*0.19978130798</f>
        <v>94106.283758086196</v>
      </c>
      <c r="H32" s="79">
        <f>Table10[[#This Row],[Compressor Power(P)]]/0.95</f>
        <v>99059.246061143363</v>
      </c>
      <c r="I32">
        <f t="shared" si="1"/>
        <v>44270.677477159792</v>
      </c>
      <c r="J32">
        <f>(Table9[[#This Row],[Mass flow rate{Qb} (m3/day)]]*1.01325*288.15)/(1.01325*273.15)</f>
        <v>46701.796503912112</v>
      </c>
      <c r="K32">
        <f>(14.737*1.01325*0.997612687835682*288*Table9[[#This Row],[Mass flow rate(Sm3/day)]])/(273.15*70*B32*B32)</f>
        <v>1.047887090099779</v>
      </c>
      <c r="L32">
        <f>Table9[[#This Row],[Velocity of methane{v}(m/sec)]]*0.677649444499187</f>
        <v>0.71010010450398475</v>
      </c>
      <c r="M32">
        <f>(0.677649444499187*Table9[[#This Row],[Velocity of methane{v}(m/sec)]]*B32)/Table9[[#This Row],[μ]]</f>
        <v>100.00000000000001</v>
      </c>
      <c r="N32" s="1">
        <v>0.169369875</v>
      </c>
      <c r="O32">
        <f>(Table9[[#This Row],[Friction factor {f}]]*C32*0.677649444499187*Table9[[#This Row],[Velocity of methane{v}(m/sec)]]*Table9[[#This Row],[Velocity of methane{v}(m/sec)]])/(2*B32)</f>
        <v>0.12602892547762889</v>
      </c>
      <c r="P32">
        <f>70-Table9[[#This Row],[Pressure drop (Δp) (bar)]]</f>
        <v>69.873971074522373</v>
      </c>
      <c r="Q32">
        <f>35/(Table9[[#This Row],[Pressure drop (Δp) (bar)]]/C32)</f>
        <v>55542.80474479292</v>
      </c>
      <c r="R32">
        <f>CEILING(C32 / Table9[[#This Row],[Lsegment(mm)]], 1)</f>
        <v>1</v>
      </c>
    </row>
    <row r="33" spans="1:18">
      <c r="A33" s="72">
        <v>30000</v>
      </c>
      <c r="B33" s="72">
        <f>150</f>
        <v>150</v>
      </c>
      <c r="C33" s="81">
        <f>200</f>
        <v>200</v>
      </c>
      <c r="D33" s="79">
        <v>2</v>
      </c>
      <c r="E33" s="3">
        <v>381.35408266399998</v>
      </c>
      <c r="F33" s="79">
        <f t="shared" si="0"/>
        <v>21.647270712108618</v>
      </c>
      <c r="G33" s="79">
        <f>Table10[[#This Row],[No of compressor stages{N}]]*(1.41/0.41)*(0.997612688/0.8)*305.15*Table10[[#This Row],[Molar flow{qM}(moles/sec)]]*8.314*0.19978130798</f>
        <v>94106.283758086196</v>
      </c>
      <c r="H33" s="79">
        <f>Table10[[#This Row],[Compressor Power(P)]]/0.95</f>
        <v>99059.246061143363</v>
      </c>
      <c r="I33">
        <f t="shared" si="1"/>
        <v>44270.677477159792</v>
      </c>
      <c r="J33">
        <f>(Table9[[#This Row],[Mass flow rate{Qb} (m3/day)]]*1.01325*288.15)/(1.01325*273.15)</f>
        <v>46701.796503912112</v>
      </c>
      <c r="K33">
        <f>(14.737*1.01325*0.997612687835682*288*Table9[[#This Row],[Mass flow rate(Sm3/day)]])/(273.15*70*B33*B33)</f>
        <v>0.46572759559990173</v>
      </c>
      <c r="L33">
        <f>Table9[[#This Row],[Velocity of methane{v}(m/sec)]]*0.677649444499187</f>
        <v>0.31560004644621542</v>
      </c>
      <c r="M33">
        <f>(0.677649444499187*Table9[[#This Row],[Velocity of methane{v}(m/sec)]]*B33)/Table9[[#This Row],[μ]]</f>
        <v>150</v>
      </c>
      <c r="N33" s="1">
        <v>0.13797463099999999</v>
      </c>
      <c r="O33">
        <f>(Table9[[#This Row],[Friction factor {f}]]*C33*0.677649444499187*Table9[[#This Row],[Velocity of methane{v}(m/sec)]]*Table9[[#This Row],[Velocity of methane{v}(m/sec)]])/(2*B33)</f>
        <v>1.3520009988348939E-2</v>
      </c>
      <c r="P33">
        <f>70-Table9[[#This Row],[Pressure drop (Δp) (bar)]]</f>
        <v>69.986479990011645</v>
      </c>
      <c r="Q33">
        <f>35/(Table9[[#This Row],[Pressure drop (Δp) (bar)]]/C33)</f>
        <v>517751.09678412584</v>
      </c>
      <c r="R33">
        <f>CEILING(C33 / Table9[[#This Row],[Lsegment(mm)]], 1)</f>
        <v>1</v>
      </c>
    </row>
    <row r="34" spans="1:18">
      <c r="A34" s="73">
        <v>30000</v>
      </c>
      <c r="B34" s="73">
        <f>200</f>
        <v>200</v>
      </c>
      <c r="C34" s="82">
        <f>200</f>
        <v>200</v>
      </c>
      <c r="D34" s="79">
        <v>2</v>
      </c>
      <c r="E34" s="3">
        <v>381.35408266399998</v>
      </c>
      <c r="F34" s="79">
        <f t="shared" si="0"/>
        <v>21.647270712108618</v>
      </c>
      <c r="G34" s="79">
        <f>Table10[[#This Row],[No of compressor stages{N}]]*(1.41/0.41)*(0.997612688/0.8)*305.15*Table10[[#This Row],[Molar flow{qM}(moles/sec)]]*8.314*0.19978130798</f>
        <v>94106.283758086196</v>
      </c>
      <c r="H34" s="79">
        <f>Table10[[#This Row],[Compressor Power(P)]]/0.95</f>
        <v>99059.246061143363</v>
      </c>
      <c r="I34">
        <f t="shared" si="1"/>
        <v>44270.677477159792</v>
      </c>
      <c r="J34">
        <f>(Table9[[#This Row],[Mass flow rate{Qb} (m3/day)]]*1.01325*288.15)/(1.01325*273.15)</f>
        <v>46701.796503912112</v>
      </c>
      <c r="K34">
        <f>(14.737*1.01325*0.997612687835682*288*Table9[[#This Row],[Mass flow rate(Sm3/day)]])/(273.15*70*B34*B34)</f>
        <v>0.26197177252494475</v>
      </c>
      <c r="L34">
        <f>Table9[[#This Row],[Velocity of methane{v}(m/sec)]]*0.677649444499187</f>
        <v>0.17752502612599619</v>
      </c>
      <c r="M34">
        <f>(0.677649444499187*Table9[[#This Row],[Velocity of methane{v}(m/sec)]]*B34)/Table9[[#This Row],[μ]]</f>
        <v>200.00000000000003</v>
      </c>
      <c r="N34" s="1">
        <v>0.12035120000000001</v>
      </c>
      <c r="O34">
        <f>(Table9[[#This Row],[Friction factor {f}]]*C34*0.677649444499187*Table9[[#This Row],[Velocity of methane{v}(m/sec)]]*Table9[[#This Row],[Velocity of methane{v}(m/sec)]])/(2*B34)</f>
        <v>2.7985592951416268E-3</v>
      </c>
      <c r="P34">
        <f>70-Table9[[#This Row],[Pressure drop (Δp) (bar)]]</f>
        <v>69.997201440704856</v>
      </c>
      <c r="Q34">
        <f>35/(Table9[[#This Row],[Pressure drop (Δp) (bar)]]/C34)</f>
        <v>2501287.0058362479</v>
      </c>
      <c r="R34">
        <f>CEILING(C34 / Table9[[#This Row],[Lsegment(mm)]], 1)</f>
        <v>1</v>
      </c>
    </row>
    <row r="35" spans="1:18">
      <c r="A35" s="72">
        <v>100000</v>
      </c>
      <c r="B35" s="72">
        <v>150</v>
      </c>
      <c r="C35" s="81">
        <f>200</f>
        <v>200</v>
      </c>
      <c r="D35" s="79">
        <v>2</v>
      </c>
      <c r="E35" s="3">
        <v>381.35408266399998</v>
      </c>
      <c r="F35" s="79">
        <f t="shared" si="0"/>
        <v>72.157569040362063</v>
      </c>
      <c r="G35" s="79">
        <f>Table10[[#This Row],[No of compressor stages{N}]]*(1.41/0.41)*(0.997612688/0.8)*305.15*Table10[[#This Row],[Molar flow{qM}(moles/sec)]]*8.314*0.19978130798</f>
        <v>313687.61252695398</v>
      </c>
      <c r="H35" s="79">
        <f>Table10[[#This Row],[Compressor Power(P)]]/0.95</f>
        <v>330197.48687047791</v>
      </c>
      <c r="I35">
        <f t="shared" si="1"/>
        <v>147568.92492386597</v>
      </c>
      <c r="J35">
        <f>(Table9[[#This Row],[Mass flow rate{Qb} (m3/day)]]*1.01325*288.15)/(1.01325*273.15)</f>
        <v>155672.65501304038</v>
      </c>
      <c r="K35">
        <f>(14.737*1.01325*0.997612687835682*288*Table9[[#This Row],[Mass flow rate(Sm3/day)]])/(273.15*70*B35*B35)</f>
        <v>1.552425318666339</v>
      </c>
      <c r="L35">
        <f>Table9[[#This Row],[Velocity of methane{v}(m/sec)]]*0.677649444499187</f>
        <v>1.0520001548207178</v>
      </c>
      <c r="M35">
        <f>(0.677649444499187*Table9[[#This Row],[Velocity of methane{v}(m/sec)]]*B35)/Table9[[#This Row],[μ]]</f>
        <v>150</v>
      </c>
      <c r="N35" s="1">
        <v>0.13797463099999999</v>
      </c>
      <c r="O35">
        <f>(Table9[[#This Row],[Friction factor {f}]]*C35*0.677649444499187*Table9[[#This Row],[Velocity of methane{v}(m/sec)]]*Table9[[#This Row],[Velocity of methane{v}(m/sec)]])/(2*B35)</f>
        <v>0.15022233320387707</v>
      </c>
      <c r="P35">
        <f>70-Table9[[#This Row],[Pressure drop (Δp) (bar)]]</f>
        <v>69.849777666796129</v>
      </c>
      <c r="Q35">
        <f>35/(Table9[[#This Row],[Pressure drop (Δp) (bar)]]/C35)</f>
        <v>46597.598710571343</v>
      </c>
      <c r="R35">
        <f>CEILING(C35 / Table9[[#This Row],[Lsegment(mm)]], 1)</f>
        <v>1</v>
      </c>
    </row>
    <row r="36" spans="1:18">
      <c r="A36" s="73">
        <v>100000</v>
      </c>
      <c r="B36" s="73">
        <v>200</v>
      </c>
      <c r="C36" s="82">
        <f>200</f>
        <v>200</v>
      </c>
      <c r="D36" s="79">
        <v>2</v>
      </c>
      <c r="E36" s="3">
        <v>381.35408266399998</v>
      </c>
      <c r="F36" s="79">
        <f t="shared" si="0"/>
        <v>72.157569040362063</v>
      </c>
      <c r="G36" s="79">
        <f>Table10[[#This Row],[No of compressor stages{N}]]*(1.41/0.41)*(0.997612688/0.8)*305.15*Table10[[#This Row],[Molar flow{qM}(moles/sec)]]*8.314*0.19978130798</f>
        <v>313687.61252695398</v>
      </c>
      <c r="H36" s="79">
        <f>Table10[[#This Row],[Compressor Power(P)]]/0.95</f>
        <v>330197.48687047791</v>
      </c>
      <c r="I36">
        <f t="shared" si="1"/>
        <v>147568.92492386597</v>
      </c>
      <c r="J36">
        <f>(Table9[[#This Row],[Mass flow rate{Qb} (m3/day)]]*1.01325*288.15)/(1.01325*273.15)</f>
        <v>155672.65501304038</v>
      </c>
      <c r="K36">
        <f>(14.737*1.01325*0.997612687835682*288*Table9[[#This Row],[Mass flow rate(Sm3/day)]])/(273.15*70*B36*B36)</f>
        <v>0.87323924174981571</v>
      </c>
      <c r="L36">
        <f>Table9[[#This Row],[Velocity of methane{v}(m/sec)]]*0.677649444499187</f>
        <v>0.59175008708665389</v>
      </c>
      <c r="M36">
        <f>(0.677649444499187*Table9[[#This Row],[Velocity of methane{v}(m/sec)]]*B36)/Table9[[#This Row],[μ]]</f>
        <v>200</v>
      </c>
      <c r="N36" s="1">
        <v>0.12035120000000001</v>
      </c>
      <c r="O36">
        <f>(Table9[[#This Row],[Friction factor {f}]]*C36*0.677649444499187*Table9[[#This Row],[Velocity of methane{v}(m/sec)]]*Table9[[#This Row],[Velocity of methane{v}(m/sec)]])/(2*B36)</f>
        <v>3.1095103279351399E-2</v>
      </c>
      <c r="P36">
        <f>70-Table9[[#This Row],[Pressure drop (Δp) (bar)]]</f>
        <v>69.968904896720645</v>
      </c>
      <c r="Q36">
        <f>35/(Table9[[#This Row],[Pressure drop (Δp) (bar)]]/C36)</f>
        <v>225115.83052526237</v>
      </c>
      <c r="R36">
        <f>CEILING(C36 / Table9[[#This Row],[Lsegment(mm)]], 1)</f>
        <v>1</v>
      </c>
    </row>
    <row r="38" spans="1:18">
      <c r="B38" t="s">
        <v>511</v>
      </c>
      <c r="C38">
        <v>273.14999999999998</v>
      </c>
      <c r="D38" t="s">
        <v>512</v>
      </c>
    </row>
    <row r="39" spans="1:18">
      <c r="B39" t="s">
        <v>513</v>
      </c>
      <c r="C39">
        <v>1.01325</v>
      </c>
      <c r="D39" t="s">
        <v>514</v>
      </c>
    </row>
    <row r="40" spans="1:18">
      <c r="B40" t="s">
        <v>515</v>
      </c>
      <c r="C40">
        <v>0.71745877714291695</v>
      </c>
      <c r="D40" t="s">
        <v>516</v>
      </c>
    </row>
    <row r="41" spans="1:18">
      <c r="B41" t="s">
        <v>517</v>
      </c>
      <c r="C41">
        <v>1.31</v>
      </c>
    </row>
    <row r="42" spans="1:18" ht="27.75">
      <c r="B42" s="33" t="s">
        <v>518</v>
      </c>
      <c r="C42">
        <v>0.99761268783568202</v>
      </c>
      <c r="E42" s="33"/>
      <c r="F42" s="33"/>
      <c r="G42" s="33"/>
      <c r="H42" s="3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2025-05-25T03:42:06Z</dcterms:created>
  <dcterms:modified xsi:type="dcterms:W3CDTF">2025-07-15T04:52:45Z</dcterms:modified>
  <cp:category/>
  <cp:contentStatus/>
</cp:coreProperties>
</file>