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opbo\Downloads\"/>
    </mc:Choice>
  </mc:AlternateContent>
  <xr:revisionPtr revIDLastSave="0" documentId="8_{D6D70228-82AF-4951-89E8-D65B02987C68}" xr6:coauthVersionLast="47" xr6:coauthVersionMax="47" xr10:uidLastSave="{00000000-0000-0000-0000-000000000000}"/>
  <workbookProtection workbookAlgorithmName="SHA-512" workbookHashValue="ha7pm5iEs6UAr9bqProTFZ/bT6988edJrEiN4AyrrRRpApFT5c7GSs5tCCCfXHYKX33pK7dv56DWhyFO/7htdg==" workbookSaltValue="Zj4ulIKOGiY50AAMNxTZ1w==" workbookSpinCount="100000" lockStructure="1"/>
  <bookViews>
    <workbookView xWindow="-110" yWindow="-110" windowWidth="19420" windowHeight="10300" tabRatio="758" activeTab="2" xr2:uid="{00000000-000D-0000-FFFF-FFFF00000000}"/>
  </bookViews>
  <sheets>
    <sheet name="imported Data" sheetId="15" r:id="rId1"/>
    <sheet name="Scenario Summary " sheetId="25" r:id="rId2"/>
    <sheet name="Spearman's" sheetId="5" r:id="rId3"/>
    <sheet name="Pearsons" sheetId="6" r:id="rId4"/>
    <sheet name="Test of Population Proportion" sheetId="4" r:id="rId5"/>
    <sheet name="UNPAIRED T TEST CALCULATOR" sheetId="2" r:id="rId6"/>
    <sheet name="PAIRED T TEST CALCULATOR" sheetId="3" r:id="rId7"/>
    <sheet name="Mann Whitney" sheetId="7" r:id="rId8"/>
    <sheet name="Wilcoxon" sheetId="8" r:id="rId9"/>
    <sheet name="sign" sheetId="9" r:id="rId10"/>
    <sheet name="chi square" sheetId="10" r:id="rId11"/>
    <sheet name="Complex chi square" sheetId="13" r:id="rId12"/>
  </sheets>
  <definedNames>
    <definedName name="Chi_value">'chi square'!$H$11</definedName>
    <definedName name="Critical_Value">'chi square'!$H$24</definedName>
    <definedName name="Decision_rule">'chi square'!$G$28</definedName>
    <definedName name="DF">'chi square'!$H$22</definedName>
    <definedName name="ExternalData_1" localSheetId="0" hidden="1">'imported Data'!$A$1:$Q$77</definedName>
    <definedName name="Female_Against">'chi square'!$D$6</definedName>
    <definedName name="Female_Oppose">'chi square'!$C$6</definedName>
    <definedName name="Male_Against">'chi square'!$D$5</definedName>
    <definedName name="Male_oppose">'chi square'!$C$5</definedName>
    <definedName name="One_or_twotailed">'chi square'!$G$13</definedName>
    <definedName name="SignificanceLevel">'chi square'!$H$17</definedName>
    <definedName name="Significant_0r_Not">'chi square'!$H$25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0" l="1"/>
  <c r="H23" i="10"/>
  <c r="B11" i="6"/>
  <c r="D11" i="6" s="1"/>
  <c r="A11" i="6"/>
  <c r="C11" i="6" s="1"/>
  <c r="D3" i="6"/>
  <c r="D4" i="6"/>
  <c r="D5" i="6"/>
  <c r="D6" i="6"/>
  <c r="D7" i="6"/>
  <c r="D8" i="6"/>
  <c r="D9" i="6"/>
  <c r="D10" i="6"/>
  <c r="C3" i="6"/>
  <c r="C4" i="6"/>
  <c r="C5" i="6"/>
  <c r="C6" i="6"/>
  <c r="C7" i="6"/>
  <c r="C8" i="6"/>
  <c r="C9" i="6"/>
  <c r="C10" i="6"/>
  <c r="R30" i="4" l="1"/>
  <c r="W31" i="4" s="1"/>
  <c r="T27" i="4"/>
  <c r="T26" i="4"/>
  <c r="I7" i="8" l="1"/>
  <c r="J8" i="9"/>
  <c r="C12" i="9"/>
  <c r="F12" i="9" s="1"/>
  <c r="D7" i="10"/>
  <c r="C7" i="10"/>
  <c r="L5" i="10"/>
  <c r="H20" i="10"/>
  <c r="D12" i="9" l="1"/>
  <c r="N19" i="13"/>
  <c r="K5" i="7" l="1"/>
  <c r="M18" i="5"/>
  <c r="H5" i="7"/>
  <c r="G5" i="7"/>
  <c r="O6" i="10"/>
  <c r="O7" i="10"/>
  <c r="N6" i="10"/>
  <c r="N7" i="10"/>
  <c r="O15" i="13" l="1"/>
  <c r="O14" i="13"/>
  <c r="M19" i="5"/>
  <c r="O16" i="13" l="1"/>
  <c r="O18" i="13" s="1"/>
  <c r="Q7" i="13"/>
  <c r="R7" i="13"/>
  <c r="S7" i="13"/>
  <c r="T7" i="13"/>
  <c r="Q8" i="13"/>
  <c r="R8" i="13"/>
  <c r="S8" i="13"/>
  <c r="T8" i="13"/>
  <c r="Q9" i="13"/>
  <c r="R9" i="13"/>
  <c r="S9" i="13"/>
  <c r="T9" i="13"/>
  <c r="Q10" i="13"/>
  <c r="R10" i="13"/>
  <c r="S10" i="13"/>
  <c r="T10" i="13"/>
  <c r="Q11" i="13"/>
  <c r="R11" i="13"/>
  <c r="S11" i="13"/>
  <c r="T11" i="13"/>
  <c r="Q12" i="13"/>
  <c r="R12" i="13"/>
  <c r="S12" i="13"/>
  <c r="T12" i="13"/>
  <c r="Q13" i="13"/>
  <c r="R13" i="13"/>
  <c r="S13" i="13"/>
  <c r="T13" i="13"/>
  <c r="Q14" i="13"/>
  <c r="R14" i="13"/>
  <c r="S14" i="13"/>
  <c r="T14" i="13"/>
  <c r="Q15" i="13"/>
  <c r="R15" i="13"/>
  <c r="S15" i="13"/>
  <c r="T15" i="13"/>
  <c r="Q16" i="13"/>
  <c r="R16" i="13"/>
  <c r="S16" i="13"/>
  <c r="T16" i="13"/>
  <c r="Q17" i="13"/>
  <c r="R17" i="13"/>
  <c r="S17" i="13"/>
  <c r="T17" i="13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R6" i="13"/>
  <c r="S6" i="13"/>
  <c r="T6" i="13"/>
  <c r="Q6" i="13"/>
  <c r="F8" i="9" l="1"/>
  <c r="C4" i="9"/>
  <c r="D4" i="9" s="1"/>
  <c r="C5" i="9"/>
  <c r="F5" i="9" s="1"/>
  <c r="C6" i="9"/>
  <c r="F6" i="9" s="1"/>
  <c r="C7" i="9"/>
  <c r="D7" i="9" s="1"/>
  <c r="C8" i="9"/>
  <c r="D8" i="9" s="1"/>
  <c r="C9" i="9"/>
  <c r="F9" i="9" s="1"/>
  <c r="C10" i="9"/>
  <c r="F10" i="9" s="1"/>
  <c r="C11" i="9"/>
  <c r="D11" i="9" s="1"/>
  <c r="C3" i="9"/>
  <c r="D3" i="9" s="1"/>
  <c r="F7" i="9" l="1"/>
  <c r="D6" i="9"/>
  <c r="D5" i="9"/>
  <c r="D10" i="9"/>
  <c r="E10" i="9" s="1"/>
  <c r="G10" i="9" s="1"/>
  <c r="F4" i="9"/>
  <c r="E3" i="9"/>
  <c r="F3" i="9"/>
  <c r="F11" i="9"/>
  <c r="D9" i="9"/>
  <c r="M7" i="10"/>
  <c r="L6" i="10"/>
  <c r="L7" i="10"/>
  <c r="C15" i="13"/>
  <c r="C30" i="13" s="1"/>
  <c r="D15" i="13"/>
  <c r="D30" i="13" s="1"/>
  <c r="E15" i="13"/>
  <c r="E30" i="13" s="1"/>
  <c r="F15" i="13"/>
  <c r="F30" i="13" s="1"/>
  <c r="G15" i="13"/>
  <c r="G30" i="13" s="1"/>
  <c r="H15" i="13"/>
  <c r="H30" i="13" s="1"/>
  <c r="I15" i="13"/>
  <c r="I30" i="13" s="1"/>
  <c r="J15" i="13"/>
  <c r="J30" i="13" s="1"/>
  <c r="K15" i="13"/>
  <c r="K30" i="13" s="1"/>
  <c r="L6" i="13"/>
  <c r="L21" i="13" s="1"/>
  <c r="L7" i="13"/>
  <c r="L22" i="13" s="1"/>
  <c r="L8" i="13"/>
  <c r="L23" i="13" s="1"/>
  <c r="L9" i="13"/>
  <c r="L24" i="13" s="1"/>
  <c r="L10" i="13"/>
  <c r="L25" i="13" s="1"/>
  <c r="L11" i="13"/>
  <c r="L26" i="13" s="1"/>
  <c r="L12" i="13"/>
  <c r="L27" i="13" s="1"/>
  <c r="L13" i="13"/>
  <c r="L28" i="13" s="1"/>
  <c r="L14" i="13"/>
  <c r="L29" i="13" s="1"/>
  <c r="L5" i="13"/>
  <c r="L20" i="13" s="1"/>
  <c r="B15" i="13"/>
  <c r="B30" i="13" s="1"/>
  <c r="E9" i="9" l="1"/>
  <c r="G9" i="9" s="1"/>
  <c r="E5" i="9"/>
  <c r="G5" i="9" s="1"/>
  <c r="E8" i="9"/>
  <c r="G8" i="9" s="1"/>
  <c r="E7" i="9"/>
  <c r="G7" i="9" s="1"/>
  <c r="E4" i="9"/>
  <c r="G4" i="9" s="1"/>
  <c r="E12" i="9"/>
  <c r="G12" i="9" s="1"/>
  <c r="G3" i="9"/>
  <c r="E6" i="9"/>
  <c r="G6" i="9" s="1"/>
  <c r="E11" i="9"/>
  <c r="G11" i="9" s="1"/>
  <c r="L15" i="13"/>
  <c r="L30" i="13" s="1"/>
  <c r="B28" i="13" s="1"/>
  <c r="B43" i="13" s="1"/>
  <c r="M5" i="10"/>
  <c r="N5" i="10"/>
  <c r="O5" i="10"/>
  <c r="J4" i="9" l="1"/>
  <c r="K4" i="9" s="1"/>
  <c r="J7" i="9" s="1"/>
  <c r="J3" i="9"/>
  <c r="K3" i="9" s="1"/>
  <c r="G23" i="13"/>
  <c r="G38" i="13" s="1"/>
  <c r="B25" i="13"/>
  <c r="B40" i="13" s="1"/>
  <c r="F23" i="13"/>
  <c r="J23" i="13"/>
  <c r="J38" i="13" s="1"/>
  <c r="B24" i="13"/>
  <c r="B39" i="13" s="1"/>
  <c r="B20" i="13"/>
  <c r="B35" i="13" s="1"/>
  <c r="H23" i="13"/>
  <c r="K23" i="13"/>
  <c r="K38" i="13" s="1"/>
  <c r="D23" i="13"/>
  <c r="D38" i="13" s="1"/>
  <c r="B29" i="13"/>
  <c r="B44" i="13" s="1"/>
  <c r="B22" i="13"/>
  <c r="B37" i="13" s="1"/>
  <c r="B27" i="13"/>
  <c r="B42" i="13" s="1"/>
  <c r="B38" i="13"/>
  <c r="E23" i="13"/>
  <c r="E38" i="13" s="1"/>
  <c r="I23" i="13"/>
  <c r="I38" i="13" s="1"/>
  <c r="B21" i="13"/>
  <c r="B36" i="13" s="1"/>
  <c r="K26" i="13"/>
  <c r="K41" i="13" s="1"/>
  <c r="G26" i="13"/>
  <c r="G41" i="13" s="1"/>
  <c r="H21" i="13"/>
  <c r="C26" i="13"/>
  <c r="C41" i="13" s="1"/>
  <c r="K28" i="13"/>
  <c r="K43" i="13" s="1"/>
  <c r="H22" i="13"/>
  <c r="G28" i="13"/>
  <c r="G43" i="13" s="1"/>
  <c r="D21" i="13"/>
  <c r="D36" i="13" s="1"/>
  <c r="C29" i="13"/>
  <c r="C44" i="13" s="1"/>
  <c r="I27" i="13"/>
  <c r="I42" i="13" s="1"/>
  <c r="E26" i="13"/>
  <c r="E41" i="13" s="1"/>
  <c r="K21" i="13"/>
  <c r="K36" i="13" s="1"/>
  <c r="K29" i="13"/>
  <c r="K44" i="13" s="1"/>
  <c r="J27" i="13"/>
  <c r="J42" i="13" s="1"/>
  <c r="I25" i="13"/>
  <c r="I40" i="13" s="1"/>
  <c r="G22" i="13"/>
  <c r="G37" i="13" s="1"/>
  <c r="G29" i="13"/>
  <c r="G44" i="13" s="1"/>
  <c r="F27" i="13"/>
  <c r="E24" i="13"/>
  <c r="E39" i="13" s="1"/>
  <c r="D22" i="13"/>
  <c r="D37" i="13" s="1"/>
  <c r="D20" i="13"/>
  <c r="D35" i="13" s="1"/>
  <c r="C28" i="13"/>
  <c r="C43" i="13" s="1"/>
  <c r="K22" i="13"/>
  <c r="K37" i="13" s="1"/>
  <c r="K20" i="13"/>
  <c r="K35" i="13" s="1"/>
  <c r="J28" i="13"/>
  <c r="J43" i="13" s="1"/>
  <c r="I26" i="13"/>
  <c r="I41" i="13" s="1"/>
  <c r="H24" i="13"/>
  <c r="G21" i="13"/>
  <c r="G36" i="13" s="1"/>
  <c r="G20" i="13"/>
  <c r="G35" i="13" s="1"/>
  <c r="F28" i="13"/>
  <c r="C21" i="13"/>
  <c r="C36" i="13" s="1"/>
  <c r="J29" i="13"/>
  <c r="J44" i="13" s="1"/>
  <c r="F29" i="13"/>
  <c r="C20" i="13"/>
  <c r="C35" i="13" s="1"/>
  <c r="H25" i="13"/>
  <c r="K24" i="13"/>
  <c r="K39" i="13" s="1"/>
  <c r="J21" i="13"/>
  <c r="J36" i="13" s="1"/>
  <c r="J20" i="13"/>
  <c r="J35" i="13" s="1"/>
  <c r="I28" i="13"/>
  <c r="I43" i="13" s="1"/>
  <c r="H26" i="13"/>
  <c r="G24" i="13"/>
  <c r="G39" i="13" s="1"/>
  <c r="F22" i="13"/>
  <c r="F20" i="13"/>
  <c r="F35" i="13" s="1"/>
  <c r="E27" i="13"/>
  <c r="E42" i="13" s="1"/>
  <c r="D25" i="13"/>
  <c r="D40" i="13" s="1"/>
  <c r="I22" i="13"/>
  <c r="I37" i="13" s="1"/>
  <c r="I20" i="13"/>
  <c r="I35" i="13" s="1"/>
  <c r="F24" i="13"/>
  <c r="D27" i="13"/>
  <c r="D42" i="13" s="1"/>
  <c r="J25" i="13"/>
  <c r="J40" i="13" s="1"/>
  <c r="G27" i="13"/>
  <c r="G42" i="13" s="1"/>
  <c r="E22" i="13"/>
  <c r="E37" i="13" s="1"/>
  <c r="D28" i="13"/>
  <c r="D43" i="13" s="1"/>
  <c r="J26" i="13"/>
  <c r="J41" i="13" s="1"/>
  <c r="H20" i="13"/>
  <c r="H35" i="13" s="1"/>
  <c r="D29" i="13"/>
  <c r="D44" i="13" s="1"/>
  <c r="E25" i="13"/>
  <c r="E40" i="13" s="1"/>
  <c r="D24" i="13"/>
  <c r="D39" i="13" s="1"/>
  <c r="K25" i="13"/>
  <c r="K40" i="13" s="1"/>
  <c r="J22" i="13"/>
  <c r="J37" i="13" s="1"/>
  <c r="I21" i="13"/>
  <c r="I36" i="13" s="1"/>
  <c r="I29" i="13"/>
  <c r="I44" i="13" s="1"/>
  <c r="H27" i="13"/>
  <c r="G25" i="13"/>
  <c r="G40" i="13" s="1"/>
  <c r="E28" i="13"/>
  <c r="E43" i="13" s="1"/>
  <c r="D26" i="13"/>
  <c r="D41" i="13" s="1"/>
  <c r="C24" i="13"/>
  <c r="C39" i="13" s="1"/>
  <c r="J24" i="13"/>
  <c r="J39" i="13" s="1"/>
  <c r="H28" i="13"/>
  <c r="E21" i="13"/>
  <c r="E36" i="13" s="1"/>
  <c r="E29" i="13"/>
  <c r="E44" i="13" s="1"/>
  <c r="C25" i="13"/>
  <c r="C40" i="13" s="1"/>
  <c r="K27" i="13"/>
  <c r="K42" i="13" s="1"/>
  <c r="H29" i="13"/>
  <c r="F25" i="13"/>
  <c r="E20" i="13"/>
  <c r="E35" i="13" s="1"/>
  <c r="I24" i="13"/>
  <c r="I39" i="13" s="1"/>
  <c r="F26" i="13"/>
  <c r="C27" i="13"/>
  <c r="C42" i="13" s="1"/>
  <c r="F21" i="13"/>
  <c r="C22" i="13"/>
  <c r="C37" i="13" s="1"/>
  <c r="C23" i="13"/>
  <c r="C38" i="13" s="1"/>
  <c r="B26" i="13"/>
  <c r="B41" i="13" s="1"/>
  <c r="E6" i="10"/>
  <c r="E5" i="10"/>
  <c r="C9" i="3"/>
  <c r="D6" i="8"/>
  <c r="D7" i="8"/>
  <c r="D10" i="8"/>
  <c r="D11" i="8"/>
  <c r="D14" i="8"/>
  <c r="D15" i="8"/>
  <c r="D18" i="8"/>
  <c r="C5" i="8"/>
  <c r="D5" i="8" s="1"/>
  <c r="C6" i="8"/>
  <c r="E6" i="8" s="1"/>
  <c r="C7" i="8"/>
  <c r="E7" i="8" s="1"/>
  <c r="C8" i="8"/>
  <c r="D8" i="8" s="1"/>
  <c r="C9" i="8"/>
  <c r="E9" i="8" s="1"/>
  <c r="C10" i="8"/>
  <c r="E10" i="8" s="1"/>
  <c r="C11" i="8"/>
  <c r="E11" i="8" s="1"/>
  <c r="C12" i="8"/>
  <c r="D12" i="8" s="1"/>
  <c r="C13" i="8"/>
  <c r="D13" i="8" s="1"/>
  <c r="C14" i="8"/>
  <c r="E14" i="8" s="1"/>
  <c r="C15" i="8"/>
  <c r="E15" i="8" s="1"/>
  <c r="C16" i="8"/>
  <c r="D16" i="8" s="1"/>
  <c r="C17" i="8"/>
  <c r="E17" i="8" s="1"/>
  <c r="C18" i="8"/>
  <c r="E18" i="8" s="1"/>
  <c r="C4" i="8"/>
  <c r="E13" i="8" l="1"/>
  <c r="E5" i="8"/>
  <c r="F14" i="8" s="1"/>
  <c r="G14" i="8" s="1"/>
  <c r="E12" i="8"/>
  <c r="F12" i="8" s="1"/>
  <c r="G12" i="8" s="1"/>
  <c r="E4" i="8"/>
  <c r="F15" i="8" s="1"/>
  <c r="G15" i="8" s="1"/>
  <c r="D4" i="8"/>
  <c r="D17" i="8"/>
  <c r="D9" i="8"/>
  <c r="E16" i="8"/>
  <c r="E8" i="8"/>
  <c r="L43" i="13"/>
  <c r="L41" i="13"/>
  <c r="L38" i="13"/>
  <c r="L35" i="13"/>
  <c r="L42" i="13"/>
  <c r="L39" i="13"/>
  <c r="L37" i="13"/>
  <c r="L44" i="13"/>
  <c r="L40" i="13"/>
  <c r="L36" i="13"/>
  <c r="O5" i="13"/>
  <c r="E7" i="10"/>
  <c r="C14" i="10" s="1"/>
  <c r="G7" i="10" s="1"/>
  <c r="F11" i="8" l="1"/>
  <c r="G11" i="8" s="1"/>
  <c r="F8" i="8"/>
  <c r="G8" i="8" s="1"/>
  <c r="F13" i="8"/>
  <c r="G13" i="8" s="1"/>
  <c r="F18" i="8"/>
  <c r="G18" i="8" s="1"/>
  <c r="F10" i="8"/>
  <c r="G10" i="8" s="1"/>
  <c r="F7" i="8"/>
  <c r="G7" i="8" s="1"/>
  <c r="F5" i="8"/>
  <c r="G5" i="8" s="1"/>
  <c r="F16" i="8"/>
  <c r="G16" i="8" s="1"/>
  <c r="F4" i="8"/>
  <c r="G4" i="8" s="1"/>
  <c r="F6" i="8"/>
  <c r="G6" i="8" s="1"/>
  <c r="F17" i="8"/>
  <c r="G17" i="8" s="1"/>
  <c r="F9" i="8"/>
  <c r="G9" i="8" s="1"/>
  <c r="L45" i="13"/>
  <c r="O19" i="13"/>
  <c r="N23" i="13"/>
  <c r="D15" i="10"/>
  <c r="G10" i="10" s="1"/>
  <c r="H10" i="10" s="1"/>
  <c r="I10" i="10" s="1"/>
  <c r="D14" i="10"/>
  <c r="H7" i="10"/>
  <c r="I7" i="10" s="1"/>
  <c r="I5" i="8" l="1"/>
  <c r="J5" i="8" s="1"/>
  <c r="I4" i="8"/>
  <c r="J4" i="8" s="1"/>
  <c r="I8" i="8" s="1"/>
  <c r="D16" i="10"/>
  <c r="G9" i="10"/>
  <c r="H9" i="10" s="1"/>
  <c r="I9" i="10" s="1"/>
  <c r="H6" i="7" l="1"/>
  <c r="H7" i="7"/>
  <c r="H8" i="7"/>
  <c r="H9" i="7"/>
  <c r="H10" i="7"/>
  <c r="H11" i="7"/>
  <c r="H12" i="7"/>
  <c r="H13" i="7"/>
  <c r="G6" i="7"/>
  <c r="G7" i="7"/>
  <c r="G8" i="7"/>
  <c r="G9" i="7"/>
  <c r="G10" i="7"/>
  <c r="G11" i="7"/>
  <c r="G12" i="7"/>
  <c r="G13" i="7"/>
  <c r="G14" i="7"/>
  <c r="G15" i="7"/>
  <c r="K4" i="7"/>
  <c r="K6" i="7" s="1"/>
  <c r="N5" i="7" l="1"/>
  <c r="K7" i="7"/>
  <c r="K10" i="7" s="1"/>
  <c r="N4" i="7"/>
  <c r="K8" i="7"/>
  <c r="K11" i="7" s="1"/>
  <c r="K14" i="7" l="1"/>
  <c r="K15" i="7"/>
  <c r="J18" i="7" l="1"/>
  <c r="L2" i="6"/>
  <c r="L1" i="6"/>
  <c r="D2" i="6"/>
  <c r="C2" i="6"/>
  <c r="E3" i="5"/>
  <c r="E4" i="5"/>
  <c r="E5" i="5"/>
  <c r="E6" i="5"/>
  <c r="E7" i="5"/>
  <c r="E8" i="5"/>
  <c r="E9" i="5"/>
  <c r="E10" i="5"/>
  <c r="E11" i="5"/>
  <c r="E12" i="5"/>
  <c r="E13" i="5"/>
  <c r="E2" i="5"/>
  <c r="D2" i="5"/>
  <c r="F2" i="5" s="1"/>
  <c r="G2" i="5" s="1"/>
  <c r="D3" i="5"/>
  <c r="D4" i="5"/>
  <c r="D5" i="5"/>
  <c r="D6" i="5"/>
  <c r="D7" i="5"/>
  <c r="D8" i="5"/>
  <c r="D9" i="5"/>
  <c r="D10" i="5"/>
  <c r="D11" i="5"/>
  <c r="D12" i="5"/>
  <c r="D13" i="5"/>
  <c r="F7" i="6" l="1"/>
  <c r="I7" i="6" s="1"/>
  <c r="F8" i="6"/>
  <c r="I8" i="6" s="1"/>
  <c r="F9" i="6"/>
  <c r="I9" i="6" s="1"/>
  <c r="F10" i="6"/>
  <c r="I10" i="6" s="1"/>
  <c r="F3" i="6"/>
  <c r="I3" i="6" s="1"/>
  <c r="F11" i="6"/>
  <c r="I11" i="6" s="1"/>
  <c r="F4" i="6"/>
  <c r="I4" i="6" s="1"/>
  <c r="F5" i="6"/>
  <c r="I5" i="6" s="1"/>
  <c r="F6" i="6"/>
  <c r="I6" i="6" s="1"/>
  <c r="E10" i="6"/>
  <c r="E5" i="6"/>
  <c r="E3" i="6"/>
  <c r="E11" i="6"/>
  <c r="E4" i="6"/>
  <c r="E6" i="6"/>
  <c r="E7" i="6"/>
  <c r="E8" i="6"/>
  <c r="E9" i="6"/>
  <c r="F13" i="5"/>
  <c r="G13" i="5" s="1"/>
  <c r="E2" i="6"/>
  <c r="F2" i="6"/>
  <c r="I2" i="6" s="1"/>
  <c r="F11" i="5"/>
  <c r="G11" i="5" s="1"/>
  <c r="F3" i="5"/>
  <c r="G3" i="5" s="1"/>
  <c r="F10" i="5"/>
  <c r="G10" i="5" s="1"/>
  <c r="F12" i="5"/>
  <c r="G12" i="5" s="1"/>
  <c r="F4" i="5"/>
  <c r="G4" i="5" s="1"/>
  <c r="F8" i="5"/>
  <c r="G8" i="5" s="1"/>
  <c r="F7" i="5"/>
  <c r="G7" i="5" s="1"/>
  <c r="F9" i="5"/>
  <c r="G9" i="5" s="1"/>
  <c r="F6" i="5"/>
  <c r="G6" i="5" s="1"/>
  <c r="F5" i="5"/>
  <c r="G5" i="5" s="1"/>
  <c r="G3" i="6" l="1"/>
  <c r="H3" i="6"/>
  <c r="H5" i="6"/>
  <c r="G5" i="6"/>
  <c r="H9" i="6"/>
  <c r="G9" i="6"/>
  <c r="H10" i="6"/>
  <c r="G10" i="6"/>
  <c r="H8" i="6"/>
  <c r="G8" i="6"/>
  <c r="H7" i="6"/>
  <c r="G7" i="6"/>
  <c r="H6" i="6"/>
  <c r="G6" i="6"/>
  <c r="G4" i="6"/>
  <c r="H4" i="6"/>
  <c r="H11" i="6"/>
  <c r="G11" i="6"/>
  <c r="L6" i="6"/>
  <c r="G2" i="6"/>
  <c r="H2" i="6"/>
  <c r="M14" i="5"/>
  <c r="M15" i="5" s="1"/>
  <c r="M21" i="5" s="1"/>
  <c r="M22" i="5" s="1"/>
  <c r="Z31" i="4"/>
  <c r="Z32" i="4"/>
  <c r="W26" i="4"/>
  <c r="W25" i="4"/>
  <c r="G22" i="4"/>
  <c r="G23" i="4" s="1"/>
  <c r="H26" i="4" s="1"/>
  <c r="H30" i="4" s="1"/>
  <c r="G19" i="4"/>
  <c r="X35" i="4" l="1"/>
  <c r="L5" i="6"/>
  <c r="L4" i="6"/>
  <c r="W32" i="4"/>
  <c r="W29" i="4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C33" i="2"/>
  <c r="C34" i="2"/>
  <c r="E2" i="2"/>
  <c r="X38" i="4" l="1"/>
  <c r="L9" i="6"/>
  <c r="Y44" i="4"/>
  <c r="F5" i="3"/>
  <c r="C10" i="3" l="1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J2" i="3" l="1"/>
  <c r="I9" i="2" l="1"/>
  <c r="H9" i="2"/>
  <c r="G9" i="2"/>
  <c r="F9" i="2"/>
  <c r="F2" i="3" l="1"/>
  <c r="E2" i="3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D9" i="3"/>
  <c r="C2" i="3"/>
  <c r="E5" i="3" l="1"/>
  <c r="G2" i="3"/>
  <c r="H5" i="3" s="1"/>
  <c r="D2" i="3"/>
  <c r="H2" i="3" s="1"/>
  <c r="I2" i="3" l="1"/>
  <c r="K2" i="3" s="1"/>
  <c r="F12" i="2"/>
  <c r="F2" i="2"/>
  <c r="E5" i="2" s="1"/>
  <c r="G12" i="2"/>
  <c r="G2" i="2"/>
  <c r="H2" i="2"/>
  <c r="K5" i="3" l="1"/>
  <c r="K8" i="3" s="1"/>
  <c r="F18" i="2"/>
  <c r="J2" i="2"/>
  <c r="I2" i="2"/>
  <c r="G15" i="2" l="1"/>
  <c r="F15" i="2"/>
  <c r="J5" i="2"/>
  <c r="K2" i="2" l="1"/>
  <c r="K8" i="2" s="1"/>
  <c r="K11" i="2" l="1"/>
  <c r="K14" i="2" s="1"/>
  <c r="E14" i="10"/>
  <c r="C15" i="10"/>
  <c r="C16" i="10" l="1"/>
  <c r="H21" i="10"/>
  <c r="H22" i="10" s="1"/>
  <c r="E15" i="10"/>
  <c r="E16" i="10" s="1"/>
  <c r="G8" i="10"/>
  <c r="H8" i="10" s="1"/>
  <c r="I8" i="10" s="1"/>
  <c r="H11" i="10" s="1"/>
  <c r="H24" i="10" l="1"/>
  <c r="G28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2A1A5D-610D-4ADA-AFA7-E92FBECCE3CC}" keepAlive="1" name="Query - Sweeet import" description="Connection to the 'Sweeet import' query in the workbook." type="5" refreshedVersion="6" background="1" saveData="1">
    <dbPr connection="Provider=Microsoft.Mashup.OleDb.1;Data Source=$Workbook$;Location=Sweeet import;Extended Properties=&quot;&quot;" command="SELECT * FROM [Sweeet import]"/>
  </connection>
</connections>
</file>

<file path=xl/sharedStrings.xml><?xml version="1.0" encoding="utf-8"?>
<sst xmlns="http://schemas.openxmlformats.org/spreadsheetml/2006/main" count="1004" uniqueCount="595">
  <si>
    <r>
      <t>S</t>
    </r>
    <r>
      <rPr>
        <vertAlign val="superscript"/>
        <sz val="11"/>
        <color theme="1"/>
        <rFont val="Calibri"/>
        <family val="2"/>
        <scheme val="minor"/>
      </rPr>
      <t>2</t>
    </r>
  </si>
  <si>
    <t>Ns</t>
  </si>
  <si>
    <t>Nt</t>
  </si>
  <si>
    <t>S ROUTE</t>
  </si>
  <si>
    <t>T ROUTE</t>
  </si>
  <si>
    <t>MEAN - S</t>
  </si>
  <si>
    <t>MEAN - T</t>
  </si>
  <si>
    <t>Total Ns+Nt</t>
  </si>
  <si>
    <r>
      <rPr>
        <sz val="11"/>
        <color theme="1"/>
        <rFont val="Calibri"/>
        <family val="2"/>
        <scheme val="minor"/>
      </rPr>
      <t>T</t>
    </r>
    <r>
      <rPr>
        <vertAlign val="superscript"/>
        <sz val="11"/>
        <color theme="1"/>
        <rFont val="Calibri"/>
        <family val="2"/>
        <scheme val="minor"/>
      </rPr>
      <t>2</t>
    </r>
  </si>
  <si>
    <r>
      <t>SQR of S (ƩS)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</si>
  <si>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ƩS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MINUS (ƩS)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/Ns</t>
    </r>
  </si>
  <si>
    <t>TOTAL (ƩT)</t>
  </si>
  <si>
    <r>
      <t>TOTAL  (</t>
    </r>
    <r>
      <rPr>
        <sz val="11"/>
        <color theme="1"/>
        <rFont val="Calibri"/>
        <family val="2"/>
      </rPr>
      <t>ƩS)</t>
    </r>
  </si>
  <si>
    <r>
      <t>TOTAL - ƩS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</si>
  <si>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TOTAL - ƩT</t>
    </r>
    <r>
      <rPr>
        <vertAlign val="superscript"/>
        <sz val="11"/>
        <color theme="1"/>
        <rFont val="Calibri"/>
        <family val="2"/>
        <scheme val="minor"/>
      </rPr>
      <t>2</t>
    </r>
  </si>
  <si>
    <r>
      <t>SQR of T (ƩT)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</si>
  <si>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ƩT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 MINUS (ƩT)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/Nt</t>
    </r>
  </si>
  <si>
    <t>Ns PLUS Nt - 2</t>
  </si>
  <si>
    <t>MEAN  ( S - T )</t>
  </si>
  <si>
    <t>Ns multiply Nt</t>
  </si>
  <si>
    <t>Total(Ns+Nt) / (Ns)(Nt)</t>
  </si>
  <si>
    <t>Multiply Above * Total(Ns+Nt) / (Ns)(Nt)</t>
  </si>
  <si>
    <t>square root of  above</t>
  </si>
  <si>
    <t>Then, MEAN  ( S - T ) divided by Above square root</t>
  </si>
  <si>
    <t xml:space="preserve"> </t>
  </si>
  <si>
    <t>X</t>
  </si>
  <si>
    <t>Y</t>
  </si>
  <si>
    <t>D</t>
  </si>
  <si>
    <r>
      <t>D</t>
    </r>
    <r>
      <rPr>
        <vertAlign val="superscript"/>
        <sz val="11"/>
        <color theme="1"/>
        <rFont val="Calibri"/>
        <family val="2"/>
        <scheme val="minor"/>
      </rPr>
      <t>2</t>
    </r>
  </si>
  <si>
    <t>MEAN X</t>
  </si>
  <si>
    <t>MEAN Y</t>
  </si>
  <si>
    <t>MEAN X - Y</t>
  </si>
  <si>
    <t>TOTAL D</t>
  </si>
  <si>
    <t xml:space="preserve"> N</t>
  </si>
  <si>
    <r>
      <t xml:space="preserve"> </t>
    </r>
    <r>
      <rPr>
        <sz val="11"/>
        <color theme="1"/>
        <rFont val="Calibri"/>
        <family val="2"/>
      </rPr>
      <t>Ʃ</t>
    </r>
    <r>
      <rPr>
        <sz val="11"/>
        <color theme="1"/>
        <rFont val="Calibri"/>
        <family val="2"/>
        <scheme val="minor"/>
      </rPr>
      <t>D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</si>
  <si>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(ƩD)</t>
    </r>
    <r>
      <rPr>
        <vertAlign val="superscript"/>
        <sz val="11"/>
        <color theme="1"/>
        <rFont val="Calibri"/>
        <family val="2"/>
        <scheme val="minor"/>
      </rPr>
      <t>2</t>
    </r>
  </si>
  <si>
    <t>N(N-1)</t>
  </si>
  <si>
    <t>SQUAREROOT OF THE ABOVE</t>
  </si>
  <si>
    <t>MEAN X - Y DIVIDED BY ABOVE</t>
  </si>
  <si>
    <r>
      <rPr>
        <b/>
        <sz val="11"/>
        <color theme="1"/>
        <rFont val="Calibri"/>
        <family val="2"/>
        <scheme val="minor"/>
      </rPr>
      <t>ƩD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  -  (ƩD)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/N</t>
    </r>
    <r>
      <rPr>
        <sz val="11"/>
        <color theme="1"/>
        <rFont val="Calibri"/>
        <family val="2"/>
        <scheme val="minor"/>
      </rPr>
      <t xml:space="preserve">  _____________________  </t>
    </r>
    <r>
      <rPr>
        <b/>
        <sz val="11"/>
        <color theme="1"/>
        <rFont val="Calibri"/>
        <family val="2"/>
        <scheme val="minor"/>
      </rPr>
      <t xml:space="preserve"> N(N-1)</t>
    </r>
  </si>
  <si>
    <r>
      <t>Ʃ</t>
    </r>
    <r>
      <rPr>
        <sz val="11"/>
        <color theme="1"/>
        <rFont val="Calibri"/>
        <family val="2"/>
      </rPr>
      <t>D</t>
    </r>
    <r>
      <rPr>
        <vertAlign val="superscript"/>
        <sz val="11"/>
        <color theme="1"/>
        <rFont val="Calibri"/>
        <family val="2"/>
      </rPr>
      <t>2</t>
    </r>
    <r>
      <rPr>
        <b/>
        <vertAlign val="superscript"/>
        <sz val="11"/>
        <color theme="1"/>
        <rFont val="Calibri"/>
        <family val="2"/>
      </rPr>
      <t xml:space="preserve">    - </t>
    </r>
    <r>
      <rPr>
        <sz val="11"/>
        <color theme="1"/>
        <rFont val="Calibri"/>
        <family val="2"/>
      </rPr>
      <t xml:space="preserve"> (ƩD)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/N</t>
    </r>
  </si>
  <si>
    <t>TEST OF POPULATION PROPORTION</t>
  </si>
  <si>
    <t>n</t>
  </si>
  <si>
    <t>π</t>
  </si>
  <si>
    <t>π(1 - π)</t>
  </si>
  <si>
    <t>(1 - π)</t>
  </si>
  <si>
    <t>Test of Two Proportiton</t>
  </si>
  <si>
    <t>𝑝 ̅</t>
  </si>
  <si>
    <r>
      <t>X</t>
    </r>
    <r>
      <rPr>
        <b/>
        <vertAlign val="subscript"/>
        <sz val="14"/>
        <color theme="1"/>
        <rFont val="Calibri"/>
        <family val="2"/>
        <scheme val="minor"/>
      </rPr>
      <t>1</t>
    </r>
  </si>
  <si>
    <r>
      <t>X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</si>
  <si>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n</t>
    </r>
    <r>
      <rPr>
        <b/>
        <vertAlign val="subscript"/>
        <sz val="14"/>
        <color theme="1"/>
        <rFont val="Calibri"/>
        <family val="2"/>
        <scheme val="minor"/>
      </rPr>
      <t>1</t>
    </r>
  </si>
  <si>
    <r>
      <t>n</t>
    </r>
    <r>
      <rPr>
        <b/>
        <vertAlign val="subscript"/>
        <sz val="14"/>
        <color theme="1"/>
        <rFont val="Calibri"/>
        <family val="2"/>
        <scheme val="minor"/>
      </rPr>
      <t>2</t>
    </r>
  </si>
  <si>
    <t>𝑝 ̅(1  - 𝑝 ̅ )</t>
  </si>
  <si>
    <t>(1  - 𝑝 ̅ )</t>
  </si>
  <si>
    <r>
      <t>1/n</t>
    </r>
    <r>
      <rPr>
        <vertAlign val="subscript"/>
        <sz val="11"/>
        <color theme="1"/>
        <rFont val="Calibri"/>
        <family val="2"/>
        <scheme val="minor"/>
      </rPr>
      <t>2</t>
    </r>
  </si>
  <si>
    <r>
      <t>1/n</t>
    </r>
    <r>
      <rPr>
        <vertAlign val="subscript"/>
        <sz val="11"/>
        <color theme="1"/>
        <rFont val="Calibri"/>
        <family val="2"/>
        <scheme val="minor"/>
      </rPr>
      <t>1</t>
    </r>
  </si>
  <si>
    <r>
      <t>1/n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+ 1/n</t>
    </r>
    <r>
      <rPr>
        <vertAlign val="subscript"/>
        <sz val="11"/>
        <color theme="1"/>
        <rFont val="Calibri"/>
        <family val="2"/>
        <scheme val="minor"/>
      </rPr>
      <t>2</t>
    </r>
  </si>
  <si>
    <t xml:space="preserve">     Z =</t>
  </si>
  <si>
    <t>Patients</t>
  </si>
  <si>
    <t>d</t>
  </si>
  <si>
    <r>
      <t>d</t>
    </r>
    <r>
      <rPr>
        <vertAlign val="superscript"/>
        <sz val="11"/>
        <color theme="1"/>
        <rFont val="Calibri"/>
        <family val="2"/>
        <scheme val="minor"/>
      </rPr>
      <t>2</t>
    </r>
  </si>
  <si>
    <r>
      <t>6Ʃd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</si>
  <si>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Calibri"/>
        <family val="2"/>
      </rPr>
      <t>Ʃ</t>
    </r>
    <r>
      <rPr>
        <sz val="11"/>
        <color theme="1"/>
        <rFont val="Calibri"/>
        <family val="2"/>
        <scheme val="minor"/>
      </rPr>
      <t>d</t>
    </r>
    <r>
      <rPr>
        <vertAlign val="superscript"/>
        <sz val="11"/>
        <color theme="1"/>
        <rFont val="Calibri"/>
        <family val="2"/>
        <scheme val="minor"/>
      </rPr>
      <t>2</t>
    </r>
  </si>
  <si>
    <r>
      <t>n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n</t>
    </r>
  </si>
  <si>
    <t>Normal ( X )</t>
  </si>
  <si>
    <t>Hpervent ( Y )</t>
  </si>
  <si>
    <t>mean X</t>
  </si>
  <si>
    <t>mean y</t>
  </si>
  <si>
    <t>X - mean</t>
  </si>
  <si>
    <t>Y - mean</t>
  </si>
  <si>
    <t>SP</t>
  </si>
  <si>
    <t>SSx</t>
  </si>
  <si>
    <t>Sum SP</t>
  </si>
  <si>
    <t>Sum SSx</t>
  </si>
  <si>
    <t>Sum Ssy</t>
  </si>
  <si>
    <t>SSy</t>
  </si>
  <si>
    <t>Gender</t>
  </si>
  <si>
    <t>Avg hrs TV per week</t>
  </si>
  <si>
    <t>F</t>
  </si>
  <si>
    <t>M</t>
  </si>
  <si>
    <t>AVERAGE HOURS SPENT IN WATCHING TV PER WEEK</t>
  </si>
  <si>
    <t>FEMALES</t>
  </si>
  <si>
    <t>MALES</t>
  </si>
  <si>
    <t>Rank 1</t>
  </si>
  <si>
    <t>n1</t>
  </si>
  <si>
    <t>n2</t>
  </si>
  <si>
    <t>n1 x n2</t>
  </si>
  <si>
    <t>Rank  2</t>
  </si>
  <si>
    <t>n1-1</t>
  </si>
  <si>
    <t>n2-1</t>
  </si>
  <si>
    <t>n1(n1-1)/2</t>
  </si>
  <si>
    <t>n2(n2-1)/2</t>
  </si>
  <si>
    <t>ƩRank1</t>
  </si>
  <si>
    <t>ƩRank 2</t>
  </si>
  <si>
    <t>u1</t>
  </si>
  <si>
    <t>u2</t>
  </si>
  <si>
    <t>Wilcoxon Signed rank test</t>
  </si>
  <si>
    <t>x</t>
  </si>
  <si>
    <t>y</t>
  </si>
  <si>
    <t>Difference</t>
  </si>
  <si>
    <t>Positive</t>
  </si>
  <si>
    <t xml:space="preserve">Rank </t>
  </si>
  <si>
    <t>Signed Rank</t>
  </si>
  <si>
    <t>Abs diff</t>
  </si>
  <si>
    <t xml:space="preserve">SIGN RANK TEST </t>
  </si>
  <si>
    <t>GIVEN THE FOLLOWING DATA</t>
  </si>
  <si>
    <t>Oppose</t>
  </si>
  <si>
    <t>Against</t>
  </si>
  <si>
    <t>Male</t>
  </si>
  <si>
    <t>Female</t>
  </si>
  <si>
    <t>Observed value</t>
  </si>
  <si>
    <t>Expected</t>
  </si>
  <si>
    <t>Agaisnt</t>
  </si>
  <si>
    <t>SIMPLE CHI SQUARE CALCULATOR</t>
  </si>
  <si>
    <t>Confidence Level</t>
  </si>
  <si>
    <t>Two tailed</t>
  </si>
  <si>
    <t>Deg of Freedom</t>
  </si>
  <si>
    <t xml:space="preserve">One tailed </t>
  </si>
  <si>
    <t>DF =</t>
  </si>
  <si>
    <t xml:space="preserve">Complex chi square </t>
  </si>
  <si>
    <t>Observed Value</t>
  </si>
  <si>
    <t>A</t>
  </si>
  <si>
    <t>B</t>
  </si>
  <si>
    <t>C</t>
  </si>
  <si>
    <t>E</t>
  </si>
  <si>
    <t>G</t>
  </si>
  <si>
    <t>H</t>
  </si>
  <si>
    <t>I</t>
  </si>
  <si>
    <t>J</t>
  </si>
  <si>
    <t>Total</t>
  </si>
  <si>
    <t>total</t>
  </si>
  <si>
    <t>|𝑶−𝑬|^𝟐/𝑬</t>
  </si>
  <si>
    <t>abs</t>
  </si>
  <si>
    <t>Positive/negative</t>
  </si>
  <si>
    <t xml:space="preserve"> Sign Ranks</t>
  </si>
  <si>
    <t>Negative (-)</t>
  </si>
  <si>
    <t>SUM OF</t>
  </si>
  <si>
    <t>Positive (+)</t>
  </si>
  <si>
    <t>N = Number of Pairs of scores used</t>
  </si>
  <si>
    <t>So T value is</t>
  </si>
  <si>
    <t>One Tailed</t>
  </si>
  <si>
    <t>Determine if its One/Two Tailed Test</t>
  </si>
  <si>
    <t>Two Tailed</t>
  </si>
  <si>
    <t>One tailed</t>
  </si>
  <si>
    <t>No of Rows</t>
  </si>
  <si>
    <t>No of Columns</t>
  </si>
  <si>
    <t>CHI VALUE</t>
  </si>
  <si>
    <t>Level of Significance for one tailed test</t>
  </si>
  <si>
    <t>Level of Significance for Two tailed test</t>
  </si>
  <si>
    <r>
      <t xml:space="preserve">  </t>
    </r>
    <r>
      <rPr>
        <i/>
        <sz val="11"/>
        <color theme="1"/>
        <rFont val="Calibri"/>
        <family val="2"/>
        <scheme val="minor"/>
      </rPr>
      <t>df</t>
    </r>
  </si>
  <si>
    <t>1 - what you get</t>
  </si>
  <si>
    <t xml:space="preserve">Decide if your Test is? </t>
  </si>
  <si>
    <t>Level of Significane</t>
  </si>
  <si>
    <r>
      <t xml:space="preserve"> A </t>
    </r>
    <r>
      <rPr>
        <vertAlign val="superscript"/>
        <sz val="11"/>
        <color rgb="FFFF0000"/>
        <rFont val="Calibri"/>
        <family val="2"/>
        <scheme val="minor"/>
      </rPr>
      <t>Rank</t>
    </r>
  </si>
  <si>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r    =</t>
    </r>
  </si>
  <si>
    <r>
      <t xml:space="preserve"> </t>
    </r>
    <r>
      <rPr>
        <b/>
        <i/>
        <sz val="11"/>
        <color theme="1"/>
        <rFont val="Calibri"/>
        <family val="2"/>
        <scheme val="minor"/>
      </rPr>
      <t xml:space="preserve"> n   =</t>
    </r>
  </si>
  <si>
    <t>Minimum Value</t>
  </si>
  <si>
    <t>Level of Significance</t>
  </si>
  <si>
    <t>Critical Value  =</t>
  </si>
  <si>
    <r>
      <t>R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</t>
    </r>
  </si>
  <si>
    <t>DECISION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</si>
  <si>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I </t>
    </r>
    <r>
      <rPr>
        <b/>
        <i/>
        <sz val="11"/>
        <color theme="1"/>
        <rFont val="Calibri"/>
        <family val="2"/>
        <scheme val="minor"/>
      </rPr>
      <t xml:space="preserve">O−E </t>
    </r>
    <r>
      <rPr>
        <b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</si>
  <si>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i/>
        <sz val="11"/>
        <color theme="1"/>
        <rFont val="Calibri"/>
        <family val="2"/>
        <scheme val="minor"/>
      </rPr>
      <t xml:space="preserve">Chi Value    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</si>
  <si>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Determine if its  </t>
    </r>
    <r>
      <rPr>
        <b/>
        <sz val="11"/>
        <color theme="1"/>
        <rFont val="Calibri"/>
        <family val="2"/>
        <scheme val="minor"/>
      </rPr>
      <t>[One/Two Tailed Test ]</t>
    </r>
  </si>
  <si>
    <t>Significance level for 1 Tailed</t>
  </si>
  <si>
    <t>Significance level for 2 Tailed</t>
  </si>
  <si>
    <t xml:space="preserve">Critical Value </t>
  </si>
  <si>
    <t xml:space="preserve">Choose below </t>
  </si>
  <si>
    <t xml:space="preserve">DECISION 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</si>
  <si>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</si>
  <si>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</si>
  <si>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</si>
  <si>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</si>
  <si>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</si>
  <si>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</si>
  <si>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</si>
  <si>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</si>
  <si>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</si>
  <si>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</si>
  <si>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</si>
  <si>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</si>
  <si>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</si>
  <si>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</si>
  <si>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</si>
  <si>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</si>
  <si>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</si>
  <si>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AK</t>
  </si>
  <si>
    <t>IIB</t>
  </si>
  <si>
    <t>454</t>
  </si>
  <si>
    <t>382</t>
  </si>
  <si>
    <t>362</t>
  </si>
  <si>
    <t>567</t>
  </si>
  <si>
    <t>485</t>
  </si>
  <si>
    <t>471</t>
  </si>
  <si>
    <t>Univ.Alaska-Fairbanks</t>
  </si>
  <si>
    <t>686</t>
  </si>
  <si>
    <t>560</t>
  </si>
  <si>
    <t>432</t>
  </si>
  <si>
    <t>914</t>
  </si>
  <si>
    <t>753</t>
  </si>
  <si>
    <t>572</t>
  </si>
  <si>
    <t>Univ.Alaska-Southeast</t>
  </si>
  <si>
    <t>IIA</t>
  </si>
  <si>
    <t>533</t>
  </si>
  <si>
    <t>494</t>
  </si>
  <si>
    <t>329</t>
  </si>
  <si>
    <t>716</t>
  </si>
  <si>
    <t>663</t>
  </si>
  <si>
    <t>442</t>
  </si>
  <si>
    <t>Univ.Alaska-Anchorage</t>
  </si>
  <si>
    <t>612</t>
  </si>
  <si>
    <t>507</t>
  </si>
  <si>
    <t>414</t>
  </si>
  <si>
    <t>825</t>
  </si>
  <si>
    <t>681</t>
  </si>
  <si>
    <t>557</t>
  </si>
  <si>
    <t>Alabama Agri.&amp;Mech. Univ.</t>
  </si>
  <si>
    <t>AL</t>
  </si>
  <si>
    <t>369</t>
  </si>
  <si>
    <t>310</t>
  </si>
  <si>
    <t>530</t>
  </si>
  <si>
    <t>444</t>
  </si>
  <si>
    <t>376</t>
  </si>
  <si>
    <t>University of Montevallo</t>
  </si>
  <si>
    <t>441</t>
  </si>
  <si>
    <t>385</t>
  </si>
  <si>
    <t>542</t>
  </si>
  <si>
    <t>473</t>
  </si>
  <si>
    <t>383</t>
  </si>
  <si>
    <t>Athens State College</t>
  </si>
  <si>
    <t>466</t>
  </si>
  <si>
    <t>394</t>
  </si>
  <si>
    <t>351</t>
  </si>
  <si>
    <t>558</t>
  </si>
  <si>
    <t>476</t>
  </si>
  <si>
    <t>427</t>
  </si>
  <si>
    <t>Auburn University- Main</t>
  </si>
  <si>
    <t>580</t>
  </si>
  <si>
    <t>437</t>
  </si>
  <si>
    <t>374</t>
  </si>
  <si>
    <t>692</t>
  </si>
  <si>
    <t>527</t>
  </si>
  <si>
    <t>451</t>
  </si>
  <si>
    <t>Birmingham Southern College</t>
  </si>
  <si>
    <t>498</t>
  </si>
  <si>
    <t>379</t>
  </si>
  <si>
    <t>322</t>
  </si>
  <si>
    <t>655</t>
  </si>
  <si>
    <t>501</t>
  </si>
  <si>
    <t>404</t>
  </si>
  <si>
    <t>Univ. of North Alabama</t>
  </si>
  <si>
    <t>506</t>
  </si>
  <si>
    <t>412</t>
  </si>
  <si>
    <t>359</t>
  </si>
  <si>
    <t>607</t>
  </si>
  <si>
    <t>508</t>
  </si>
  <si>
    <t>445</t>
  </si>
  <si>
    <t>Huntingdon College</t>
  </si>
  <si>
    <t>339</t>
  </si>
  <si>
    <t>303</t>
  </si>
  <si>
    <t>287</t>
  </si>
  <si>
    <t>421</t>
  </si>
  <si>
    <t>371</t>
  </si>
  <si>
    <t>347</t>
  </si>
  <si>
    <t>Jacksonville State Univ.</t>
  </si>
  <si>
    <t>461</t>
  </si>
  <si>
    <t>389</t>
  </si>
  <si>
    <t>338</t>
  </si>
  <si>
    <t>585</t>
  </si>
  <si>
    <t>496</t>
  </si>
  <si>
    <t>436</t>
  </si>
  <si>
    <t>Livingston University</t>
  </si>
  <si>
    <t>360</t>
  </si>
  <si>
    <t>304</t>
  </si>
  <si>
    <t>258</t>
  </si>
  <si>
    <t>433</t>
  </si>
  <si>
    <t>313</t>
  </si>
  <si>
    <t>University of Mobile</t>
  </si>
  <si>
    <t>354</t>
  </si>
  <si>
    <t>321</t>
  </si>
  <si>
    <t>277</t>
  </si>
  <si>
    <t>401</t>
  </si>
  <si>
    <t>346</t>
  </si>
  <si>
    <t>Oakwood College</t>
  </si>
  <si>
    <t>301</t>
  </si>
  <si>
    <t>290</t>
  </si>
  <si>
    <t>283</t>
  </si>
  <si>
    <t>375</t>
  </si>
  <si>
    <t>363</t>
  </si>
  <si>
    <t>355</t>
  </si>
  <si>
    <t>Samford University</t>
  </si>
  <si>
    <t>565</t>
  </si>
  <si>
    <t>425</t>
  </si>
  <si>
    <t>710</t>
  </si>
  <si>
    <t>556</t>
  </si>
  <si>
    <t>Spring Hill College</t>
  </si>
  <si>
    <t>431</t>
  </si>
  <si>
    <t>352</t>
  </si>
  <si>
    <t>311</t>
  </si>
  <si>
    <t>518</t>
  </si>
  <si>
    <t>Stillman College</t>
  </si>
  <si>
    <t>288</t>
  </si>
  <si>
    <t>251</t>
  </si>
  <si>
    <t>388</t>
  </si>
  <si>
    <t>312</t>
  </si>
  <si>
    <t>Troy State University-Main</t>
  </si>
  <si>
    <t>462</t>
  </si>
  <si>
    <t>467</t>
  </si>
  <si>
    <t>392</t>
  </si>
  <si>
    <t>Tuskegee University</t>
  </si>
  <si>
    <t>410</t>
  </si>
  <si>
    <t>306</t>
  </si>
  <si>
    <t>487</t>
  </si>
  <si>
    <t>415</t>
  </si>
  <si>
    <t>University of Alabama</t>
  </si>
  <si>
    <t>605</t>
  </si>
  <si>
    <t>447</t>
  </si>
  <si>
    <t>746</t>
  </si>
  <si>
    <t>563</t>
  </si>
  <si>
    <t>483</t>
  </si>
  <si>
    <t>Univ. Alabama at Birmingham</t>
  </si>
  <si>
    <t>633</t>
  </si>
  <si>
    <t>366</t>
  </si>
  <si>
    <t>786</t>
  </si>
  <si>
    <t>569</t>
  </si>
  <si>
    <t>475</t>
  </si>
  <si>
    <t>Univ. Alabama in Huntsville</t>
  </si>
  <si>
    <t>636</t>
  </si>
  <si>
    <t>443</t>
  </si>
  <si>
    <t>771</t>
  </si>
  <si>
    <t>540</t>
  </si>
  <si>
    <t>455</t>
  </si>
  <si>
    <t>University of South Alabama</t>
  </si>
  <si>
    <t>426</t>
  </si>
  <si>
    <t>370</t>
  </si>
  <si>
    <t>645</t>
  </si>
  <si>
    <t>514</t>
  </si>
  <si>
    <t>450</t>
  </si>
  <si>
    <t>Auburn Univ. at Montgomery</t>
  </si>
  <si>
    <t>519</t>
  </si>
  <si>
    <t>422</t>
  </si>
  <si>
    <t>343</t>
  </si>
  <si>
    <t>621</t>
  </si>
  <si>
    <t>411</t>
  </si>
  <si>
    <t>Univ. Ark. at Monticello</t>
  </si>
  <si>
    <t>AR</t>
  </si>
  <si>
    <t>453</t>
  </si>
  <si>
    <t>330</t>
  </si>
  <si>
    <t>561</t>
  </si>
  <si>
    <t>448</t>
  </si>
  <si>
    <t>402</t>
  </si>
  <si>
    <t>Univ. Arkansas at Pine Bluff</t>
  </si>
  <si>
    <t>406</t>
  </si>
  <si>
    <t>332</t>
  </si>
  <si>
    <t>505</t>
  </si>
  <si>
    <t>457</t>
  </si>
  <si>
    <t>Arkansas College (Lyon College)</t>
  </si>
  <si>
    <t>499</t>
  </si>
  <si>
    <t>*</t>
  </si>
  <si>
    <t>618</t>
  </si>
  <si>
    <t>Arkansas Tech University</t>
  </si>
  <si>
    <t>439</t>
  </si>
  <si>
    <t>381</t>
  </si>
  <si>
    <t>337</t>
  </si>
  <si>
    <t>550</t>
  </si>
  <si>
    <t>479</t>
  </si>
  <si>
    <t>Arkansas State Univ.-Main</t>
  </si>
  <si>
    <t>520</t>
  </si>
  <si>
    <t>342</t>
  </si>
  <si>
    <t>646</t>
  </si>
  <si>
    <t>541</t>
  </si>
  <si>
    <t>Univ. of Central Arkansas</t>
  </si>
  <si>
    <t>521</t>
  </si>
  <si>
    <t>416</t>
  </si>
  <si>
    <t>632</t>
  </si>
  <si>
    <t>University of the Ozarks</t>
  </si>
  <si>
    <t>309</t>
  </si>
  <si>
    <t>280</t>
  </si>
  <si>
    <t>274</t>
  </si>
  <si>
    <t>428</t>
  </si>
  <si>
    <t>Henderson State University</t>
  </si>
  <si>
    <t>341</t>
  </si>
  <si>
    <t>480</t>
  </si>
  <si>
    <t>435</t>
  </si>
  <si>
    <t>Hendrix College</t>
  </si>
  <si>
    <t>399</t>
  </si>
  <si>
    <t>664</t>
  </si>
  <si>
    <t>534</t>
  </si>
  <si>
    <t>John Brown University</t>
  </si>
  <si>
    <t>372</t>
  </si>
  <si>
    <t>478</t>
  </si>
  <si>
    <t>Univ. Ark. at Little Rock</t>
  </si>
  <si>
    <t>536</t>
  </si>
  <si>
    <t>651</t>
  </si>
  <si>
    <t>Ouachita Baptist University</t>
  </si>
  <si>
    <t>289</t>
  </si>
  <si>
    <t>529</t>
  </si>
  <si>
    <t>Williams Baptist College</t>
  </si>
  <si>
    <t>264</t>
  </si>
  <si>
    <t>327</t>
  </si>
  <si>
    <t>Southern Ark. Univ.-Main</t>
  </si>
  <si>
    <t>575</t>
  </si>
  <si>
    <t>484</t>
  </si>
  <si>
    <t>Univ. Arkansas-Fayetteville</t>
  </si>
  <si>
    <t>531</t>
  </si>
  <si>
    <t>Harding University</t>
  </si>
  <si>
    <t>424</t>
  </si>
  <si>
    <t>335</t>
  </si>
  <si>
    <t>512</t>
  </si>
  <si>
    <t>Grand Canyon University</t>
  </si>
  <si>
    <t>AZ</t>
  </si>
  <si>
    <t>358</t>
  </si>
  <si>
    <t>328</t>
  </si>
  <si>
    <t>395</t>
  </si>
  <si>
    <t>Arizona State University</t>
  </si>
  <si>
    <t>603</t>
  </si>
  <si>
    <t>449</t>
  </si>
  <si>
    <t>723</t>
  </si>
  <si>
    <t>549</t>
  </si>
  <si>
    <t>489</t>
  </si>
  <si>
    <t>Northern Arizona University</t>
  </si>
  <si>
    <t>511</t>
  </si>
  <si>
    <t>619</t>
  </si>
  <si>
    <t>446</t>
  </si>
  <si>
    <t>University of Arizona</t>
  </si>
  <si>
    <t>648</t>
  </si>
  <si>
    <t>Azusa Pacific University</t>
  </si>
  <si>
    <t>CA</t>
  </si>
  <si>
    <t>430</t>
  </si>
  <si>
    <t>318</t>
  </si>
  <si>
    <t>573</t>
  </si>
  <si>
    <t>Biola University</t>
  </si>
  <si>
    <t>582</t>
  </si>
  <si>
    <t>California Inst. of Tech.</t>
  </si>
  <si>
    <t>970</t>
  </si>
  <si>
    <t>733</t>
  </si>
  <si>
    <t>576</t>
  </si>
  <si>
    <t>1204</t>
  </si>
  <si>
    <t>909</t>
  </si>
  <si>
    <t>717</t>
  </si>
  <si>
    <t>California Lutheran Univ.</t>
  </si>
  <si>
    <t>477</t>
  </si>
  <si>
    <t>600</t>
  </si>
  <si>
    <t>Cal.St.Univ-Fullerton</t>
  </si>
  <si>
    <t>493</t>
  </si>
  <si>
    <t>387</t>
  </si>
  <si>
    <t>760</t>
  </si>
  <si>
    <t>637</t>
  </si>
  <si>
    <t>Cal.St.Univ-Hayward</t>
  </si>
  <si>
    <t>606</t>
  </si>
  <si>
    <t>491</t>
  </si>
  <si>
    <t>384</t>
  </si>
  <si>
    <t>762</t>
  </si>
  <si>
    <t>629</t>
  </si>
  <si>
    <t>503</t>
  </si>
  <si>
    <t>Cal.St.Univ-Long Beach</t>
  </si>
  <si>
    <t>474</t>
  </si>
  <si>
    <t>751</t>
  </si>
  <si>
    <t>610</t>
  </si>
  <si>
    <t>Cal.St.Univ-Dominguez Hills</t>
  </si>
  <si>
    <t>472</t>
  </si>
  <si>
    <t>759</t>
  </si>
  <si>
    <t>593</t>
  </si>
  <si>
    <t>Cal.Poly.St.U-Sn Luis Obispo</t>
  </si>
  <si>
    <t>763</t>
  </si>
  <si>
    <t>635</t>
  </si>
  <si>
    <t>Cal.Poly.St.Univ-Pomona</t>
  </si>
  <si>
    <t>492</t>
  </si>
  <si>
    <t>408</t>
  </si>
  <si>
    <t>766</t>
  </si>
  <si>
    <t>630</t>
  </si>
  <si>
    <t>Cal.St.Univ-Chico</t>
  </si>
  <si>
    <t>604</t>
  </si>
  <si>
    <t>482</t>
  </si>
  <si>
    <t>758</t>
  </si>
  <si>
    <t>631</t>
  </si>
  <si>
    <t>Cal.St.Univ-Fresno</t>
  </si>
  <si>
    <t>757</t>
  </si>
  <si>
    <t>500</t>
  </si>
  <si>
    <t>Humboldt State University</t>
  </si>
  <si>
    <t>468</t>
  </si>
  <si>
    <t>San Diego State University</t>
  </si>
  <si>
    <t>602</t>
  </si>
  <si>
    <t>403</t>
  </si>
  <si>
    <t>756</t>
  </si>
  <si>
    <t>615</t>
  </si>
  <si>
    <t>524</t>
  </si>
  <si>
    <t>San Jose State University</t>
  </si>
  <si>
    <t>598</t>
  </si>
  <si>
    <t>486</t>
  </si>
  <si>
    <t>750</t>
  </si>
  <si>
    <t>623</t>
  </si>
  <si>
    <t>526</t>
  </si>
  <si>
    <t>Sonoma State University</t>
  </si>
  <si>
    <t>459</t>
  </si>
  <si>
    <t>380</t>
  </si>
  <si>
    <t>755</t>
  </si>
  <si>
    <t>592</t>
  </si>
  <si>
    <t>497</t>
  </si>
  <si>
    <t>Chapman University</t>
  </si>
  <si>
    <t>578</t>
  </si>
  <si>
    <t>470</t>
  </si>
  <si>
    <t>420</t>
  </si>
  <si>
    <t>627</t>
  </si>
  <si>
    <t>Claremont McKenna College</t>
  </si>
  <si>
    <t>516</t>
  </si>
  <si>
    <t>892</t>
  </si>
  <si>
    <t>661</t>
  </si>
  <si>
    <t>510</t>
  </si>
  <si>
    <t>Harvey Mudd College</t>
  </si>
  <si>
    <t>579</t>
  </si>
  <si>
    <t>961</t>
  </si>
  <si>
    <t>739</t>
  </si>
  <si>
    <t>588</t>
  </si>
  <si>
    <t>Pitzer College</t>
  </si>
  <si>
    <t>652</t>
  </si>
  <si>
    <t>824</t>
  </si>
  <si>
    <t>Pomona College</t>
  </si>
  <si>
    <t>730</t>
  </si>
  <si>
    <t>525</t>
  </si>
  <si>
    <t>417</t>
  </si>
  <si>
    <t>658</t>
  </si>
  <si>
    <t>Scripps College</t>
  </si>
  <si>
    <t>611</t>
  </si>
  <si>
    <t>458</t>
  </si>
  <si>
    <t>776</t>
  </si>
  <si>
    <t>495</t>
  </si>
  <si>
    <t>College of Notre Dame</t>
  </si>
  <si>
    <t>Holy Names College</t>
  </si>
  <si>
    <t>275</t>
  </si>
  <si>
    <t>University of La Verne</t>
  </si>
  <si>
    <t>326</t>
  </si>
  <si>
    <t>396</t>
  </si>
  <si>
    <t>Mills College</t>
  </si>
  <si>
    <t>407</t>
  </si>
  <si>
    <t>737</t>
  </si>
  <si>
    <t>571</t>
  </si>
  <si>
    <t>Occidental College</t>
  </si>
  <si>
    <t>624</t>
  </si>
  <si>
    <t>469</t>
  </si>
  <si>
    <t>806</t>
  </si>
  <si>
    <t>Fresno Pacific College</t>
  </si>
  <si>
    <t>Pacific Union College</t>
  </si>
  <si>
    <t>333</t>
  </si>
  <si>
    <t>315</t>
  </si>
  <si>
    <t>398</t>
  </si>
  <si>
    <t>Point Loma Nazarene College</t>
  </si>
  <si>
    <t>393</t>
  </si>
  <si>
    <t>523</t>
  </si>
  <si>
    <t>Pepperdine University</t>
  </si>
  <si>
    <t>715</t>
  </si>
  <si>
    <t>930</t>
  </si>
  <si>
    <t>Male_oppose</t>
  </si>
  <si>
    <t>Male_Against</t>
  </si>
  <si>
    <t>Female_Oppose</t>
  </si>
  <si>
    <t>Female_Against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</si>
  <si>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</si>
  <si>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</si>
  <si>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</si>
  <si>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</si>
  <si>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</si>
  <si>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</si>
  <si>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</si>
  <si>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Original</t>
  </si>
  <si>
    <t>Significant</t>
  </si>
  <si>
    <t>Reject Null Hypthesis &amp; Accept Alternative Hypothesis</t>
  </si>
  <si>
    <t>Significant_0r_Not</t>
  </si>
  <si>
    <t>Decision_rule</t>
  </si>
  <si>
    <t>Critical_Value</t>
  </si>
  <si>
    <t xml:space="preserve">   N</t>
  </si>
  <si>
    <r>
      <t xml:space="preserve"> B</t>
    </r>
    <r>
      <rPr>
        <sz val="11"/>
        <color rgb="FFFF0000"/>
        <rFont val="Calibri"/>
        <family val="2"/>
        <scheme val="minor"/>
      </rPr>
      <t xml:space="preserve"> </t>
    </r>
    <r>
      <rPr>
        <vertAlign val="superscript"/>
        <sz val="11"/>
        <color rgb="FFFF0000"/>
        <rFont val="Calibri"/>
        <family val="2"/>
        <scheme val="minor"/>
      </rPr>
      <t>Rank</t>
    </r>
  </si>
  <si>
    <t>r =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</si>
  <si>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</si>
  <si>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y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</si>
  <si>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X</t>
    </r>
    <r>
      <rPr>
        <b/>
        <vertAlign val="subscript"/>
        <sz val="14"/>
        <color theme="1"/>
        <rFont val="Calibri"/>
        <family val="2"/>
        <scheme val="minor"/>
      </rPr>
      <t xml:space="preserve">1 </t>
    </r>
    <r>
      <rPr>
        <b/>
        <sz val="14"/>
        <color theme="1"/>
        <rFont val="Calibri"/>
        <family val="2"/>
        <scheme val="minor"/>
      </rPr>
      <t xml:space="preserve"> + X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</si>
  <si>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N</t>
    </r>
    <r>
      <rPr>
        <b/>
        <vertAlign val="subscript"/>
        <sz val="14"/>
        <color theme="1"/>
        <rFont val="Calibri"/>
        <family val="2"/>
        <scheme val="minor"/>
      </rPr>
      <t xml:space="preserve">1 </t>
    </r>
    <r>
      <rPr>
        <b/>
        <sz val="14"/>
        <color theme="1"/>
        <rFont val="Calibri"/>
        <family val="2"/>
        <scheme val="minor"/>
      </rPr>
      <t xml:space="preserve"> + N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</si>
  <si>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X</t>
    </r>
    <r>
      <rPr>
        <b/>
        <vertAlign val="sub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>/n</t>
    </r>
    <r>
      <rPr>
        <b/>
        <vertAlign val="subscript"/>
        <sz val="16"/>
        <color theme="1"/>
        <rFont val="Calibri"/>
        <family val="2"/>
        <scheme val="minor"/>
      </rPr>
      <t>2</t>
    </r>
  </si>
  <si>
    <r>
      <t>X</t>
    </r>
    <r>
      <rPr>
        <b/>
        <vertAlign val="subscript"/>
        <sz val="16"/>
        <color theme="1"/>
        <rFont val="Calibri"/>
        <family val="2"/>
        <scheme val="minor"/>
      </rPr>
      <t>1</t>
    </r>
    <r>
      <rPr>
        <b/>
        <sz val="16"/>
        <color theme="1"/>
        <rFont val="Calibri"/>
        <family val="2"/>
        <scheme val="minor"/>
      </rPr>
      <t>/n</t>
    </r>
    <r>
      <rPr>
        <b/>
        <vertAlign val="subscript"/>
        <sz val="16"/>
        <color theme="1"/>
        <rFont val="Calibri"/>
        <family val="2"/>
        <scheme val="minor"/>
      </rPr>
      <t>1</t>
    </r>
  </si>
  <si>
    <t>Sum of the ranks</t>
  </si>
  <si>
    <t>Absolute Value</t>
  </si>
  <si>
    <t xml:space="preserve">Sum of Positive </t>
  </si>
  <si>
    <t>Sum of Negative</t>
  </si>
  <si>
    <t>Test statistics T</t>
  </si>
  <si>
    <t>Ranks</t>
  </si>
  <si>
    <t>Created by 44785 on 12/06/2019
Modified by 44785 on 12/06/2019
Modified by 44785 on 13/06/2019</t>
  </si>
  <si>
    <t>Not Significant</t>
  </si>
  <si>
    <t>Stick With Null Hypothesis</t>
  </si>
  <si>
    <t>Chi_value</t>
  </si>
  <si>
    <t>SignificanceLevel</t>
  </si>
  <si>
    <t>DF</t>
  </si>
  <si>
    <t>Scenerio 1</t>
  </si>
  <si>
    <t>Scenerio 2</t>
  </si>
  <si>
    <t>Original 5</t>
  </si>
  <si>
    <t>Scenerio 3</t>
  </si>
  <si>
    <t>One_or_two_tailed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</si>
</sst>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.0"/>
    <numFmt numFmtId="165" formatCode="0.000"/>
  </numFmts>
  <fonts count="41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5" tint="-0.249977111117893"/>
      <name val="Algerian"/>
      <family val="5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color indexed="1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1B3C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1E383"/>
        <bgColor indexed="64"/>
      </patternFill>
    </fill>
    <fill>
      <patternFill patternType="solid">
        <fgColor theme="1"/>
        <bgColor indexed="2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theme="1" tint="4.9989318521683403E-2"/>
      </top>
      <bottom/>
      <diagonal/>
    </border>
    <border>
      <left style="medium">
        <color theme="1" tint="4.9989318521683403E-2"/>
      </left>
      <right/>
      <top style="medium">
        <color theme="1" tint="4.9989318521683403E-2"/>
      </top>
      <bottom/>
      <diagonal/>
    </border>
    <border>
      <left/>
      <right/>
      <top style="medium">
        <color theme="1" tint="4.9989318521683403E-2"/>
      </top>
      <bottom/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/>
      <top/>
      <bottom/>
      <diagonal/>
    </border>
    <border>
      <left/>
      <right style="medium">
        <color theme="1" tint="4.9989318521683403E-2"/>
      </right>
      <top/>
      <bottom/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/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FF0000"/>
      </right>
      <top/>
      <bottom style="thin">
        <color rgb="FFFF0000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0" fillId="0" borderId="0" applyFont="0" applyFill="0" applyBorder="0" applyAlignment="0" applyProtection="0"/>
  </cellStyleXfs>
  <cellXfs count="19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9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 applyAlignment="1">
      <alignment vertical="top"/>
    </xf>
    <xf numFmtId="2" fontId="0" fillId="6" borderId="0" xfId="0" applyNumberFormat="1" applyFill="1"/>
    <xf numFmtId="0" fontId="0" fillId="6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4" fillId="7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0" fontId="10" fillId="0" borderId="0" xfId="0" applyFont="1"/>
    <xf numFmtId="0" fontId="1" fillId="0" borderId="0" xfId="0" applyFont="1"/>
    <xf numFmtId="0" fontId="0" fillId="12" borderId="0" xfId="0" applyFill="1"/>
    <xf numFmtId="0" fontId="0" fillId="9" borderId="0" xfId="0" applyFill="1" applyAlignment="1">
      <alignment horizontal="center" wrapText="1"/>
    </xf>
    <xf numFmtId="0" fontId="0" fillId="14" borderId="0" xfId="0" applyFill="1"/>
    <xf numFmtId="0" fontId="0" fillId="15" borderId="0" xfId="0" applyFill="1"/>
    <xf numFmtId="0" fontId="16" fillId="0" borderId="0" xfId="0" applyFont="1" applyAlignment="1">
      <alignment horizontal="center" textRotation="90"/>
    </xf>
    <xf numFmtId="0" fontId="16" fillId="0" borderId="0" xfId="0" applyFont="1" applyAlignment="1" applyProtection="1">
      <alignment horizontal="right" textRotation="90"/>
      <protection locked="0"/>
    </xf>
    <xf numFmtId="164" fontId="0" fillId="0" borderId="0" xfId="0" applyNumberFormat="1"/>
    <xf numFmtId="164" fontId="17" fillId="0" borderId="0" xfId="0" applyNumberFormat="1" applyFont="1"/>
    <xf numFmtId="0" fontId="0" fillId="0" borderId="0" xfId="0" applyAlignment="1">
      <alignment wrapText="1"/>
    </xf>
    <xf numFmtId="0" fontId="0" fillId="9" borderId="0" xfId="0" applyFill="1"/>
    <xf numFmtId="9" fontId="0" fillId="9" borderId="0" xfId="0" applyNumberFormat="1" applyFill="1"/>
    <xf numFmtId="10" fontId="0" fillId="9" borderId="0" xfId="0" applyNumberForma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wrapText="1"/>
    </xf>
    <xf numFmtId="0" fontId="4" fillId="7" borderId="0" xfId="0" applyFont="1" applyFill="1"/>
    <xf numFmtId="0" fontId="4" fillId="0" borderId="0" xfId="0" applyFont="1" applyAlignment="1">
      <alignment horizontal="center"/>
    </xf>
    <xf numFmtId="0" fontId="21" fillId="0" borderId="0" xfId="0" applyFont="1"/>
    <xf numFmtId="0" fontId="22" fillId="22" borderId="0" xfId="0" applyFont="1" applyFill="1"/>
    <xf numFmtId="0" fontId="24" fillId="22" borderId="0" xfId="0" applyFont="1" applyFill="1"/>
    <xf numFmtId="0" fontId="4" fillId="3" borderId="0" xfId="0" applyFont="1" applyFill="1"/>
    <xf numFmtId="165" fontId="24" fillId="0" borderId="0" xfId="0" applyNumberFormat="1" applyFont="1"/>
    <xf numFmtId="0" fontId="2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0" applyFont="1" applyAlignment="1">
      <alignment horizontal="center" vertical="center" wrapText="1"/>
    </xf>
    <xf numFmtId="0" fontId="0" fillId="11" borderId="5" xfId="0" applyFill="1" applyBorder="1"/>
    <xf numFmtId="0" fontId="0" fillId="11" borderId="6" xfId="0" applyFill="1" applyBorder="1" applyAlignment="1">
      <alignment horizontal="center"/>
    </xf>
    <xf numFmtId="0" fontId="18" fillId="0" borderId="11" xfId="0" applyFont="1" applyBorder="1"/>
    <xf numFmtId="0" fontId="0" fillId="0" borderId="12" xfId="0" applyBorder="1"/>
    <xf numFmtId="0" fontId="4" fillId="4" borderId="0" xfId="0" applyFont="1" applyFill="1" applyAlignment="1">
      <alignment horizontal="center"/>
    </xf>
    <xf numFmtId="0" fontId="25" fillId="0" borderId="0" xfId="0" applyFont="1"/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13" xfId="0" applyBorder="1"/>
    <xf numFmtId="0" fontId="24" fillId="0" borderId="18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17" xfId="0" applyFont="1" applyBorder="1"/>
    <xf numFmtId="0" fontId="4" fillId="0" borderId="19" xfId="0" applyFont="1" applyBorder="1"/>
    <xf numFmtId="0" fontId="4" fillId="25" borderId="14" xfId="0" applyFont="1" applyFill="1" applyBorder="1" applyAlignment="1">
      <alignment horizontal="left"/>
    </xf>
    <xf numFmtId="0" fontId="4" fillId="25" borderId="15" xfId="0" applyFont="1" applyFill="1" applyBorder="1" applyAlignment="1">
      <alignment horizontal="left"/>
    </xf>
    <xf numFmtId="0" fontId="4" fillId="25" borderId="16" xfId="0" applyFont="1" applyFill="1" applyBorder="1" applyAlignment="1">
      <alignment horizontal="left"/>
    </xf>
    <xf numFmtId="0" fontId="4" fillId="6" borderId="17" xfId="0" applyFont="1" applyFill="1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15" borderId="22" xfId="0" applyFill="1" applyBorder="1" applyAlignment="1">
      <alignment horizontal="center"/>
    </xf>
    <xf numFmtId="0" fontId="0" fillId="0" borderId="24" xfId="0" applyBorder="1" applyAlignment="1">
      <alignment horizontal="center" wrapText="1"/>
    </xf>
    <xf numFmtId="0" fontId="4" fillId="0" borderId="25" xfId="0" applyFont="1" applyBorder="1"/>
    <xf numFmtId="0" fontId="23" fillId="0" borderId="0" xfId="0" applyFont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26" borderId="0" xfId="0" applyFill="1"/>
    <xf numFmtId="0" fontId="0" fillId="27" borderId="0" xfId="0" applyFill="1"/>
    <xf numFmtId="0" fontId="3" fillId="22" borderId="0" xfId="0" applyFont="1" applyFill="1" applyAlignment="1">
      <alignment horizontal="left" indent="1"/>
    </xf>
    <xf numFmtId="0" fontId="21" fillId="28" borderId="0" xfId="0" applyFont="1" applyFill="1"/>
    <xf numFmtId="0" fontId="15" fillId="0" borderId="0" xfId="0" applyFont="1" applyAlignment="1">
      <alignment horizontal="center"/>
    </xf>
    <xf numFmtId="0" fontId="0" fillId="0" borderId="33" xfId="0" applyBorder="1"/>
    <xf numFmtId="0" fontId="27" fillId="29" borderId="30" xfId="0" applyFont="1" applyFill="1" applyBorder="1" applyAlignment="1">
      <alignment horizontal="right"/>
    </xf>
    <xf numFmtId="0" fontId="27" fillId="29" borderId="32" xfId="0" applyFont="1" applyFill="1" applyBorder="1" applyAlignment="1">
      <alignment horizontal="right"/>
    </xf>
    <xf numFmtId="0" fontId="0" fillId="31" borderId="0" xfId="0" applyFill="1"/>
    <xf numFmtId="0" fontId="28" fillId="0" borderId="0" xfId="0" applyFont="1" applyAlignment="1">
      <alignment vertical="top" wrapText="1"/>
    </xf>
    <xf numFmtId="0" fontId="0" fillId="13" borderId="0" xfId="0" applyFill="1" applyAlignment="1">
      <alignment horizontal="center"/>
    </xf>
    <xf numFmtId="0" fontId="4" fillId="20" borderId="5" xfId="0" applyFont="1" applyFill="1" applyBorder="1"/>
    <xf numFmtId="0" fontId="4" fillId="20" borderId="7" xfId="0" applyFont="1" applyFill="1" applyBorder="1"/>
    <xf numFmtId="0" fontId="0" fillId="0" borderId="7" xfId="0" applyBorder="1"/>
    <xf numFmtId="0" fontId="4" fillId="32" borderId="5" xfId="0" applyFont="1" applyFill="1" applyBorder="1"/>
    <xf numFmtId="0" fontId="4" fillId="32" borderId="6" xfId="0" applyFont="1" applyFill="1" applyBorder="1"/>
    <xf numFmtId="0" fontId="4" fillId="16" borderId="6" xfId="0" applyFont="1" applyFill="1" applyBorder="1" applyAlignment="1">
      <alignment horizontal="center" wrapText="1"/>
    </xf>
    <xf numFmtId="0" fontId="4" fillId="33" borderId="6" xfId="0" applyFont="1" applyFill="1" applyBorder="1"/>
    <xf numFmtId="0" fontId="4" fillId="33" borderId="7" xfId="0" applyFont="1" applyFill="1" applyBorder="1"/>
    <xf numFmtId="0" fontId="0" fillId="33" borderId="0" xfId="0" applyFill="1"/>
    <xf numFmtId="0" fontId="0" fillId="0" borderId="34" xfId="0" applyBorder="1"/>
    <xf numFmtId="0" fontId="0" fillId="0" borderId="35" xfId="0" applyBorder="1"/>
    <xf numFmtId="0" fontId="10" fillId="21" borderId="0" xfId="0" applyFont="1" applyFill="1"/>
    <xf numFmtId="0" fontId="10" fillId="14" borderId="0" xfId="0" applyFont="1" applyFill="1"/>
    <xf numFmtId="0" fontId="11" fillId="34" borderId="0" xfId="0" applyFont="1" applyFill="1"/>
    <xf numFmtId="0" fontId="29" fillId="0" borderId="0" xfId="0" applyFont="1"/>
    <xf numFmtId="0" fontId="29" fillId="0" borderId="36" xfId="0" applyFont="1" applyBorder="1"/>
    <xf numFmtId="0" fontId="29" fillId="3" borderId="36" xfId="0" applyFont="1" applyFill="1" applyBorder="1"/>
    <xf numFmtId="0" fontId="30" fillId="3" borderId="0" xfId="0" applyFont="1" applyFill="1" applyAlignment="1">
      <alignment horizontal="center" vertical="center"/>
    </xf>
    <xf numFmtId="0" fontId="30" fillId="17" borderId="0" xfId="0" applyFont="1" applyFill="1" applyAlignment="1">
      <alignment horizontal="center" vertical="center"/>
    </xf>
    <xf numFmtId="0" fontId="4" fillId="21" borderId="36" xfId="0" applyFont="1" applyFill="1" applyBorder="1"/>
    <xf numFmtId="0" fontId="0" fillId="18" borderId="7" xfId="0" applyFill="1" applyBorder="1"/>
    <xf numFmtId="0" fontId="32" fillId="35" borderId="0" xfId="0" applyFont="1" applyFill="1"/>
    <xf numFmtId="0" fontId="15" fillId="0" borderId="0" xfId="0" applyFont="1"/>
    <xf numFmtId="0" fontId="0" fillId="7" borderId="0" xfId="0" applyFill="1" applyAlignment="1">
      <alignment horizontal="center"/>
    </xf>
    <xf numFmtId="0" fontId="0" fillId="36" borderId="0" xfId="0" applyFill="1"/>
    <xf numFmtId="0" fontId="4" fillId="0" borderId="10" xfId="0" applyFont="1" applyBorder="1"/>
    <xf numFmtId="0" fontId="2" fillId="3" borderId="0" xfId="0" applyFont="1" applyFill="1"/>
    <xf numFmtId="0" fontId="0" fillId="0" borderId="22" xfId="0" applyBorder="1"/>
    <xf numFmtId="0" fontId="33" fillId="0" borderId="6" xfId="0" applyFont="1" applyBorder="1"/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6" xfId="0" applyFont="1" applyBorder="1"/>
    <xf numFmtId="0" fontId="10" fillId="0" borderId="7" xfId="0" applyFont="1" applyBorder="1"/>
    <xf numFmtId="0" fontId="0" fillId="20" borderId="0" xfId="0" applyFill="1"/>
    <xf numFmtId="0" fontId="4" fillId="0" borderId="5" xfId="0" applyFont="1" applyBorder="1" applyAlignment="1">
      <alignment horizontal="center"/>
    </xf>
    <xf numFmtId="0" fontId="10" fillId="0" borderId="5" xfId="0" applyFont="1" applyBorder="1"/>
    <xf numFmtId="0" fontId="4" fillId="16" borderId="0" xfId="0" applyFont="1" applyFill="1"/>
    <xf numFmtId="0" fontId="30" fillId="16" borderId="0" xfId="0" applyFont="1" applyFill="1"/>
    <xf numFmtId="0" fontId="15" fillId="0" borderId="0" xfId="0" applyFont="1" applyAlignment="1">
      <alignment wrapText="1"/>
    </xf>
    <xf numFmtId="0" fontId="34" fillId="29" borderId="32" xfId="0" applyFont="1" applyFill="1" applyBorder="1" applyAlignment="1">
      <alignment horizontal="left"/>
    </xf>
    <xf numFmtId="0" fontId="34" fillId="29" borderId="30" xfId="0" applyFont="1" applyFill="1" applyBorder="1" applyAlignment="1">
      <alignment horizontal="left"/>
    </xf>
    <xf numFmtId="0" fontId="35" fillId="30" borderId="0" xfId="0" applyFont="1" applyFill="1" applyAlignment="1">
      <alignment horizontal="left"/>
    </xf>
    <xf numFmtId="0" fontId="36" fillId="30" borderId="33" xfId="0" applyFont="1" applyFill="1" applyBorder="1" applyAlignment="1">
      <alignment horizontal="left"/>
    </xf>
    <xf numFmtId="0" fontId="35" fillId="30" borderId="31" xfId="0" applyFont="1" applyFill="1" applyBorder="1" applyAlignment="1">
      <alignment horizontal="left"/>
    </xf>
    <xf numFmtId="0" fontId="4" fillId="4" borderId="0" xfId="0" applyFont="1" applyFill="1"/>
    <xf numFmtId="0" fontId="0" fillId="0" borderId="0" xfId="0" applyAlignment="1">
      <alignment horizontal="right"/>
    </xf>
    <xf numFmtId="0" fontId="37" fillId="30" borderId="36" xfId="0" applyFont="1" applyFill="1" applyBorder="1" applyAlignment="1">
      <alignment horizontal="left"/>
    </xf>
    <xf numFmtId="0" fontId="32" fillId="38" borderId="36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right"/>
    </xf>
    <xf numFmtId="0" fontId="10" fillId="7" borderId="0" xfId="0" applyFont="1" applyFill="1" applyAlignment="1">
      <alignment horizontal="right"/>
    </xf>
    <xf numFmtId="0" fontId="10" fillId="0" borderId="3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/>
    </xf>
    <xf numFmtId="0" fontId="38" fillId="0" borderId="0" xfId="0" applyFont="1"/>
    <xf numFmtId="0" fontId="39" fillId="30" borderId="0" xfId="0" applyFont="1" applyFill="1" applyAlignment="1">
      <alignment horizontal="left"/>
    </xf>
    <xf numFmtId="0" fontId="40" fillId="30" borderId="33" xfId="0" applyFont="1" applyFill="1" applyBorder="1" applyAlignment="1">
      <alignment horizontal="left"/>
    </xf>
    <xf numFmtId="0" fontId="37" fillId="30" borderId="36" xfId="0" applyFont="1" applyFill="1" applyBorder="1" applyAlignment="1">
      <alignment horizontal="center" wrapText="1"/>
    </xf>
    <xf numFmtId="0" fontId="10" fillId="0" borderId="0" xfId="0" applyFont="1" applyAlignment="1">
      <alignment horizontal="right" vertical="center"/>
    </xf>
    <xf numFmtId="165" fontId="0" fillId="0" borderId="0" xfId="0" applyNumberFormat="1"/>
    <xf numFmtId="165" fontId="4" fillId="23" borderId="0" xfId="0" applyNumberFormat="1" applyFont="1" applyFill="1" applyAlignment="1">
      <alignment horizontal="center"/>
    </xf>
    <xf numFmtId="165" fontId="0" fillId="2" borderId="0" xfId="0" applyNumberFormat="1" applyFill="1"/>
    <xf numFmtId="165" fontId="4" fillId="21" borderId="23" xfId="0" applyNumberFormat="1" applyFont="1" applyFill="1" applyBorder="1"/>
    <xf numFmtId="14" fontId="0" fillId="0" borderId="0" xfId="0" applyNumberFormat="1"/>
    <xf numFmtId="12" fontId="0" fillId="0" borderId="0" xfId="0" applyNumberFormat="1"/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21" borderId="0" xfId="0" applyFill="1" applyAlignment="1">
      <alignment horizontal="center"/>
    </xf>
    <xf numFmtId="44" fontId="0" fillId="7" borderId="0" xfId="1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26" fillId="35" borderId="0" xfId="0" applyFont="1" applyFill="1" applyAlignment="1">
      <alignment horizontal="center"/>
    </xf>
    <xf numFmtId="0" fontId="10" fillId="37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4" fillId="13" borderId="0" xfId="0" applyFont="1" applyFill="1" applyAlignment="1">
      <alignment horizontal="center"/>
    </xf>
    <xf numFmtId="0" fontId="24" fillId="24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1" borderId="6" xfId="0" applyFont="1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15" fillId="26" borderId="1" xfId="0" applyFont="1" applyFill="1" applyBorder="1" applyAlignment="1">
      <alignment horizontal="center" vertical="center" wrapText="1"/>
    </xf>
    <xf numFmtId="0" fontId="15" fillId="26" borderId="2" xfId="0" applyFont="1" applyFill="1" applyBorder="1" applyAlignment="1">
      <alignment horizontal="center" vertical="center" wrapText="1"/>
    </xf>
    <xf numFmtId="0" fontId="15" fillId="26" borderId="3" xfId="0" applyFont="1" applyFill="1" applyBorder="1" applyAlignment="1">
      <alignment horizontal="center" vertical="center" wrapText="1"/>
    </xf>
    <xf numFmtId="0" fontId="15" fillId="26" borderId="4" xfId="0" applyFont="1" applyFill="1" applyBorder="1" applyAlignment="1">
      <alignment horizontal="center" vertical="center" wrapText="1"/>
    </xf>
    <xf numFmtId="0" fontId="26" fillId="2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1B3C9"/>
      <color rgb="FFFF0000"/>
      <color rgb="FFE1E38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Patient</a:t>
            </a:r>
            <a:r>
              <a:rPr lang="en-GB" baseline="0"/>
              <a:t> A &amp; B</a:t>
            </a:r>
            <a:endParaRPr lang="en-GB"/>
          </a:p>
        </c:rich>
      </c:tx>
      <c:layout>
        <c:manualLayout>
          <c:xMode val="edge"/>
          <c:yMode val="edge"/>
          <c:x val="0.3928263342082240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8274715660542434E-2"/>
                  <c:y val="-0.159966827063283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'Spearman''s'!$B$2:$B$13</c:f>
              <c:numCache>
                <c:formatCode>0.00</c:formatCode>
                <c:ptCount val="12"/>
                <c:pt idx="0">
                  <c:v>97</c:v>
                </c:pt>
                <c:pt idx="1">
                  <c:v>96</c:v>
                </c:pt>
                <c:pt idx="2">
                  <c:v>94</c:v>
                </c:pt>
                <c:pt idx="3">
                  <c:v>91</c:v>
                </c:pt>
                <c:pt idx="4">
                  <c:v>90</c:v>
                </c:pt>
                <c:pt idx="5">
                  <c:v>87</c:v>
                </c:pt>
                <c:pt idx="6">
                  <c:v>86</c:v>
                </c:pt>
                <c:pt idx="7">
                  <c:v>83</c:v>
                </c:pt>
                <c:pt idx="8">
                  <c:v>82</c:v>
                </c:pt>
                <c:pt idx="9">
                  <c:v>80</c:v>
                </c:pt>
                <c:pt idx="10">
                  <c:v>77</c:v>
                </c:pt>
                <c:pt idx="11">
                  <c:v>71</c:v>
                </c:pt>
              </c:numCache>
            </c:numRef>
          </c:xVal>
          <c:yVal>
            <c:numRef>
              <c:f>'Spearman''s'!$C$2:$C$13</c:f>
              <c:numCache>
                <c:formatCode>0.00</c:formatCode>
                <c:ptCount val="12"/>
                <c:pt idx="0">
                  <c:v>210</c:v>
                </c:pt>
                <c:pt idx="1">
                  <c:v>230</c:v>
                </c:pt>
                <c:pt idx="2">
                  <c:v>198</c:v>
                </c:pt>
                <c:pt idx="3">
                  <c:v>204</c:v>
                </c:pt>
                <c:pt idx="4">
                  <c:v>213</c:v>
                </c:pt>
                <c:pt idx="5">
                  <c:v>206</c:v>
                </c:pt>
                <c:pt idx="6">
                  <c:v>200</c:v>
                </c:pt>
                <c:pt idx="7">
                  <c:v>186</c:v>
                </c:pt>
                <c:pt idx="8">
                  <c:v>192</c:v>
                </c:pt>
                <c:pt idx="9">
                  <c:v>202</c:v>
                </c:pt>
                <c:pt idx="10">
                  <c:v>191</c:v>
                </c:pt>
                <c:pt idx="11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8-4DDB-9BFB-6CA8EFE3A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38736"/>
        <c:axId val="484837096"/>
      </c:scatterChart>
      <c:valAx>
        <c:axId val="4848387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37096"/>
        <c:crosses val="autoZero"/>
        <c:crossBetween val="midCat"/>
        <c:majorUnit val="10"/>
      </c:valAx>
      <c:valAx>
        <c:axId val="48483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3873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'Complex chi square'!$B$5:$D$5</c:f>
              <c:numCache>
                <c:formatCode>General</c:formatCode>
                <c:ptCount val="3"/>
                <c:pt idx="0">
                  <c:v>190</c:v>
                </c:pt>
                <c:pt idx="1">
                  <c:v>155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5-41CD-B08F-6ED3A9628DF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'Complex chi square'!$B$6:$D$6</c:f>
              <c:numCache>
                <c:formatCode>General</c:formatCode>
                <c:ptCount val="3"/>
                <c:pt idx="0">
                  <c:v>240</c:v>
                </c:pt>
                <c:pt idx="1">
                  <c:v>290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5-41CD-B08F-6ED3A9628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80350016"/>
        <c:axId val="880341816"/>
        <c:axId val="0"/>
      </c:bar3DChart>
      <c:catAx>
        <c:axId val="88035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41816"/>
        <c:crosses val="autoZero"/>
        <c:auto val="1"/>
        <c:lblAlgn val="ctr"/>
        <c:lblOffset val="100"/>
        <c:noMultiLvlLbl val="0"/>
      </c:catAx>
      <c:valAx>
        <c:axId val="88034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3175</xdr:colOff>
      <xdr:row>10</xdr:row>
      <xdr:rowOff>95250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FC5E4-567C-4CF5-AFEF-30362C2E32EA}"/>
            </a:ext>
          </a:extLst>
        </xdr:cNvPr>
        <xdr:cNvSpPr txBox="1"/>
      </xdr:nvSpPr>
      <xdr:spPr>
        <a:xfrm>
          <a:off x="4143375" y="196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8</xdr:col>
      <xdr:colOff>66675</xdr:colOff>
      <xdr:row>6</xdr:row>
      <xdr:rowOff>44450</xdr:rowOff>
    </xdr:from>
    <xdr:ext cx="2155826" cy="946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B329ABB-F4E3-4E6F-BA15-92DC9107A2C8}"/>
                </a:ext>
              </a:extLst>
            </xdr:cNvPr>
            <xdr:cNvSpPr txBox="1"/>
          </xdr:nvSpPr>
          <xdr:spPr>
            <a:xfrm>
              <a:off x="5387975" y="1181100"/>
              <a:ext cx="2155826" cy="946150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  <a:scene3d>
                <a:camera prst="perspectiveAbove"/>
                <a:lightRig rig="threePt" dir="t"/>
              </a:scene3d>
              <a:sp3d prstMaterial="metal"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400" b="1" i="1">
                        <a:effectLst/>
                        <a:latin typeface="Cambria Math" panose="02040503050406030204" pitchFamily="18" charset="0"/>
                      </a:rPr>
                      <m:t>𝜞</m:t>
                    </m:r>
                    <m:r>
                      <a:rPr lang="en-GB" sz="2400" b="1" i="0">
                        <a:effectLst/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2400" b="1" i="1">
                            <a:effectLst/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2400" b="1" i="0">
                            <a:effectLst/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n-GB" sz="2400" b="1" i="0">
                            <a:effectLst/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2400" b="1" i="0">
                            <a:effectLst/>
                            <a:latin typeface="Cambria Math" panose="02040503050406030204" pitchFamily="18" charset="0"/>
                          </a:rPr>
                          <m:t>𝟔</m:t>
                        </m:r>
                        <m:r>
                          <a:rPr lang="en-GB" sz="2400" b="1" i="1">
                            <a:effectLst/>
                            <a:latin typeface="Cambria Math" panose="02040503050406030204" pitchFamily="18" charset="0"/>
                          </a:rPr>
                          <m:t>𝜮</m:t>
                        </m:r>
                        <m:sSup>
                          <m:sSupPr>
                            <m:ctrlPr>
                              <a:rPr lang="en-GB" sz="2400" b="1" i="1">
                                <a:effectLst/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2400" b="1" i="0">
                                <a:effectLst/>
                                <a:latin typeface="Cambria Math" panose="02040503050406030204" pitchFamily="18" charset="0"/>
                              </a:rPr>
                              <m:t>ⅆ</m:t>
                            </m:r>
                          </m:e>
                          <m:sup>
                            <m:r>
                              <a:rPr lang="en-GB" sz="2400" b="1" i="0">
                                <a:effectLst/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GB" sz="2400" b="1" i="1">
                                <a:effectLst/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2400" b="1" i="1">
                                <a:effectLst/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p>
                            <m:r>
                              <a:rPr lang="en-GB" sz="2400" b="1" i="0">
                                <a:effectLst/>
                                <a:latin typeface="Cambria Math" panose="02040503050406030204" pitchFamily="18" charset="0"/>
                              </a:rPr>
                              <m:t>𝟑</m:t>
                            </m:r>
                          </m:sup>
                        </m:sSup>
                        <m:r>
                          <a:rPr lang="en-GB" sz="2400" b="1" i="0">
                            <a:effectLst/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2400" b="1" i="1">
                            <a:effectLst/>
                            <a:latin typeface="Cambria Math" panose="02040503050406030204" pitchFamily="18" charset="0"/>
                          </a:rPr>
                          <m:t>𝒏</m:t>
                        </m:r>
                      </m:den>
                    </m:f>
                  </m:oMath>
                </m:oMathPara>
              </a14:m>
              <a:endParaRPr lang="en-GB" sz="2400" b="1">
                <a:effectLst>
                  <a:glow>
                    <a:schemeClr val="accent1"/>
                  </a:glow>
                </a:effectLst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B329ABB-F4E3-4E6F-BA15-92DC9107A2C8}"/>
                </a:ext>
              </a:extLst>
            </xdr:cNvPr>
            <xdr:cNvSpPr txBox="1"/>
          </xdr:nvSpPr>
          <xdr:spPr>
            <a:xfrm>
              <a:off x="5387975" y="1181100"/>
              <a:ext cx="2155826" cy="946150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  <a:scene3d>
                <a:camera prst="perspectiveAbove"/>
                <a:lightRig rig="threePt" dir="t"/>
              </a:scene3d>
              <a:sp3d prstMaterial="metal"/>
            </a:bodyPr>
            <a:lstStyle/>
            <a:p>
              <a:pPr/>
              <a:r>
                <a:rPr lang="en-GB" sz="2400" b="1" i="0">
                  <a:effectLst/>
                  <a:latin typeface="Cambria Math" panose="02040503050406030204" pitchFamily="18" charset="0"/>
                </a:rPr>
                <a:t>𝜞=(𝟏−𝟔𝜮ⅆ^𝟐)/(𝒏^𝟑−𝒏)</a:t>
              </a:r>
              <a:endParaRPr lang="en-GB" sz="2400" b="1">
                <a:effectLst>
                  <a:glow>
                    <a:schemeClr val="accent1"/>
                  </a:glow>
                </a:effectLst>
              </a:endParaRPr>
            </a:p>
          </xdr:txBody>
        </xdr:sp>
      </mc:Fallback>
    </mc:AlternateContent>
    <xdr:clientData/>
  </xdr:oneCellAnchor>
  <xdr:twoCellAnchor>
    <xdr:from>
      <xdr:col>8</xdr:col>
      <xdr:colOff>450850</xdr:colOff>
      <xdr:row>23</xdr:row>
      <xdr:rowOff>165100</xdr:rowOff>
    </xdr:from>
    <xdr:to>
      <xdr:col>14</xdr:col>
      <xdr:colOff>6350</xdr:colOff>
      <xdr:row>33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66037B-434C-48E3-94B9-8CBE6B9DF714}"/>
            </a:ext>
          </a:extLst>
        </xdr:cNvPr>
        <xdr:cNvSpPr txBox="1"/>
      </xdr:nvSpPr>
      <xdr:spPr>
        <a:xfrm>
          <a:off x="5772150" y="4514850"/>
          <a:ext cx="3829050" cy="18161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After deciding if the test is one or two tailed with Level of significance and getting the r Value , Next step is to check the Critical Value using N, tailed test and Level of significance to to know if the data is significant . To be significant the critical Values of Spearmans r, must be equal to or more than the "</a:t>
          </a:r>
          <a:r>
            <a:rPr lang="en-GB" sz="1100" b="1"/>
            <a:t>stated</a:t>
          </a:r>
          <a:r>
            <a:rPr lang="en-GB" sz="1100"/>
            <a:t>" Value to be significant.</a:t>
          </a:r>
        </a:p>
      </xdr:txBody>
    </xdr:sp>
    <xdr:clientData/>
  </xdr:twoCellAnchor>
  <xdr:twoCellAnchor>
    <xdr:from>
      <xdr:col>13</xdr:col>
      <xdr:colOff>530225</xdr:colOff>
      <xdr:row>3</xdr:row>
      <xdr:rowOff>63500</xdr:rowOff>
    </xdr:from>
    <xdr:to>
      <xdr:col>21</xdr:col>
      <xdr:colOff>225425</xdr:colOff>
      <xdr:row>17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15BB43-21E6-4A0D-9F4E-B894FF6CC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133350</xdr:rowOff>
    </xdr:from>
    <xdr:to>
      <xdr:col>9</xdr:col>
      <xdr:colOff>622300</xdr:colOff>
      <xdr:row>4</xdr:row>
      <xdr:rowOff>31750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D3DBAF-4D09-4D9F-97CE-64F2E815690D}"/>
            </a:ext>
          </a:extLst>
        </xdr:cNvPr>
        <xdr:cNvSpPr txBox="1"/>
      </xdr:nvSpPr>
      <xdr:spPr>
        <a:xfrm>
          <a:off x="5797550" y="349250"/>
          <a:ext cx="1397000" cy="450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Password:</a:t>
          </a:r>
          <a:r>
            <a:rPr lang="en-GB" sz="1400" b="1" baseline="0"/>
            <a:t> 1999</a:t>
          </a:r>
          <a:endParaRPr lang="en-GB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69850</xdr:colOff>
      <xdr:row>0</xdr:row>
      <xdr:rowOff>0</xdr:rowOff>
    </xdr:from>
    <xdr:to>
      <xdr:col>16</xdr:col>
      <xdr:colOff>101600</xdr:colOff>
      <xdr:row>8</xdr:row>
      <xdr:rowOff>174414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27D84B7-92EA-4718-B449-84C5BE42B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9650" y="0"/>
          <a:ext cx="2470150" cy="16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31751</xdr:colOff>
      <xdr:row>1</xdr:row>
      <xdr:rowOff>165100</xdr:rowOff>
    </xdr:from>
    <xdr:to>
      <xdr:col>5</xdr:col>
      <xdr:colOff>510118</xdr:colOff>
      <xdr:row>5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EC1DDB-FB7A-4AB0-8731-166556684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1" y="349250"/>
          <a:ext cx="2916767" cy="6731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0</xdr:row>
      <xdr:rowOff>63500</xdr:rowOff>
    </xdr:from>
    <xdr:to>
      <xdr:col>10</xdr:col>
      <xdr:colOff>450850</xdr:colOff>
      <xdr:row>7</xdr:row>
      <xdr:rowOff>132404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84B163-EADB-476D-B384-F434D7F2F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71900" y="63500"/>
          <a:ext cx="2774950" cy="1357954"/>
        </a:xfrm>
        <a:prstGeom prst="rect">
          <a:avLst/>
        </a:prstGeom>
      </xdr:spPr>
    </xdr:pic>
    <xdr:clientData/>
  </xdr:twoCellAnchor>
  <xdr:twoCellAnchor editAs="oneCell">
    <xdr:from>
      <xdr:col>0</xdr:col>
      <xdr:colOff>241299</xdr:colOff>
      <xdr:row>7</xdr:row>
      <xdr:rowOff>50800</xdr:rowOff>
    </xdr:from>
    <xdr:to>
      <xdr:col>6</xdr:col>
      <xdr:colOff>517670</xdr:colOff>
      <xdr:row>13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25AA11-D77E-4AAF-B780-F850BC5EB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1299" y="1339850"/>
          <a:ext cx="3933971" cy="1168400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508000</xdr:colOff>
      <xdr:row>8</xdr:row>
      <xdr:rowOff>99300</xdr:rowOff>
    </xdr:from>
    <xdr:to>
      <xdr:col>15</xdr:col>
      <xdr:colOff>140011</xdr:colOff>
      <xdr:row>17</xdr:row>
      <xdr:rowOff>19050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D2084C8-3C3D-44E7-AE39-5132B8084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84800" y="1572500"/>
          <a:ext cx="3899211" cy="1577100"/>
        </a:xfrm>
        <a:prstGeom prst="rect">
          <a:avLst/>
        </a:prstGeom>
      </xdr:spPr>
    </xdr:pic>
    <xdr:clientData/>
  </xdr:twoCellAnchor>
  <xdr:oneCellAnchor>
    <xdr:from>
      <xdr:col>7</xdr:col>
      <xdr:colOff>485775</xdr:colOff>
      <xdr:row>8</xdr:row>
      <xdr:rowOff>69850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F2DDE54-CE87-4248-8FE2-1F90D3F83E16}"/>
            </a:ext>
          </a:extLst>
        </xdr:cNvPr>
        <xdr:cNvSpPr txBox="1"/>
      </xdr:nvSpPr>
      <xdr:spPr>
        <a:xfrm rot="19500000">
          <a:off x="4752975" y="1543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4</xdr:col>
      <xdr:colOff>511175</xdr:colOff>
      <xdr:row>18</xdr:row>
      <xdr:rowOff>31750</xdr:rowOff>
    </xdr:from>
    <xdr:ext cx="873125" cy="4252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C6FEFEC-F891-40CE-87A7-BFD12C43902F}"/>
                </a:ext>
              </a:extLst>
            </xdr:cNvPr>
            <xdr:cNvSpPr txBox="1"/>
          </xdr:nvSpPr>
          <xdr:spPr>
            <a:xfrm>
              <a:off x="2949575" y="3346450"/>
              <a:ext cx="873125" cy="425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600" b="1" i="1">
                            <a:solidFill>
                              <a:schemeClr val="accent2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600" b="1" i="1">
                            <a:solidFill>
                              <a:schemeClr val="accent2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num>
                      <m:den>
                        <m:r>
                          <a:rPr lang="en-GB" sz="1600" b="1" i="1">
                            <a:solidFill>
                              <a:schemeClr val="accent2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𝒏</m:t>
                        </m:r>
                      </m:den>
                    </m:f>
                    <m:r>
                      <a:rPr lang="en-GB" sz="1600" b="1" i="1">
                        <a:solidFill>
                          <a:schemeClr val="accent2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n-GB" sz="1600" b="1" i="1">
                        <a:solidFill>
                          <a:schemeClr val="accent2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𝝅</m:t>
                    </m:r>
                  </m:oMath>
                </m:oMathPara>
              </a14:m>
              <a:endParaRPr lang="en-GB" sz="1600" b="1">
                <a:solidFill>
                  <a:schemeClr val="accent2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C6FEFEC-F891-40CE-87A7-BFD12C43902F}"/>
                </a:ext>
              </a:extLst>
            </xdr:cNvPr>
            <xdr:cNvSpPr txBox="1"/>
          </xdr:nvSpPr>
          <xdr:spPr>
            <a:xfrm>
              <a:off x="2949575" y="3346450"/>
              <a:ext cx="873125" cy="425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600" b="1" i="0">
                  <a:solidFill>
                    <a:schemeClr val="accent2">
                      <a:lumMod val="50000"/>
                    </a:schemeClr>
                  </a:solidFill>
                  <a:latin typeface="Cambria Math" panose="02040503050406030204" pitchFamily="18" charset="0"/>
                </a:rPr>
                <a:t>𝒙/𝒏−𝝅</a:t>
              </a:r>
              <a:endParaRPr lang="en-GB" sz="1600" b="1">
                <a:solidFill>
                  <a:schemeClr val="accent2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161925</xdr:colOff>
      <xdr:row>24</xdr:row>
      <xdr:rowOff>25400</xdr:rowOff>
    </xdr:from>
    <xdr:ext cx="1025525" cy="563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EB16198-41B3-45A9-ADC8-52EE27C22BCA}"/>
                </a:ext>
              </a:extLst>
            </xdr:cNvPr>
            <xdr:cNvSpPr txBox="1"/>
          </xdr:nvSpPr>
          <xdr:spPr>
            <a:xfrm>
              <a:off x="3209925" y="4597400"/>
              <a:ext cx="1025525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GB" sz="1800" b="1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GB" sz="1800" b="1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GB" sz="1800" b="1" i="1">
                              <a:latin typeface="Cambria Math" panose="02040503050406030204" pitchFamily="18" charset="0"/>
                            </a:rPr>
                            <m:t>𝝅</m:t>
                          </m:r>
                          <m:d>
                            <m:dPr>
                              <m:ctrlPr>
                                <a:rPr lang="en-GB" sz="1800" b="1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GB" sz="1800" b="1" i="0">
                                  <a:latin typeface="Cambria Math" panose="02040503050406030204" pitchFamily="18" charset="0"/>
                                </a:rPr>
                                <m:t>𝟏</m:t>
                              </m:r>
                              <m:r>
                                <a:rPr lang="en-GB" sz="1800" b="1" i="0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r>
                                <a:rPr lang="en-GB" sz="1800" b="1" i="1">
                                  <a:latin typeface="Cambria Math" panose="02040503050406030204" pitchFamily="18" charset="0"/>
                                </a:rPr>
                                <m:t>𝝅</m:t>
                              </m:r>
                            </m:e>
                          </m:d>
                        </m:num>
                        <m:den>
                          <m:r>
                            <a:rPr lang="en-GB" sz="1800" b="1" i="1">
                              <a:latin typeface="Cambria Math" panose="02040503050406030204" pitchFamily="18" charset="0"/>
                            </a:rPr>
                            <m:t>𝒏</m:t>
                          </m:r>
                        </m:den>
                      </m:f>
                    </m:e>
                  </m:rad>
                </m:oMath>
              </a14:m>
              <a:r>
                <a:rPr lang="en-GB" sz="1800" b="1"/>
                <a:t>  =</a:t>
              </a:r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EB16198-41B3-45A9-ADC8-52EE27C22BCA}"/>
                </a:ext>
              </a:extLst>
            </xdr:cNvPr>
            <xdr:cNvSpPr txBox="1"/>
          </xdr:nvSpPr>
          <xdr:spPr>
            <a:xfrm>
              <a:off x="3209925" y="4597400"/>
              <a:ext cx="1025525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800" b="1" i="0">
                  <a:latin typeface="Cambria Math" panose="02040503050406030204" pitchFamily="18" charset="0"/>
                </a:rPr>
                <a:t>√(𝝅(𝟏−𝝅)/𝒏)</a:t>
              </a:r>
              <a:r>
                <a:rPr lang="en-GB" sz="1800" b="1"/>
                <a:t>  =</a:t>
              </a:r>
            </a:p>
          </xdr:txBody>
        </xdr:sp>
      </mc:Fallback>
    </mc:AlternateContent>
    <xdr:clientData/>
  </xdr:oneCellAnchor>
  <xdr:twoCellAnchor editAs="oneCell">
    <xdr:from>
      <xdr:col>5</xdr:col>
      <xdr:colOff>304801</xdr:colOff>
      <xdr:row>30</xdr:row>
      <xdr:rowOff>79994</xdr:rowOff>
    </xdr:from>
    <xdr:to>
      <xdr:col>6</xdr:col>
      <xdr:colOff>268002</xdr:colOff>
      <xdr:row>31</xdr:row>
      <xdr:rowOff>274782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F11946-7601-4579-9ADA-90FF6054E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56100" y="5984669"/>
          <a:ext cx="573460" cy="400957"/>
        </a:xfrm>
        <a:prstGeom prst="rect">
          <a:avLst/>
        </a:prstGeom>
      </xdr:spPr>
    </xdr:pic>
    <xdr:clientData/>
  </xdr:twoCellAnchor>
  <xdr:twoCellAnchor editAs="oneCell">
    <xdr:from>
      <xdr:col>5</xdr:col>
      <xdr:colOff>394359</xdr:colOff>
      <xdr:row>28</xdr:row>
      <xdr:rowOff>200562</xdr:rowOff>
    </xdr:from>
    <xdr:to>
      <xdr:col>6</xdr:col>
      <xdr:colOff>233492</xdr:colOff>
      <xdr:row>30</xdr:row>
      <xdr:rowOff>78098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FB71A3C-FF23-4043-9C6F-69E52C22D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45658" y="5643419"/>
          <a:ext cx="449392" cy="331107"/>
        </a:xfrm>
        <a:prstGeom prst="rect">
          <a:avLst/>
        </a:prstGeom>
      </xdr:spPr>
    </xdr:pic>
    <xdr:clientData/>
  </xdr:twoCellAnchor>
  <xdr:twoCellAnchor editAs="oneCell">
    <xdr:from>
      <xdr:col>19</xdr:col>
      <xdr:colOff>518968</xdr:colOff>
      <xdr:row>2</xdr:row>
      <xdr:rowOff>99704</xdr:rowOff>
    </xdr:from>
    <xdr:to>
      <xdr:col>22</xdr:col>
      <xdr:colOff>387598</xdr:colOff>
      <xdr:row>8</xdr:row>
      <xdr:rowOff>181128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D967C08-1CD4-413D-A85A-71054F553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13903" y="462561"/>
          <a:ext cx="1798370" cy="1169996"/>
        </a:xfrm>
        <a:prstGeom prst="rect">
          <a:avLst/>
        </a:prstGeom>
      </xdr:spPr>
    </xdr:pic>
    <xdr:clientData/>
  </xdr:twoCellAnchor>
  <xdr:twoCellAnchor editAs="oneCell">
    <xdr:from>
      <xdr:col>23</xdr:col>
      <xdr:colOff>25400</xdr:colOff>
      <xdr:row>0</xdr:row>
      <xdr:rowOff>0</xdr:rowOff>
    </xdr:from>
    <xdr:to>
      <xdr:col>28</xdr:col>
      <xdr:colOff>560763</xdr:colOff>
      <xdr:row>7</xdr:row>
      <xdr:rowOff>12700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9C63185-1DE6-4D32-9EA1-29D616A58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46200" y="0"/>
          <a:ext cx="3583363" cy="1301750"/>
        </a:xfrm>
        <a:prstGeom prst="rect">
          <a:avLst/>
        </a:prstGeom>
      </xdr:spPr>
    </xdr:pic>
    <xdr:clientData/>
  </xdr:twoCellAnchor>
  <xdr:twoCellAnchor editAs="oneCell">
    <xdr:from>
      <xdr:col>21</xdr:col>
      <xdr:colOff>82550</xdr:colOff>
      <xdr:row>9</xdr:row>
      <xdr:rowOff>95250</xdr:rowOff>
    </xdr:from>
    <xdr:to>
      <xdr:col>28</xdr:col>
      <xdr:colOff>416294</xdr:colOff>
      <xdr:row>19</xdr:row>
      <xdr:rowOff>38100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0D7086C-F2FE-466B-85A1-2505BC294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884150" y="1752600"/>
          <a:ext cx="4699905" cy="1835150"/>
        </a:xfrm>
        <a:prstGeom prst="rect">
          <a:avLst/>
        </a:prstGeom>
      </xdr:spPr>
    </xdr:pic>
    <xdr:clientData/>
  </xdr:twoCellAnchor>
  <xdr:oneCellAnchor>
    <xdr:from>
      <xdr:col>19</xdr:col>
      <xdr:colOff>49975</xdr:colOff>
      <xdr:row>14</xdr:row>
      <xdr:rowOff>24741</xdr:rowOff>
    </xdr:from>
    <xdr:ext cx="667493" cy="31704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7BF8474-AA74-4096-A456-B49C6E0E59D1}"/>
            </a:ext>
          </a:extLst>
        </xdr:cNvPr>
        <xdr:cNvSpPr txBox="1"/>
      </xdr:nvSpPr>
      <xdr:spPr>
        <a:xfrm>
          <a:off x="11644910" y="2564741"/>
          <a:ext cx="667493" cy="317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en-GB" sz="1100"/>
        </a:p>
      </xdr:txBody>
    </xdr:sp>
    <xdr:clientData/>
  </xdr:oneCellAnchor>
  <xdr:oneCellAnchor>
    <xdr:from>
      <xdr:col>20</xdr:col>
      <xdr:colOff>586014</xdr:colOff>
      <xdr:row>27</xdr:row>
      <xdr:rowOff>87085</xdr:rowOff>
    </xdr:from>
    <xdr:ext cx="642752" cy="3464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85989FE1-991C-4C74-89BE-D7092916BE30}"/>
                </a:ext>
              </a:extLst>
            </xdr:cNvPr>
            <xdr:cNvSpPr txBox="1"/>
          </xdr:nvSpPr>
          <xdr:spPr>
            <a:xfrm>
              <a:off x="12791209" y="5505202"/>
              <a:ext cx="642752" cy="346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2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GB" sz="12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GB" sz="120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GB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2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GB" sz="12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2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85989FE1-991C-4C74-89BE-D7092916BE30}"/>
                </a:ext>
              </a:extLst>
            </xdr:cNvPr>
            <xdr:cNvSpPr txBox="1"/>
          </xdr:nvSpPr>
          <xdr:spPr>
            <a:xfrm>
              <a:off x="12791209" y="5505202"/>
              <a:ext cx="642752" cy="346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200" i="0">
                  <a:latin typeface="Cambria Math" panose="02040503050406030204" pitchFamily="18" charset="0"/>
                </a:rPr>
                <a:t>𝑥_1/𝑛_1 −𝑥_2/𝑛_2 </a:t>
              </a:r>
              <a:endParaRPr lang="en-GB" sz="1200"/>
            </a:p>
          </xdr:txBody>
        </xdr:sp>
      </mc:Fallback>
    </mc:AlternateContent>
    <xdr:clientData/>
  </xdr:oneCellAnchor>
  <xdr:twoCellAnchor editAs="oneCell">
    <xdr:from>
      <xdr:col>21</xdr:col>
      <xdr:colOff>82468</xdr:colOff>
      <xdr:row>36</xdr:row>
      <xdr:rowOff>156688</xdr:rowOff>
    </xdr:from>
    <xdr:to>
      <xdr:col>22</xdr:col>
      <xdr:colOff>494805</xdr:colOff>
      <xdr:row>39</xdr:row>
      <xdr:rowOff>43588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0F92C99-9769-436B-B7A7-7E7756FE2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897923" y="7430324"/>
          <a:ext cx="1121557" cy="480667"/>
        </a:xfrm>
        <a:prstGeom prst="rect">
          <a:avLst/>
        </a:prstGeom>
      </xdr:spPr>
    </xdr:pic>
    <xdr:clientData/>
  </xdr:twoCellAnchor>
  <xdr:twoCellAnchor editAs="oneCell">
    <xdr:from>
      <xdr:col>21</xdr:col>
      <xdr:colOff>280390</xdr:colOff>
      <xdr:row>40</xdr:row>
      <xdr:rowOff>74220</xdr:rowOff>
    </xdr:from>
    <xdr:to>
      <xdr:col>22</xdr:col>
      <xdr:colOff>280391</xdr:colOff>
      <xdr:row>42</xdr:row>
      <xdr:rowOff>181428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90781D8-45DB-447E-97E3-89B72630C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095845" y="7867402"/>
          <a:ext cx="709221" cy="470065"/>
        </a:xfrm>
        <a:prstGeom prst="rect">
          <a:avLst/>
        </a:prstGeom>
      </xdr:spPr>
    </xdr:pic>
    <xdr:clientData/>
  </xdr:twoCellAnchor>
  <xdr:twoCellAnchor editAs="oneCell">
    <xdr:from>
      <xdr:col>21</xdr:col>
      <xdr:colOff>49481</xdr:colOff>
      <xdr:row>43</xdr:row>
      <xdr:rowOff>24740</xdr:rowOff>
    </xdr:from>
    <xdr:to>
      <xdr:col>22</xdr:col>
      <xdr:colOff>536039</xdr:colOff>
      <xdr:row>46</xdr:row>
      <xdr:rowOff>32987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D41C6E8-A8BC-4504-85B2-698A3B794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864936" y="8362208"/>
          <a:ext cx="1195778" cy="5690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733425</xdr:colOff>
      <xdr:row>6</xdr:row>
      <xdr:rowOff>19050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4C4D88-3EC1-402A-9E3A-0499E9144613}"/>
            </a:ext>
          </a:extLst>
        </xdr:cNvPr>
        <xdr:cNvSpPr txBox="1"/>
      </xdr:nvSpPr>
      <xdr:spPr>
        <a:xfrm>
          <a:off x="5413375" y="1543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63500</xdr:colOff>
      <xdr:row>12</xdr:row>
      <xdr:rowOff>63500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956E78-6A1E-4669-B142-1BB71446FD15}"/>
            </a:ext>
          </a:extLst>
        </xdr:cNvPr>
        <xdr:cNvSpPr txBox="1"/>
      </xdr:nvSpPr>
      <xdr:spPr>
        <a:xfrm>
          <a:off x="6426200" y="2374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435363</xdr:colOff>
      <xdr:row>4</xdr:row>
      <xdr:rowOff>45100</xdr:rowOff>
    </xdr:from>
    <xdr:ext cx="109537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2187499-3728-4BF6-B648-8232F88BF4ED}"/>
                </a:ext>
              </a:extLst>
            </xdr:cNvPr>
            <xdr:cNvSpPr txBox="1"/>
          </xdr:nvSpPr>
          <xdr:spPr>
            <a:xfrm>
              <a:off x="4089853" y="783773"/>
              <a:ext cx="10953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GB" sz="1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2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n-GB" sz="1200" b="1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200" b="1" i="1">
                            <a:latin typeface="Cambria Math" panose="02040503050406030204" pitchFamily="18" charset="0"/>
                          </a:rPr>
                          <m:t>𝑬</m:t>
                        </m:r>
                      </m:e>
                    </m:d>
                  </m:oMath>
                </m:oMathPara>
              </a14:m>
              <a:endParaRPr lang="en-GB" sz="12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2187499-3728-4BF6-B648-8232F88BF4ED}"/>
                </a:ext>
              </a:extLst>
            </xdr:cNvPr>
            <xdr:cNvSpPr txBox="1"/>
          </xdr:nvSpPr>
          <xdr:spPr>
            <a:xfrm>
              <a:off x="4089853" y="783773"/>
              <a:ext cx="10953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en-GB" sz="1200" b="1" i="0">
                  <a:latin typeface="Cambria Math" panose="02040503050406030204" pitchFamily="18" charset="0"/>
                </a:rPr>
                <a:t>|𝟎−𝑬|</a:t>
              </a:r>
              <a:endParaRPr lang="en-GB" sz="1200" b="1"/>
            </a:p>
          </xdr:txBody>
        </xdr:sp>
      </mc:Fallback>
    </mc:AlternateContent>
    <xdr:clientData/>
  </xdr:oneCellAnchor>
  <xdr:oneCellAnchor>
    <xdr:from>
      <xdr:col>8</xdr:col>
      <xdr:colOff>3175</xdr:colOff>
      <xdr:row>3</xdr:row>
      <xdr:rowOff>139700</xdr:rowOff>
    </xdr:from>
    <xdr:ext cx="602729" cy="3740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61D1F58-7D93-456E-9AE1-DACF1A9FE423}"/>
                </a:ext>
              </a:extLst>
            </xdr:cNvPr>
            <xdr:cNvSpPr txBox="1"/>
          </xdr:nvSpPr>
          <xdr:spPr>
            <a:xfrm>
              <a:off x="5705475" y="1060450"/>
              <a:ext cx="602729" cy="374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2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en-GB" sz="1200" b="1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200" b="1" i="1">
                                    <a:latin typeface="Cambria Math" panose="02040503050406030204" pitchFamily="18" charset="0"/>
                                  </a:rPr>
                                  <m:t>𝑶</m:t>
                                </m:r>
                                <m:r>
                                  <a:rPr lang="en-GB" sz="120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GB" sz="1200" b="1" i="1">
                                    <a:latin typeface="Cambria Math" panose="02040503050406030204" pitchFamily="18" charset="0"/>
                                  </a:rPr>
                                  <m:t>𝑬</m:t>
                                </m:r>
                              </m:e>
                            </m:d>
                          </m:e>
                          <m:sup>
                            <m:r>
                              <a:rPr lang="en-GB" sz="12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num>
                      <m:den>
                        <m:r>
                          <a:rPr lang="en-GB" sz="1200" b="1" i="1">
                            <a:latin typeface="Cambria Math" panose="02040503050406030204" pitchFamily="18" charset="0"/>
                          </a:rPr>
                          <m:t>𝑬</m:t>
                        </m:r>
                      </m:den>
                    </m:f>
                  </m:oMath>
                </m:oMathPara>
              </a14:m>
              <a:endParaRPr lang="en-GB" sz="1200" b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61D1F58-7D93-456E-9AE1-DACF1A9FE423}"/>
                </a:ext>
              </a:extLst>
            </xdr:cNvPr>
            <xdr:cNvSpPr txBox="1"/>
          </xdr:nvSpPr>
          <xdr:spPr>
            <a:xfrm>
              <a:off x="5705475" y="1060450"/>
              <a:ext cx="602729" cy="374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b="1" i="0">
                  <a:latin typeface="Cambria Math" panose="02040503050406030204" pitchFamily="18" charset="0"/>
                </a:rPr>
                <a:t>|𝑶−𝑬|^𝟐/𝑬</a:t>
              </a:r>
              <a:endParaRPr lang="en-GB" sz="1200" b="1"/>
            </a:p>
          </xdr:txBody>
        </xdr:sp>
      </mc:Fallback>
    </mc:AlternateContent>
    <xdr:clientData/>
  </xdr:oneCellAnchor>
  <xdr:twoCellAnchor>
    <xdr:from>
      <xdr:col>6</xdr:col>
      <xdr:colOff>1289439</xdr:colOff>
      <xdr:row>14</xdr:row>
      <xdr:rowOff>45362</xdr:rowOff>
    </xdr:from>
    <xdr:to>
      <xdr:col>6</xdr:col>
      <xdr:colOff>1431991</xdr:colOff>
      <xdr:row>14</xdr:row>
      <xdr:rowOff>142551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30202D3B-601D-4F91-BA5A-25916904FA9D}"/>
            </a:ext>
          </a:extLst>
        </xdr:cNvPr>
        <xdr:cNvSpPr/>
      </xdr:nvSpPr>
      <xdr:spPr>
        <a:xfrm rot="5400000" flipV="1">
          <a:off x="4966610" y="2990334"/>
          <a:ext cx="97189" cy="142552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299551</xdr:colOff>
      <xdr:row>14</xdr:row>
      <xdr:rowOff>43771</xdr:rowOff>
    </xdr:from>
    <xdr:to>
      <xdr:col>7</xdr:col>
      <xdr:colOff>382296</xdr:colOff>
      <xdr:row>14</xdr:row>
      <xdr:rowOff>142550</xdr:rowOff>
    </xdr:to>
    <xdr:sp macro="" textlink="">
      <xdr:nvSpPr>
        <xdr:cNvPr id="8" name="Arrow: Down 7">
          <a:extLst>
            <a:ext uri="{FF2B5EF4-FFF2-40B4-BE49-F238E27FC236}">
              <a16:creationId xmlns:a16="http://schemas.microsoft.com/office/drawing/2014/main" id="{5FDD6055-4109-4236-831B-84D718E2FC22}"/>
            </a:ext>
          </a:extLst>
        </xdr:cNvPr>
        <xdr:cNvSpPr/>
      </xdr:nvSpPr>
      <xdr:spPr>
        <a:xfrm rot="10800000" flipH="1" flipV="1">
          <a:off x="5807204" y="3011424"/>
          <a:ext cx="82745" cy="98779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24694</xdr:colOff>
      <xdr:row>30</xdr:row>
      <xdr:rowOff>39512</xdr:rowOff>
    </xdr:from>
    <xdr:to>
      <xdr:col>16</xdr:col>
      <xdr:colOff>592666</xdr:colOff>
      <xdr:row>45</xdr:row>
      <xdr:rowOff>4587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3C0BB-0F53-4F71-8289-D42369A7B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5CD12C-6D53-4276-BAB9-E8721A58BD8B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7E9BE0-88F8-4E2B-AD26-B4C69FFA9257}" name="Sweeet_import" displayName="Sweeet_import" ref="A1:Q77" tableType="queryTable" totalsRowShown="0">
  <tableColumns count="17">
    <tableColumn id="1" xr3:uid="{89EE4168-5BBC-4DF5-82A3-775A030CB937}" uniqueName="1" name="Column1" queryTableFieldId="1"/>
    <tableColumn id="2" xr3:uid="{A795657A-96B8-4943-B141-F8068CBBE580}" uniqueName="2" name="Column2" queryTableFieldId="2" dataDxfId="10"/>
    <tableColumn id="3" xr3:uid="{98B5C966-6FC5-407E-87EF-A2453D969FD3}" uniqueName="3" name="Column3" queryTableFieldId="3" dataDxfId="9"/>
    <tableColumn id="4" xr3:uid="{3CAA71A0-A718-424E-A63F-F2CEB38A982F}" uniqueName="4" name="Column4" queryTableFieldId="4" dataDxfId="8"/>
    <tableColumn id="5" xr3:uid="{BCDEBE92-F765-47D1-BCA7-764F03331656}" uniqueName="5" name="Column5" queryTableFieldId="5" dataDxfId="7"/>
    <tableColumn id="6" xr3:uid="{36DEE316-41D5-493A-9E99-5FDBFE85C4F7}" uniqueName="6" name="Column6" queryTableFieldId="6" dataDxfId="6"/>
    <tableColumn id="7" xr3:uid="{E9335552-AA10-49D6-8E47-20C310DB5B0F}" uniqueName="7" name="Column7" queryTableFieldId="7" dataDxfId="5"/>
    <tableColumn id="8" xr3:uid="{834CBE63-49D6-4332-A234-B897BB512FFE}" uniqueName="8" name="Column8" queryTableFieldId="8"/>
    <tableColumn id="9" xr3:uid="{D4E9396D-3C6E-4CED-A32F-4FF8214A2E71}" uniqueName="9" name="Column9" queryTableFieldId="9" dataDxfId="4"/>
    <tableColumn id="10" xr3:uid="{DD091E74-0893-42AF-B1CF-7E481F4F8901}" uniqueName="10" name="Column10" queryTableFieldId="10" dataDxfId="3"/>
    <tableColumn id="11" xr3:uid="{598635C7-A93C-4787-9380-B22DF269444C}" uniqueName="11" name="Column11" queryTableFieldId="11" dataDxfId="2"/>
    <tableColumn id="12" xr3:uid="{DDC8268B-AB3A-4380-BDE9-255C3CC18F6C}" uniqueName="12" name="Column12" queryTableFieldId="12"/>
    <tableColumn id="13" xr3:uid="{FE7BFE7A-957C-45A1-BFBF-EE3683A41C4D}" uniqueName="13" name="Column13" queryTableFieldId="13"/>
    <tableColumn id="14" xr3:uid="{0E867388-F1AD-4F5C-AF0E-66957797451C}" uniqueName="14" name="Column14" queryTableFieldId="14"/>
    <tableColumn id="15" xr3:uid="{E3EDEB9F-BD16-4CA7-8EDF-810FCDA32AE3}" uniqueName="15" name="Column15" queryTableFieldId="15"/>
    <tableColumn id="16" xr3:uid="{696E690E-F3A7-4F42-873C-469BC5DCDA39}" uniqueName="16" name="Column16" queryTableFieldId="16"/>
    <tableColumn id="17" xr3:uid="{F03802B5-2777-40CB-94ED-68F1FC3CCE8C}" uniqueName="17" name="Column17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2627-0EEA-4DE2-AF9D-DD3104C35429}">
  <dimension ref="A1:Q77"/>
  <sheetViews>
    <sheetView topLeftCell="B87" workbookViewId="0">
      <selection activeCell="C8" sqref="C8"/>
    </sheetView>
  </sheetViews>
  <sheetFormatPr defaultRowHeight="14.5" x14ac:dyDescent="0.35"/>
  <cols>
    <col min="1" max="1" width="10.54296875" bestFit="1" customWidth="1"/>
    <col min="2" max="2" width="27.26953125" bestFit="1" customWidth="1"/>
    <col min="3" max="9" width="10.54296875" bestFit="1" customWidth="1"/>
    <col min="10" max="17" width="11.54296875" bestFit="1" customWidth="1"/>
  </cols>
  <sheetData>
    <row r="1" spans="1:17" x14ac:dyDescent="0.35">
      <c r="A1" t="s">
        <v>169</v>
      </c>
      <c r="B1" t="s">
        <v>170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185</v>
      </c>
    </row>
    <row r="2" spans="1:17" x14ac:dyDescent="0.35">
      <c r="A2">
        <v>1061</v>
      </c>
      <c r="B2" t="s">
        <v>380</v>
      </c>
      <c r="C2" t="s">
        <v>186</v>
      </c>
      <c r="D2" t="s">
        <v>187</v>
      </c>
      <c r="E2" t="s">
        <v>188</v>
      </c>
      <c r="F2" t="s">
        <v>189</v>
      </c>
      <c r="G2" t="s">
        <v>190</v>
      </c>
      <c r="H2">
        <v>382</v>
      </c>
      <c r="I2" t="s">
        <v>191</v>
      </c>
      <c r="J2" t="s">
        <v>192</v>
      </c>
      <c r="K2" t="s">
        <v>193</v>
      </c>
      <c r="L2">
        <v>487</v>
      </c>
      <c r="M2">
        <v>6</v>
      </c>
      <c r="N2">
        <v>11</v>
      </c>
      <c r="O2">
        <v>9</v>
      </c>
      <c r="P2">
        <v>4</v>
      </c>
      <c r="Q2">
        <v>32</v>
      </c>
    </row>
    <row r="3" spans="1:17" x14ac:dyDescent="0.35">
      <c r="A3">
        <v>1063</v>
      </c>
      <c r="B3" t="s">
        <v>194</v>
      </c>
      <c r="C3" t="s">
        <v>186</v>
      </c>
      <c r="D3" t="s">
        <v>127</v>
      </c>
      <c r="E3" t="s">
        <v>195</v>
      </c>
      <c r="F3" t="s">
        <v>196</v>
      </c>
      <c r="G3" t="s">
        <v>197</v>
      </c>
      <c r="H3">
        <v>508</v>
      </c>
      <c r="I3" t="s">
        <v>198</v>
      </c>
      <c r="J3" t="s">
        <v>199</v>
      </c>
      <c r="K3" t="s">
        <v>200</v>
      </c>
      <c r="L3">
        <v>677</v>
      </c>
      <c r="M3">
        <v>74</v>
      </c>
      <c r="N3">
        <v>125</v>
      </c>
      <c r="O3">
        <v>118</v>
      </c>
      <c r="P3">
        <v>40</v>
      </c>
      <c r="Q3">
        <v>404</v>
      </c>
    </row>
    <row r="4" spans="1:17" x14ac:dyDescent="0.35">
      <c r="A4">
        <v>1065</v>
      </c>
      <c r="B4" t="s">
        <v>201</v>
      </c>
      <c r="C4" t="s">
        <v>186</v>
      </c>
      <c r="D4" t="s">
        <v>202</v>
      </c>
      <c r="E4" t="s">
        <v>203</v>
      </c>
      <c r="F4" t="s">
        <v>204</v>
      </c>
      <c r="G4" t="s">
        <v>205</v>
      </c>
      <c r="H4">
        <v>415</v>
      </c>
      <c r="I4" t="s">
        <v>206</v>
      </c>
      <c r="J4" t="s">
        <v>207</v>
      </c>
      <c r="K4" t="s">
        <v>208</v>
      </c>
      <c r="L4">
        <v>559</v>
      </c>
      <c r="M4">
        <v>9</v>
      </c>
      <c r="N4">
        <v>26</v>
      </c>
      <c r="O4">
        <v>20</v>
      </c>
      <c r="P4">
        <v>9</v>
      </c>
      <c r="Q4">
        <v>70</v>
      </c>
    </row>
    <row r="5" spans="1:17" x14ac:dyDescent="0.35">
      <c r="A5">
        <v>11462</v>
      </c>
      <c r="B5" t="s">
        <v>209</v>
      </c>
      <c r="C5" t="s">
        <v>186</v>
      </c>
      <c r="D5" t="s">
        <v>202</v>
      </c>
      <c r="E5" t="s">
        <v>210</v>
      </c>
      <c r="F5" t="s">
        <v>211</v>
      </c>
      <c r="G5" t="s">
        <v>212</v>
      </c>
      <c r="H5">
        <v>498</v>
      </c>
      <c r="I5" t="s">
        <v>213</v>
      </c>
      <c r="J5" t="s">
        <v>214</v>
      </c>
      <c r="K5" t="s">
        <v>215</v>
      </c>
      <c r="L5">
        <v>670</v>
      </c>
      <c r="M5">
        <v>115</v>
      </c>
      <c r="N5">
        <v>124</v>
      </c>
      <c r="O5">
        <v>101</v>
      </c>
      <c r="P5">
        <v>21</v>
      </c>
      <c r="Q5">
        <v>392</v>
      </c>
    </row>
    <row r="6" spans="1:17" x14ac:dyDescent="0.35">
      <c r="A6">
        <v>1002</v>
      </c>
      <c r="B6" t="s">
        <v>216</v>
      </c>
      <c r="C6" t="s">
        <v>217</v>
      </c>
      <c r="D6" t="s">
        <v>202</v>
      </c>
      <c r="E6" t="s">
        <v>208</v>
      </c>
      <c r="F6" t="s">
        <v>218</v>
      </c>
      <c r="G6" t="s">
        <v>219</v>
      </c>
      <c r="H6">
        <v>350</v>
      </c>
      <c r="I6" t="s">
        <v>220</v>
      </c>
      <c r="J6" t="s">
        <v>221</v>
      </c>
      <c r="K6" t="s">
        <v>222</v>
      </c>
      <c r="L6">
        <v>423</v>
      </c>
      <c r="M6">
        <v>59</v>
      </c>
      <c r="N6">
        <v>77</v>
      </c>
      <c r="O6">
        <v>102</v>
      </c>
      <c r="P6">
        <v>24</v>
      </c>
      <c r="Q6">
        <v>262</v>
      </c>
    </row>
    <row r="7" spans="1:17" x14ac:dyDescent="0.35">
      <c r="A7">
        <v>1004</v>
      </c>
      <c r="B7" t="s">
        <v>223</v>
      </c>
      <c r="C7" t="s">
        <v>217</v>
      </c>
      <c r="D7" t="s">
        <v>202</v>
      </c>
      <c r="E7" t="s">
        <v>224</v>
      </c>
      <c r="F7" t="s">
        <v>225</v>
      </c>
      <c r="G7" t="s">
        <v>219</v>
      </c>
      <c r="H7">
        <v>388</v>
      </c>
      <c r="I7" t="s">
        <v>226</v>
      </c>
      <c r="J7" t="s">
        <v>227</v>
      </c>
      <c r="K7" t="s">
        <v>228</v>
      </c>
      <c r="L7">
        <v>477</v>
      </c>
      <c r="M7">
        <v>57</v>
      </c>
      <c r="N7">
        <v>33</v>
      </c>
      <c r="O7">
        <v>35</v>
      </c>
      <c r="P7">
        <v>2</v>
      </c>
      <c r="Q7">
        <v>127</v>
      </c>
    </row>
    <row r="8" spans="1:17" x14ac:dyDescent="0.35">
      <c r="A8">
        <v>1008</v>
      </c>
      <c r="B8" t="s">
        <v>229</v>
      </c>
      <c r="C8" t="s">
        <v>217</v>
      </c>
      <c r="D8" t="s">
        <v>187</v>
      </c>
      <c r="E8" t="s">
        <v>230</v>
      </c>
      <c r="F8" t="s">
        <v>231</v>
      </c>
      <c r="G8" t="s">
        <v>232</v>
      </c>
      <c r="H8">
        <v>396</v>
      </c>
      <c r="I8" t="s">
        <v>233</v>
      </c>
      <c r="J8" t="s">
        <v>234</v>
      </c>
      <c r="K8" t="s">
        <v>235</v>
      </c>
      <c r="L8">
        <v>478</v>
      </c>
      <c r="M8">
        <v>20</v>
      </c>
      <c r="N8">
        <v>18</v>
      </c>
      <c r="O8">
        <v>30</v>
      </c>
      <c r="P8">
        <v>0</v>
      </c>
      <c r="Q8">
        <v>68</v>
      </c>
    </row>
    <row r="9" spans="1:17" x14ac:dyDescent="0.35">
      <c r="A9">
        <v>1009</v>
      </c>
      <c r="B9" t="s">
        <v>236</v>
      </c>
      <c r="C9" t="s">
        <v>217</v>
      </c>
      <c r="D9" t="s">
        <v>127</v>
      </c>
      <c r="E9" t="s">
        <v>237</v>
      </c>
      <c r="F9" t="s">
        <v>238</v>
      </c>
      <c r="G9" t="s">
        <v>239</v>
      </c>
      <c r="H9">
        <v>455</v>
      </c>
      <c r="I9" t="s">
        <v>240</v>
      </c>
      <c r="J9" t="s">
        <v>241</v>
      </c>
      <c r="K9" t="s">
        <v>242</v>
      </c>
      <c r="L9">
        <v>546</v>
      </c>
      <c r="M9">
        <v>366</v>
      </c>
      <c r="N9">
        <v>354</v>
      </c>
      <c r="O9">
        <v>301</v>
      </c>
      <c r="P9">
        <v>66</v>
      </c>
      <c r="Q9">
        <v>1109</v>
      </c>
    </row>
    <row r="10" spans="1:17" x14ac:dyDescent="0.35">
      <c r="A10">
        <v>1012</v>
      </c>
      <c r="B10" t="s">
        <v>243</v>
      </c>
      <c r="C10" t="s">
        <v>217</v>
      </c>
      <c r="D10" t="s">
        <v>187</v>
      </c>
      <c r="E10" t="s">
        <v>244</v>
      </c>
      <c r="F10" t="s">
        <v>245</v>
      </c>
      <c r="G10" t="s">
        <v>246</v>
      </c>
      <c r="H10">
        <v>401</v>
      </c>
      <c r="I10" t="s">
        <v>247</v>
      </c>
      <c r="J10" t="s">
        <v>248</v>
      </c>
      <c r="K10" t="s">
        <v>249</v>
      </c>
      <c r="L10">
        <v>523</v>
      </c>
      <c r="M10">
        <v>34</v>
      </c>
      <c r="N10">
        <v>25</v>
      </c>
      <c r="O10">
        <v>27</v>
      </c>
      <c r="P10">
        <v>3</v>
      </c>
      <c r="Q10">
        <v>89</v>
      </c>
    </row>
    <row r="11" spans="1:17" x14ac:dyDescent="0.35">
      <c r="A11">
        <v>1016</v>
      </c>
      <c r="B11" t="s">
        <v>250</v>
      </c>
      <c r="C11" t="s">
        <v>217</v>
      </c>
      <c r="D11" t="s">
        <v>187</v>
      </c>
      <c r="E11" t="s">
        <v>251</v>
      </c>
      <c r="F11" t="s">
        <v>252</v>
      </c>
      <c r="G11" t="s">
        <v>253</v>
      </c>
      <c r="H11">
        <v>411</v>
      </c>
      <c r="I11" t="s">
        <v>254</v>
      </c>
      <c r="J11" t="s">
        <v>255</v>
      </c>
      <c r="K11" t="s">
        <v>256</v>
      </c>
      <c r="L11">
        <v>503</v>
      </c>
      <c r="M11">
        <v>67</v>
      </c>
      <c r="N11">
        <v>40</v>
      </c>
      <c r="O11">
        <v>66</v>
      </c>
      <c r="P11">
        <v>27</v>
      </c>
      <c r="Q11">
        <v>200</v>
      </c>
    </row>
    <row r="12" spans="1:17" x14ac:dyDescent="0.35">
      <c r="A12">
        <v>1019</v>
      </c>
      <c r="B12" t="s">
        <v>257</v>
      </c>
      <c r="C12" t="s">
        <v>217</v>
      </c>
      <c r="D12" t="s">
        <v>187</v>
      </c>
      <c r="E12" t="s">
        <v>258</v>
      </c>
      <c r="F12" t="s">
        <v>259</v>
      </c>
      <c r="G12" t="s">
        <v>260</v>
      </c>
      <c r="H12">
        <v>301</v>
      </c>
      <c r="I12" t="s">
        <v>261</v>
      </c>
      <c r="J12" t="s">
        <v>262</v>
      </c>
      <c r="K12" t="s">
        <v>263</v>
      </c>
      <c r="L12">
        <v>366</v>
      </c>
      <c r="M12">
        <v>8</v>
      </c>
      <c r="N12">
        <v>15</v>
      </c>
      <c r="O12">
        <v>19</v>
      </c>
      <c r="P12">
        <v>2</v>
      </c>
      <c r="Q12">
        <v>44</v>
      </c>
    </row>
    <row r="13" spans="1:17" x14ac:dyDescent="0.35">
      <c r="A13">
        <v>1020</v>
      </c>
      <c r="B13" t="s">
        <v>264</v>
      </c>
      <c r="C13" t="s">
        <v>217</v>
      </c>
      <c r="D13" t="s">
        <v>202</v>
      </c>
      <c r="E13" t="s">
        <v>265</v>
      </c>
      <c r="F13" t="s">
        <v>266</v>
      </c>
      <c r="G13" t="s">
        <v>267</v>
      </c>
      <c r="H13">
        <v>386</v>
      </c>
      <c r="I13" t="s">
        <v>268</v>
      </c>
      <c r="J13" t="s">
        <v>269</v>
      </c>
      <c r="K13" t="s">
        <v>270</v>
      </c>
      <c r="L13">
        <v>493</v>
      </c>
      <c r="M13">
        <v>106</v>
      </c>
      <c r="N13">
        <v>42</v>
      </c>
      <c r="O13">
        <v>66</v>
      </c>
      <c r="P13">
        <v>58</v>
      </c>
      <c r="Q13">
        <v>272</v>
      </c>
    </row>
    <row r="14" spans="1:17" x14ac:dyDescent="0.35">
      <c r="A14">
        <v>1024</v>
      </c>
      <c r="B14" t="s">
        <v>271</v>
      </c>
      <c r="C14" t="s">
        <v>217</v>
      </c>
      <c r="D14" t="s">
        <v>187</v>
      </c>
      <c r="E14" t="s">
        <v>272</v>
      </c>
      <c r="F14" t="s">
        <v>273</v>
      </c>
      <c r="G14" t="s">
        <v>274</v>
      </c>
      <c r="H14">
        <v>300</v>
      </c>
      <c r="I14" t="s">
        <v>275</v>
      </c>
      <c r="J14" t="s">
        <v>218</v>
      </c>
      <c r="K14" t="s">
        <v>276</v>
      </c>
      <c r="L14">
        <v>363</v>
      </c>
      <c r="M14">
        <v>27</v>
      </c>
      <c r="N14">
        <v>25</v>
      </c>
      <c r="O14">
        <v>33</v>
      </c>
      <c r="P14">
        <v>4</v>
      </c>
      <c r="Q14">
        <v>89</v>
      </c>
    </row>
    <row r="15" spans="1:17" x14ac:dyDescent="0.35">
      <c r="A15">
        <v>1029</v>
      </c>
      <c r="B15" t="s">
        <v>277</v>
      </c>
      <c r="C15" t="s">
        <v>217</v>
      </c>
      <c r="D15" t="s">
        <v>187</v>
      </c>
      <c r="E15" t="s">
        <v>278</v>
      </c>
      <c r="F15" t="s">
        <v>279</v>
      </c>
      <c r="G15" t="s">
        <v>280</v>
      </c>
      <c r="H15">
        <v>291</v>
      </c>
      <c r="I15" t="s">
        <v>270</v>
      </c>
      <c r="J15" t="s">
        <v>281</v>
      </c>
      <c r="K15" t="s">
        <v>282</v>
      </c>
      <c r="L15">
        <v>363</v>
      </c>
      <c r="M15">
        <v>17</v>
      </c>
      <c r="N15">
        <v>19</v>
      </c>
      <c r="O15">
        <v>31</v>
      </c>
      <c r="P15">
        <v>19</v>
      </c>
      <c r="Q15">
        <v>86</v>
      </c>
    </row>
    <row r="16" spans="1:17" x14ac:dyDescent="0.35">
      <c r="A16">
        <v>1033</v>
      </c>
      <c r="B16" t="s">
        <v>283</v>
      </c>
      <c r="C16" t="s">
        <v>217</v>
      </c>
      <c r="D16" t="s">
        <v>187</v>
      </c>
      <c r="E16" t="s">
        <v>284</v>
      </c>
      <c r="F16" t="s">
        <v>285</v>
      </c>
      <c r="G16" t="s">
        <v>286</v>
      </c>
      <c r="H16">
        <v>290</v>
      </c>
      <c r="I16" t="s">
        <v>287</v>
      </c>
      <c r="J16" t="s">
        <v>288</v>
      </c>
      <c r="K16" t="s">
        <v>289</v>
      </c>
      <c r="L16">
        <v>362</v>
      </c>
      <c r="M16">
        <v>18</v>
      </c>
      <c r="N16">
        <v>28</v>
      </c>
      <c r="O16">
        <v>28</v>
      </c>
      <c r="P16">
        <v>3</v>
      </c>
      <c r="Q16">
        <v>77</v>
      </c>
    </row>
    <row r="17" spans="1:17" x14ac:dyDescent="0.35">
      <c r="A17">
        <v>1036</v>
      </c>
      <c r="B17" t="s">
        <v>290</v>
      </c>
      <c r="C17" t="s">
        <v>217</v>
      </c>
      <c r="D17" t="s">
        <v>202</v>
      </c>
      <c r="E17" t="s">
        <v>291</v>
      </c>
      <c r="F17" t="s">
        <v>292</v>
      </c>
      <c r="G17" t="s">
        <v>288</v>
      </c>
      <c r="H17">
        <v>449</v>
      </c>
      <c r="I17" t="s">
        <v>293</v>
      </c>
      <c r="J17" t="s">
        <v>294</v>
      </c>
      <c r="K17" t="s">
        <v>234</v>
      </c>
      <c r="L17">
        <v>578</v>
      </c>
      <c r="M17">
        <v>83</v>
      </c>
      <c r="N17">
        <v>46</v>
      </c>
      <c r="O17">
        <v>77</v>
      </c>
      <c r="P17">
        <v>9</v>
      </c>
      <c r="Q17">
        <v>215</v>
      </c>
    </row>
    <row r="18" spans="1:17" x14ac:dyDescent="0.35">
      <c r="A18">
        <v>1041</v>
      </c>
      <c r="B18" t="s">
        <v>295</v>
      </c>
      <c r="C18" t="s">
        <v>217</v>
      </c>
      <c r="D18" t="s">
        <v>187</v>
      </c>
      <c r="E18" t="s">
        <v>296</v>
      </c>
      <c r="F18" t="s">
        <v>297</v>
      </c>
      <c r="G18" t="s">
        <v>298</v>
      </c>
      <c r="H18">
        <v>373</v>
      </c>
      <c r="I18" t="s">
        <v>299</v>
      </c>
      <c r="J18" t="s">
        <v>292</v>
      </c>
      <c r="K18" t="s">
        <v>239</v>
      </c>
      <c r="L18">
        <v>449</v>
      </c>
      <c r="M18">
        <v>23</v>
      </c>
      <c r="N18">
        <v>17</v>
      </c>
      <c r="O18">
        <v>14</v>
      </c>
      <c r="P18">
        <v>1</v>
      </c>
      <c r="Q18">
        <v>55</v>
      </c>
    </row>
    <row r="19" spans="1:17" x14ac:dyDescent="0.35">
      <c r="A19">
        <v>1044</v>
      </c>
      <c r="B19" t="s">
        <v>300</v>
      </c>
      <c r="C19" t="s">
        <v>217</v>
      </c>
      <c r="D19" t="s">
        <v>187</v>
      </c>
      <c r="E19" t="s">
        <v>279</v>
      </c>
      <c r="F19" t="s">
        <v>301</v>
      </c>
      <c r="G19" t="s">
        <v>302</v>
      </c>
      <c r="H19">
        <v>272</v>
      </c>
      <c r="I19" t="s">
        <v>303</v>
      </c>
      <c r="J19" t="s">
        <v>278</v>
      </c>
      <c r="K19" t="s">
        <v>304</v>
      </c>
      <c r="L19">
        <v>335</v>
      </c>
      <c r="M19">
        <v>13</v>
      </c>
      <c r="N19">
        <v>18</v>
      </c>
      <c r="O19">
        <v>18</v>
      </c>
      <c r="P19">
        <v>10</v>
      </c>
      <c r="Q19">
        <v>59</v>
      </c>
    </row>
    <row r="20" spans="1:17" x14ac:dyDescent="0.35">
      <c r="A20">
        <v>1047</v>
      </c>
      <c r="B20" t="s">
        <v>305</v>
      </c>
      <c r="C20" t="s">
        <v>217</v>
      </c>
      <c r="D20" t="s">
        <v>202</v>
      </c>
      <c r="E20" t="s">
        <v>306</v>
      </c>
      <c r="F20" t="s">
        <v>225</v>
      </c>
      <c r="G20" t="s">
        <v>246</v>
      </c>
      <c r="H20">
        <v>350</v>
      </c>
      <c r="I20" t="s">
        <v>196</v>
      </c>
      <c r="J20" t="s">
        <v>307</v>
      </c>
      <c r="K20" t="s">
        <v>308</v>
      </c>
      <c r="L20">
        <v>426</v>
      </c>
      <c r="M20">
        <v>25</v>
      </c>
      <c r="N20">
        <v>59</v>
      </c>
      <c r="O20">
        <v>100</v>
      </c>
      <c r="P20">
        <v>19</v>
      </c>
      <c r="Q20">
        <v>204</v>
      </c>
    </row>
    <row r="21" spans="1:17" x14ac:dyDescent="0.35">
      <c r="A21">
        <v>1050</v>
      </c>
      <c r="B21" t="s">
        <v>309</v>
      </c>
      <c r="C21" t="s">
        <v>217</v>
      </c>
      <c r="D21" t="s">
        <v>202</v>
      </c>
      <c r="E21" t="s">
        <v>310</v>
      </c>
      <c r="F21" t="s">
        <v>297</v>
      </c>
      <c r="G21" t="s">
        <v>311</v>
      </c>
      <c r="H21">
        <v>327</v>
      </c>
      <c r="I21" t="s">
        <v>312</v>
      </c>
      <c r="J21" t="s">
        <v>313</v>
      </c>
      <c r="K21" t="s">
        <v>190</v>
      </c>
      <c r="L21">
        <v>387</v>
      </c>
      <c r="M21">
        <v>57</v>
      </c>
      <c r="N21">
        <v>65</v>
      </c>
      <c r="O21">
        <v>85</v>
      </c>
      <c r="P21">
        <v>45</v>
      </c>
      <c r="Q21">
        <v>254</v>
      </c>
    </row>
    <row r="22" spans="1:17" x14ac:dyDescent="0.35">
      <c r="A22">
        <v>1051</v>
      </c>
      <c r="B22" t="s">
        <v>314</v>
      </c>
      <c r="C22" t="s">
        <v>217</v>
      </c>
      <c r="D22" t="s">
        <v>127</v>
      </c>
      <c r="E22" t="s">
        <v>315</v>
      </c>
      <c r="F22" t="s">
        <v>316</v>
      </c>
      <c r="G22" t="s">
        <v>189</v>
      </c>
      <c r="H22">
        <v>463</v>
      </c>
      <c r="I22" t="s">
        <v>317</v>
      </c>
      <c r="J22" t="s">
        <v>318</v>
      </c>
      <c r="K22" t="s">
        <v>319</v>
      </c>
      <c r="L22">
        <v>580</v>
      </c>
      <c r="M22">
        <v>267</v>
      </c>
      <c r="N22">
        <v>206</v>
      </c>
      <c r="O22">
        <v>206</v>
      </c>
      <c r="P22">
        <v>76</v>
      </c>
      <c r="Q22">
        <v>762</v>
      </c>
    </row>
    <row r="23" spans="1:17" x14ac:dyDescent="0.35">
      <c r="A23">
        <v>1052</v>
      </c>
      <c r="B23" t="s">
        <v>320</v>
      </c>
      <c r="C23" t="s">
        <v>217</v>
      </c>
      <c r="D23" t="s">
        <v>127</v>
      </c>
      <c r="E23" t="s">
        <v>321</v>
      </c>
      <c r="F23" t="s">
        <v>256</v>
      </c>
      <c r="G23" t="s">
        <v>322</v>
      </c>
      <c r="H23">
        <v>461</v>
      </c>
      <c r="I23" t="s">
        <v>323</v>
      </c>
      <c r="J23" t="s">
        <v>324</v>
      </c>
      <c r="K23" t="s">
        <v>325</v>
      </c>
      <c r="L23">
        <v>587</v>
      </c>
      <c r="M23">
        <v>106</v>
      </c>
      <c r="N23">
        <v>163</v>
      </c>
      <c r="O23">
        <v>107</v>
      </c>
      <c r="P23">
        <v>19</v>
      </c>
      <c r="Q23">
        <v>406</v>
      </c>
    </row>
    <row r="24" spans="1:17" x14ac:dyDescent="0.35">
      <c r="A24">
        <v>1055</v>
      </c>
      <c r="B24" t="s">
        <v>326</v>
      </c>
      <c r="C24" t="s">
        <v>217</v>
      </c>
      <c r="D24" t="s">
        <v>202</v>
      </c>
      <c r="E24" t="s">
        <v>327</v>
      </c>
      <c r="F24" t="s">
        <v>328</v>
      </c>
      <c r="G24" t="s">
        <v>287</v>
      </c>
      <c r="H24">
        <v>451</v>
      </c>
      <c r="I24" t="s">
        <v>329</v>
      </c>
      <c r="J24" t="s">
        <v>330</v>
      </c>
      <c r="K24" t="s">
        <v>331</v>
      </c>
      <c r="L24">
        <v>548</v>
      </c>
      <c r="M24">
        <v>72</v>
      </c>
      <c r="N24">
        <v>87</v>
      </c>
      <c r="O24">
        <v>98</v>
      </c>
      <c r="P24">
        <v>7</v>
      </c>
      <c r="Q24">
        <v>282</v>
      </c>
    </row>
    <row r="25" spans="1:17" x14ac:dyDescent="0.35">
      <c r="A25">
        <v>1057</v>
      </c>
      <c r="B25" t="s">
        <v>332</v>
      </c>
      <c r="C25" t="s">
        <v>217</v>
      </c>
      <c r="D25" t="s">
        <v>202</v>
      </c>
      <c r="E25" t="s">
        <v>226</v>
      </c>
      <c r="F25" t="s">
        <v>333</v>
      </c>
      <c r="G25" t="s">
        <v>334</v>
      </c>
      <c r="H25">
        <v>418</v>
      </c>
      <c r="I25" t="s">
        <v>335</v>
      </c>
      <c r="J25" t="s">
        <v>336</v>
      </c>
      <c r="K25" t="s">
        <v>337</v>
      </c>
      <c r="L25">
        <v>504</v>
      </c>
      <c r="M25">
        <v>119</v>
      </c>
      <c r="N25">
        <v>103</v>
      </c>
      <c r="O25">
        <v>142</v>
      </c>
      <c r="P25">
        <v>64</v>
      </c>
      <c r="Q25">
        <v>434</v>
      </c>
    </row>
    <row r="26" spans="1:17" x14ac:dyDescent="0.35">
      <c r="A26">
        <v>8310</v>
      </c>
      <c r="B26" t="s">
        <v>338</v>
      </c>
      <c r="C26" t="s">
        <v>217</v>
      </c>
      <c r="D26" t="s">
        <v>202</v>
      </c>
      <c r="E26" t="s">
        <v>339</v>
      </c>
      <c r="F26" t="s">
        <v>340</v>
      </c>
      <c r="G26" t="s">
        <v>341</v>
      </c>
      <c r="H26">
        <v>403</v>
      </c>
      <c r="I26" t="s">
        <v>342</v>
      </c>
      <c r="J26" t="s">
        <v>211</v>
      </c>
      <c r="K26" t="s">
        <v>343</v>
      </c>
      <c r="L26">
        <v>483</v>
      </c>
      <c r="M26">
        <v>56</v>
      </c>
      <c r="N26">
        <v>54</v>
      </c>
      <c r="O26">
        <v>63</v>
      </c>
      <c r="P26">
        <v>28</v>
      </c>
      <c r="Q26">
        <v>201</v>
      </c>
    </row>
    <row r="27" spans="1:17" x14ac:dyDescent="0.35">
      <c r="A27">
        <v>1085</v>
      </c>
      <c r="B27" t="s">
        <v>344</v>
      </c>
      <c r="C27" t="s">
        <v>345</v>
      </c>
      <c r="D27" t="s">
        <v>187</v>
      </c>
      <c r="E27" t="s">
        <v>346</v>
      </c>
      <c r="F27" t="s">
        <v>288</v>
      </c>
      <c r="G27" t="s">
        <v>347</v>
      </c>
      <c r="H27">
        <v>349</v>
      </c>
      <c r="I27" t="s">
        <v>348</v>
      </c>
      <c r="J27" t="s">
        <v>349</v>
      </c>
      <c r="K27" t="s">
        <v>350</v>
      </c>
      <c r="L27">
        <v>428</v>
      </c>
      <c r="M27">
        <v>23</v>
      </c>
      <c r="N27">
        <v>24</v>
      </c>
      <c r="O27">
        <v>48</v>
      </c>
      <c r="P27">
        <v>22</v>
      </c>
      <c r="Q27">
        <v>117</v>
      </c>
    </row>
    <row r="28" spans="1:17" x14ac:dyDescent="0.35">
      <c r="A28">
        <v>1086</v>
      </c>
      <c r="B28" t="s">
        <v>351</v>
      </c>
      <c r="C28" t="s">
        <v>345</v>
      </c>
      <c r="D28" t="s">
        <v>187</v>
      </c>
      <c r="E28" t="s">
        <v>352</v>
      </c>
      <c r="F28" t="s">
        <v>322</v>
      </c>
      <c r="G28" t="s">
        <v>353</v>
      </c>
      <c r="H28">
        <v>335</v>
      </c>
      <c r="I28" t="s">
        <v>354</v>
      </c>
      <c r="J28" t="s">
        <v>355</v>
      </c>
      <c r="K28" t="s">
        <v>313</v>
      </c>
      <c r="L28">
        <v>419</v>
      </c>
      <c r="M28">
        <v>40</v>
      </c>
      <c r="N28">
        <v>33</v>
      </c>
      <c r="O28">
        <v>71</v>
      </c>
      <c r="P28">
        <v>46</v>
      </c>
      <c r="Q28">
        <v>192</v>
      </c>
    </row>
    <row r="29" spans="1:17" x14ac:dyDescent="0.35">
      <c r="A29">
        <v>1088</v>
      </c>
      <c r="B29" t="s">
        <v>356</v>
      </c>
      <c r="C29" t="s">
        <v>345</v>
      </c>
      <c r="D29" t="s">
        <v>187</v>
      </c>
      <c r="E29" t="s">
        <v>357</v>
      </c>
      <c r="F29" t="s">
        <v>358</v>
      </c>
      <c r="G29" t="s">
        <v>347</v>
      </c>
      <c r="H29">
        <v>399</v>
      </c>
      <c r="I29" t="s">
        <v>359</v>
      </c>
      <c r="J29" t="s">
        <v>358</v>
      </c>
      <c r="K29" t="s">
        <v>350</v>
      </c>
      <c r="L29">
        <v>488</v>
      </c>
      <c r="M29">
        <v>14</v>
      </c>
      <c r="N29">
        <v>5</v>
      </c>
      <c r="O29">
        <v>21</v>
      </c>
      <c r="P29">
        <v>2</v>
      </c>
      <c r="Q29">
        <v>42</v>
      </c>
    </row>
    <row r="30" spans="1:17" x14ac:dyDescent="0.35">
      <c r="A30">
        <v>1089</v>
      </c>
      <c r="B30" t="s">
        <v>360</v>
      </c>
      <c r="C30" t="s">
        <v>345</v>
      </c>
      <c r="D30" t="s">
        <v>187</v>
      </c>
      <c r="E30" t="s">
        <v>361</v>
      </c>
      <c r="F30" t="s">
        <v>362</v>
      </c>
      <c r="G30" t="s">
        <v>363</v>
      </c>
      <c r="H30">
        <v>374</v>
      </c>
      <c r="I30" t="s">
        <v>364</v>
      </c>
      <c r="J30" t="s">
        <v>365</v>
      </c>
      <c r="K30" t="s">
        <v>235</v>
      </c>
      <c r="L30">
        <v>471</v>
      </c>
      <c r="M30">
        <v>44</v>
      </c>
      <c r="N30">
        <v>71</v>
      </c>
      <c r="O30">
        <v>52</v>
      </c>
      <c r="P30">
        <v>13</v>
      </c>
      <c r="Q30">
        <v>180</v>
      </c>
    </row>
    <row r="31" spans="1:17" x14ac:dyDescent="0.35">
      <c r="A31">
        <v>1090</v>
      </c>
      <c r="B31" t="s">
        <v>366</v>
      </c>
      <c r="C31" t="s">
        <v>345</v>
      </c>
      <c r="D31" t="s">
        <v>202</v>
      </c>
      <c r="E31" t="s">
        <v>367</v>
      </c>
      <c r="F31" t="s">
        <v>275</v>
      </c>
      <c r="G31" t="s">
        <v>368</v>
      </c>
      <c r="H31">
        <v>398</v>
      </c>
      <c r="I31" t="s">
        <v>369</v>
      </c>
      <c r="J31" t="s">
        <v>370</v>
      </c>
      <c r="K31" t="s">
        <v>296</v>
      </c>
      <c r="L31">
        <v>498</v>
      </c>
      <c r="M31">
        <v>103</v>
      </c>
      <c r="N31">
        <v>87</v>
      </c>
      <c r="O31">
        <v>141</v>
      </c>
      <c r="P31">
        <v>63</v>
      </c>
      <c r="Q31">
        <v>394</v>
      </c>
    </row>
    <row r="32" spans="1:17" x14ac:dyDescent="0.35">
      <c r="A32">
        <v>1092</v>
      </c>
      <c r="B32" t="s">
        <v>371</v>
      </c>
      <c r="C32" t="s">
        <v>345</v>
      </c>
      <c r="D32" t="s">
        <v>202</v>
      </c>
      <c r="E32" t="s">
        <v>372</v>
      </c>
      <c r="F32" t="s">
        <v>373</v>
      </c>
      <c r="G32" t="s">
        <v>258</v>
      </c>
      <c r="H32">
        <v>395</v>
      </c>
      <c r="I32" t="s">
        <v>374</v>
      </c>
      <c r="J32" t="s">
        <v>211</v>
      </c>
      <c r="K32" t="s">
        <v>373</v>
      </c>
      <c r="L32">
        <v>482</v>
      </c>
      <c r="M32">
        <v>93</v>
      </c>
      <c r="N32">
        <v>89</v>
      </c>
      <c r="O32">
        <v>82</v>
      </c>
      <c r="P32">
        <v>76</v>
      </c>
      <c r="Q32">
        <v>340</v>
      </c>
    </row>
    <row r="33" spans="1:17" x14ac:dyDescent="0.35">
      <c r="A33">
        <v>1094</v>
      </c>
      <c r="B33" t="s">
        <v>375</v>
      </c>
      <c r="C33" t="s">
        <v>345</v>
      </c>
      <c r="D33" t="s">
        <v>187</v>
      </c>
      <c r="E33" t="s">
        <v>376</v>
      </c>
      <c r="F33" t="s">
        <v>377</v>
      </c>
      <c r="G33" t="s">
        <v>378</v>
      </c>
      <c r="H33">
        <v>285</v>
      </c>
      <c r="I33" t="s">
        <v>379</v>
      </c>
      <c r="J33" t="s">
        <v>228</v>
      </c>
      <c r="K33" t="s">
        <v>222</v>
      </c>
      <c r="L33">
        <v>391</v>
      </c>
      <c r="M33">
        <v>14</v>
      </c>
      <c r="N33">
        <v>9</v>
      </c>
      <c r="O33">
        <v>15</v>
      </c>
      <c r="P33">
        <v>2</v>
      </c>
      <c r="Q33">
        <v>40</v>
      </c>
    </row>
    <row r="34" spans="1:17" x14ac:dyDescent="0.35">
      <c r="A34">
        <v>1098</v>
      </c>
      <c r="B34" t="s">
        <v>380</v>
      </c>
      <c r="C34" t="s">
        <v>345</v>
      </c>
      <c r="D34" t="s">
        <v>187</v>
      </c>
      <c r="E34" t="s">
        <v>316</v>
      </c>
      <c r="F34" t="s">
        <v>287</v>
      </c>
      <c r="G34" t="s">
        <v>381</v>
      </c>
      <c r="H34">
        <v>375</v>
      </c>
      <c r="I34" t="s">
        <v>348</v>
      </c>
      <c r="J34" t="s">
        <v>382</v>
      </c>
      <c r="K34" t="s">
        <v>383</v>
      </c>
      <c r="L34">
        <v>477</v>
      </c>
      <c r="M34">
        <v>55</v>
      </c>
      <c r="N34">
        <v>42</v>
      </c>
      <c r="O34">
        <v>33</v>
      </c>
      <c r="P34">
        <v>25</v>
      </c>
      <c r="Q34">
        <v>155</v>
      </c>
    </row>
    <row r="35" spans="1:17" x14ac:dyDescent="0.35">
      <c r="A35">
        <v>1099</v>
      </c>
      <c r="B35" t="s">
        <v>384</v>
      </c>
      <c r="C35" t="s">
        <v>345</v>
      </c>
      <c r="D35" t="s">
        <v>187</v>
      </c>
      <c r="E35" t="s">
        <v>192</v>
      </c>
      <c r="F35" t="s">
        <v>385</v>
      </c>
      <c r="G35" t="s">
        <v>190</v>
      </c>
      <c r="H35">
        <v>421</v>
      </c>
      <c r="I35" t="s">
        <v>386</v>
      </c>
      <c r="J35" t="s">
        <v>387</v>
      </c>
      <c r="K35" t="s">
        <v>346</v>
      </c>
      <c r="L35">
        <v>562</v>
      </c>
      <c r="M35">
        <v>24</v>
      </c>
      <c r="N35">
        <v>26</v>
      </c>
      <c r="O35">
        <v>14</v>
      </c>
      <c r="P35">
        <v>1</v>
      </c>
      <c r="Q35">
        <v>65</v>
      </c>
    </row>
    <row r="36" spans="1:17" x14ac:dyDescent="0.35">
      <c r="A36">
        <v>1100</v>
      </c>
      <c r="B36" t="s">
        <v>388</v>
      </c>
      <c r="C36" t="s">
        <v>345</v>
      </c>
      <c r="D36" t="s">
        <v>187</v>
      </c>
      <c r="E36" t="s">
        <v>389</v>
      </c>
      <c r="F36" t="s">
        <v>267</v>
      </c>
      <c r="G36" t="s">
        <v>273</v>
      </c>
      <c r="H36">
        <v>341</v>
      </c>
      <c r="I36" t="s">
        <v>390</v>
      </c>
      <c r="J36" t="s">
        <v>212</v>
      </c>
      <c r="K36" t="s">
        <v>287</v>
      </c>
      <c r="L36">
        <v>426</v>
      </c>
      <c r="M36">
        <v>23</v>
      </c>
      <c r="N36">
        <v>22</v>
      </c>
      <c r="O36">
        <v>10</v>
      </c>
      <c r="P36">
        <v>3</v>
      </c>
      <c r="Q36">
        <v>58</v>
      </c>
    </row>
    <row r="37" spans="1:17" x14ac:dyDescent="0.35">
      <c r="A37">
        <v>1101</v>
      </c>
      <c r="B37" t="s">
        <v>391</v>
      </c>
      <c r="C37" t="s">
        <v>345</v>
      </c>
      <c r="D37" t="s">
        <v>202</v>
      </c>
      <c r="E37" t="s">
        <v>392</v>
      </c>
      <c r="F37" t="s">
        <v>373</v>
      </c>
      <c r="G37" t="s">
        <v>389</v>
      </c>
      <c r="H37">
        <v>415</v>
      </c>
      <c r="I37" t="s">
        <v>393</v>
      </c>
      <c r="J37" t="s">
        <v>251</v>
      </c>
      <c r="K37" t="s">
        <v>337</v>
      </c>
      <c r="L37">
        <v>504</v>
      </c>
      <c r="M37">
        <v>128</v>
      </c>
      <c r="N37">
        <v>117</v>
      </c>
      <c r="O37">
        <v>72</v>
      </c>
      <c r="P37">
        <v>63</v>
      </c>
      <c r="Q37">
        <v>398</v>
      </c>
    </row>
    <row r="38" spans="1:17" x14ac:dyDescent="0.35">
      <c r="A38">
        <v>1102</v>
      </c>
      <c r="B38" t="s">
        <v>394</v>
      </c>
      <c r="C38" t="s">
        <v>345</v>
      </c>
      <c r="D38" t="s">
        <v>187</v>
      </c>
      <c r="E38" t="s">
        <v>340</v>
      </c>
      <c r="F38" t="s">
        <v>289</v>
      </c>
      <c r="G38" t="s">
        <v>395</v>
      </c>
      <c r="H38">
        <v>342</v>
      </c>
      <c r="I38" t="s">
        <v>396</v>
      </c>
      <c r="J38" t="s">
        <v>256</v>
      </c>
      <c r="K38" t="s">
        <v>287</v>
      </c>
      <c r="L38">
        <v>435</v>
      </c>
      <c r="M38">
        <v>36</v>
      </c>
      <c r="N38">
        <v>14</v>
      </c>
      <c r="O38">
        <v>28</v>
      </c>
      <c r="P38">
        <v>19</v>
      </c>
      <c r="Q38">
        <v>97</v>
      </c>
    </row>
    <row r="39" spans="1:17" x14ac:dyDescent="0.35">
      <c r="A39">
        <v>1106</v>
      </c>
      <c r="B39" t="s">
        <v>397</v>
      </c>
      <c r="C39" t="s">
        <v>345</v>
      </c>
      <c r="D39" t="s">
        <v>187</v>
      </c>
      <c r="E39" t="s">
        <v>358</v>
      </c>
      <c r="F39" t="s">
        <v>358</v>
      </c>
      <c r="G39" t="s">
        <v>398</v>
      </c>
      <c r="H39">
        <v>266</v>
      </c>
      <c r="I39" t="s">
        <v>358</v>
      </c>
      <c r="J39" t="s">
        <v>358</v>
      </c>
      <c r="K39" t="s">
        <v>399</v>
      </c>
      <c r="L39">
        <v>331</v>
      </c>
      <c r="M39">
        <v>4</v>
      </c>
      <c r="N39">
        <v>4</v>
      </c>
      <c r="O39">
        <v>12</v>
      </c>
      <c r="P39">
        <v>4</v>
      </c>
      <c r="Q39">
        <v>24</v>
      </c>
    </row>
    <row r="40" spans="1:17" x14ac:dyDescent="0.35">
      <c r="A40">
        <v>1107</v>
      </c>
      <c r="B40" t="s">
        <v>400</v>
      </c>
      <c r="C40" t="s">
        <v>345</v>
      </c>
      <c r="D40" t="s">
        <v>202</v>
      </c>
      <c r="E40" t="s">
        <v>265</v>
      </c>
      <c r="F40" t="s">
        <v>266</v>
      </c>
      <c r="G40" t="s">
        <v>279</v>
      </c>
      <c r="H40">
        <v>362</v>
      </c>
      <c r="I40" t="s">
        <v>401</v>
      </c>
      <c r="J40" t="s">
        <v>402</v>
      </c>
      <c r="K40" t="s">
        <v>350</v>
      </c>
      <c r="L40">
        <v>453</v>
      </c>
      <c r="M40">
        <v>27</v>
      </c>
      <c r="N40">
        <v>31</v>
      </c>
      <c r="O40">
        <v>34</v>
      </c>
      <c r="P40">
        <v>23</v>
      </c>
      <c r="Q40">
        <v>115</v>
      </c>
    </row>
    <row r="41" spans="1:17" x14ac:dyDescent="0.35">
      <c r="A41">
        <v>1108</v>
      </c>
      <c r="B41" t="s">
        <v>403</v>
      </c>
      <c r="C41" t="s">
        <v>345</v>
      </c>
      <c r="D41" t="s">
        <v>127</v>
      </c>
      <c r="E41" t="s">
        <v>318</v>
      </c>
      <c r="F41" t="s">
        <v>270</v>
      </c>
      <c r="G41" t="s">
        <v>245</v>
      </c>
      <c r="H41">
        <v>452</v>
      </c>
      <c r="I41" t="s">
        <v>195</v>
      </c>
      <c r="J41" t="s">
        <v>404</v>
      </c>
      <c r="K41" t="s">
        <v>265</v>
      </c>
      <c r="L41">
        <v>550</v>
      </c>
      <c r="M41">
        <v>314</v>
      </c>
      <c r="N41">
        <v>198</v>
      </c>
      <c r="O41">
        <v>225</v>
      </c>
      <c r="P41">
        <v>54</v>
      </c>
      <c r="Q41">
        <v>806</v>
      </c>
    </row>
    <row r="42" spans="1:17" x14ac:dyDescent="0.35">
      <c r="A42">
        <v>10311</v>
      </c>
      <c r="B42" t="s">
        <v>405</v>
      </c>
      <c r="C42" t="s">
        <v>345</v>
      </c>
      <c r="D42" t="s">
        <v>187</v>
      </c>
      <c r="E42" t="s">
        <v>406</v>
      </c>
      <c r="F42" t="s">
        <v>239</v>
      </c>
      <c r="G42" t="s">
        <v>407</v>
      </c>
      <c r="H42">
        <v>380</v>
      </c>
      <c r="I42" t="s">
        <v>408</v>
      </c>
      <c r="J42" t="s">
        <v>265</v>
      </c>
      <c r="K42" t="s">
        <v>281</v>
      </c>
      <c r="L42">
        <v>460</v>
      </c>
      <c r="M42">
        <v>80</v>
      </c>
      <c r="N42">
        <v>46</v>
      </c>
      <c r="O42">
        <v>41</v>
      </c>
      <c r="P42">
        <v>8</v>
      </c>
      <c r="Q42">
        <v>179</v>
      </c>
    </row>
    <row r="43" spans="1:17" x14ac:dyDescent="0.35">
      <c r="A43">
        <v>1074</v>
      </c>
      <c r="B43" t="s">
        <v>409</v>
      </c>
      <c r="C43" t="s">
        <v>410</v>
      </c>
      <c r="D43" t="s">
        <v>187</v>
      </c>
      <c r="E43" t="s">
        <v>411</v>
      </c>
      <c r="F43" t="s">
        <v>412</v>
      </c>
      <c r="G43" t="s">
        <v>378</v>
      </c>
      <c r="H43">
        <v>299</v>
      </c>
      <c r="I43" t="s">
        <v>361</v>
      </c>
      <c r="J43" t="s">
        <v>413</v>
      </c>
      <c r="K43" t="s">
        <v>353</v>
      </c>
      <c r="L43">
        <v>363</v>
      </c>
      <c r="M43">
        <v>20</v>
      </c>
      <c r="N43">
        <v>18</v>
      </c>
      <c r="O43">
        <v>24</v>
      </c>
      <c r="P43">
        <v>12</v>
      </c>
      <c r="Q43">
        <v>74</v>
      </c>
    </row>
    <row r="44" spans="1:17" x14ac:dyDescent="0.35">
      <c r="A44">
        <v>1081</v>
      </c>
      <c r="B44" t="s">
        <v>414</v>
      </c>
      <c r="C44" t="s">
        <v>410</v>
      </c>
      <c r="D44" t="s">
        <v>127</v>
      </c>
      <c r="E44" t="s">
        <v>415</v>
      </c>
      <c r="F44" t="s">
        <v>416</v>
      </c>
      <c r="G44" t="s">
        <v>385</v>
      </c>
      <c r="H44">
        <v>489</v>
      </c>
      <c r="I44" t="s">
        <v>417</v>
      </c>
      <c r="J44" t="s">
        <v>418</v>
      </c>
      <c r="K44" t="s">
        <v>419</v>
      </c>
      <c r="L44">
        <v>593</v>
      </c>
      <c r="M44">
        <v>576</v>
      </c>
      <c r="N44">
        <v>445</v>
      </c>
      <c r="O44">
        <v>251</v>
      </c>
      <c r="P44">
        <v>7</v>
      </c>
      <c r="Q44">
        <v>1383</v>
      </c>
    </row>
    <row r="45" spans="1:17" x14ac:dyDescent="0.35">
      <c r="A45">
        <v>1082</v>
      </c>
      <c r="B45" t="s">
        <v>420</v>
      </c>
      <c r="C45" t="s">
        <v>410</v>
      </c>
      <c r="D45" t="s">
        <v>127</v>
      </c>
      <c r="E45" t="s">
        <v>421</v>
      </c>
      <c r="F45" t="s">
        <v>340</v>
      </c>
      <c r="G45" t="s">
        <v>253</v>
      </c>
      <c r="H45">
        <v>412</v>
      </c>
      <c r="I45" t="s">
        <v>422</v>
      </c>
      <c r="J45" t="s">
        <v>299</v>
      </c>
      <c r="K45" t="s">
        <v>423</v>
      </c>
      <c r="L45">
        <v>507</v>
      </c>
      <c r="M45">
        <v>173</v>
      </c>
      <c r="N45">
        <v>192</v>
      </c>
      <c r="O45">
        <v>175</v>
      </c>
      <c r="P45">
        <v>33</v>
      </c>
      <c r="Q45">
        <v>608</v>
      </c>
    </row>
    <row r="46" spans="1:17" x14ac:dyDescent="0.35">
      <c r="A46">
        <v>1083</v>
      </c>
      <c r="B46" t="s">
        <v>424</v>
      </c>
      <c r="C46" t="s">
        <v>410</v>
      </c>
      <c r="D46" t="s">
        <v>127</v>
      </c>
      <c r="E46" t="s">
        <v>425</v>
      </c>
      <c r="F46" t="s">
        <v>306</v>
      </c>
      <c r="G46" t="s">
        <v>343</v>
      </c>
      <c r="H46">
        <v>537</v>
      </c>
      <c r="I46" t="s">
        <v>329</v>
      </c>
      <c r="J46" t="s">
        <v>348</v>
      </c>
      <c r="K46" t="s">
        <v>244</v>
      </c>
      <c r="L46">
        <v>645</v>
      </c>
      <c r="M46">
        <v>647</v>
      </c>
      <c r="N46">
        <v>377</v>
      </c>
      <c r="O46">
        <v>272</v>
      </c>
      <c r="P46">
        <v>2</v>
      </c>
      <c r="Q46">
        <v>1349</v>
      </c>
    </row>
    <row r="47" spans="1:17" x14ac:dyDescent="0.35">
      <c r="A47">
        <v>1117</v>
      </c>
      <c r="B47" t="s">
        <v>426</v>
      </c>
      <c r="C47" t="s">
        <v>427</v>
      </c>
      <c r="D47" t="s">
        <v>202</v>
      </c>
      <c r="E47" t="s">
        <v>428</v>
      </c>
      <c r="F47" t="s">
        <v>287</v>
      </c>
      <c r="G47" t="s">
        <v>429</v>
      </c>
      <c r="H47">
        <v>368</v>
      </c>
      <c r="I47" t="s">
        <v>430</v>
      </c>
      <c r="J47" t="s">
        <v>204</v>
      </c>
      <c r="K47" t="s">
        <v>379</v>
      </c>
      <c r="L47">
        <v>488</v>
      </c>
      <c r="M47">
        <v>43</v>
      </c>
      <c r="N47">
        <v>62</v>
      </c>
      <c r="O47">
        <v>32</v>
      </c>
      <c r="P47">
        <v>12</v>
      </c>
      <c r="Q47">
        <v>156</v>
      </c>
    </row>
    <row r="48" spans="1:17" x14ac:dyDescent="0.35">
      <c r="A48">
        <v>1122</v>
      </c>
      <c r="B48" t="s">
        <v>431</v>
      </c>
      <c r="C48" t="s">
        <v>427</v>
      </c>
      <c r="D48" t="s">
        <v>202</v>
      </c>
      <c r="E48" t="s">
        <v>331</v>
      </c>
      <c r="F48" t="s">
        <v>218</v>
      </c>
      <c r="G48" t="s">
        <v>259</v>
      </c>
      <c r="H48">
        <v>370</v>
      </c>
      <c r="I48" t="s">
        <v>432</v>
      </c>
      <c r="J48" t="s">
        <v>306</v>
      </c>
      <c r="K48" t="s">
        <v>262</v>
      </c>
      <c r="L48">
        <v>464</v>
      </c>
      <c r="M48">
        <v>32</v>
      </c>
      <c r="N48">
        <v>57</v>
      </c>
      <c r="O48">
        <v>31</v>
      </c>
      <c r="P48">
        <v>6</v>
      </c>
      <c r="Q48">
        <v>126</v>
      </c>
    </row>
    <row r="49" spans="1:17" x14ac:dyDescent="0.35">
      <c r="A49">
        <v>1131</v>
      </c>
      <c r="B49" t="s">
        <v>433</v>
      </c>
      <c r="C49" t="s">
        <v>427</v>
      </c>
      <c r="D49" t="s">
        <v>127</v>
      </c>
      <c r="E49" t="s">
        <v>434</v>
      </c>
      <c r="F49" t="s">
        <v>435</v>
      </c>
      <c r="G49" t="s">
        <v>436</v>
      </c>
      <c r="H49">
        <v>866</v>
      </c>
      <c r="I49" t="s">
        <v>437</v>
      </c>
      <c r="J49" t="s">
        <v>438</v>
      </c>
      <c r="K49" t="s">
        <v>439</v>
      </c>
      <c r="L49">
        <v>1075</v>
      </c>
      <c r="M49">
        <v>173</v>
      </c>
      <c r="N49">
        <v>40</v>
      </c>
      <c r="O49">
        <v>44</v>
      </c>
      <c r="P49">
        <v>0</v>
      </c>
      <c r="Q49">
        <v>257</v>
      </c>
    </row>
    <row r="50" spans="1:17" x14ac:dyDescent="0.35">
      <c r="A50">
        <v>1133</v>
      </c>
      <c r="B50" t="s">
        <v>440</v>
      </c>
      <c r="C50" t="s">
        <v>427</v>
      </c>
      <c r="D50" t="s">
        <v>187</v>
      </c>
      <c r="E50" t="s">
        <v>441</v>
      </c>
      <c r="F50" t="s">
        <v>308</v>
      </c>
      <c r="G50" t="s">
        <v>407</v>
      </c>
      <c r="H50">
        <v>398</v>
      </c>
      <c r="I50" t="s">
        <v>442</v>
      </c>
      <c r="J50" t="s">
        <v>248</v>
      </c>
      <c r="K50" t="s">
        <v>275</v>
      </c>
      <c r="L50">
        <v>507</v>
      </c>
      <c r="M50">
        <v>32</v>
      </c>
      <c r="N50">
        <v>21</v>
      </c>
      <c r="O50">
        <v>33</v>
      </c>
      <c r="P50">
        <v>6</v>
      </c>
      <c r="Q50">
        <v>92</v>
      </c>
    </row>
    <row r="51" spans="1:17" x14ac:dyDescent="0.35">
      <c r="A51">
        <v>1137</v>
      </c>
      <c r="B51" t="s">
        <v>443</v>
      </c>
      <c r="C51" t="s">
        <v>427</v>
      </c>
      <c r="D51" t="s">
        <v>202</v>
      </c>
      <c r="E51" t="s">
        <v>315</v>
      </c>
      <c r="F51" t="s">
        <v>444</v>
      </c>
      <c r="G51" t="s">
        <v>445</v>
      </c>
      <c r="H51">
        <v>544</v>
      </c>
      <c r="I51" t="s">
        <v>446</v>
      </c>
      <c r="J51" t="s">
        <v>447</v>
      </c>
      <c r="K51" t="s">
        <v>251</v>
      </c>
      <c r="L51">
        <v>690</v>
      </c>
      <c r="M51">
        <v>393</v>
      </c>
      <c r="N51">
        <v>120</v>
      </c>
      <c r="O51">
        <v>105</v>
      </c>
      <c r="P51">
        <v>5</v>
      </c>
      <c r="Q51">
        <v>623</v>
      </c>
    </row>
    <row r="52" spans="1:17" x14ac:dyDescent="0.35">
      <c r="A52">
        <v>1138</v>
      </c>
      <c r="B52" t="s">
        <v>448</v>
      </c>
      <c r="C52" t="s">
        <v>427</v>
      </c>
      <c r="D52" t="s">
        <v>202</v>
      </c>
      <c r="E52" t="s">
        <v>449</v>
      </c>
      <c r="F52" t="s">
        <v>450</v>
      </c>
      <c r="G52" t="s">
        <v>451</v>
      </c>
      <c r="H52">
        <v>552</v>
      </c>
      <c r="I52" t="s">
        <v>452</v>
      </c>
      <c r="J52" t="s">
        <v>453</v>
      </c>
      <c r="K52" t="s">
        <v>454</v>
      </c>
      <c r="L52">
        <v>699</v>
      </c>
      <c r="M52">
        <v>258</v>
      </c>
      <c r="N52">
        <v>69</v>
      </c>
      <c r="O52">
        <v>49</v>
      </c>
      <c r="P52">
        <v>7</v>
      </c>
      <c r="Q52">
        <v>383</v>
      </c>
    </row>
    <row r="53" spans="1:17" x14ac:dyDescent="0.35">
      <c r="A53">
        <v>1139</v>
      </c>
      <c r="B53" t="s">
        <v>455</v>
      </c>
      <c r="C53" t="s">
        <v>427</v>
      </c>
      <c r="D53" t="s">
        <v>202</v>
      </c>
      <c r="E53" t="s">
        <v>442</v>
      </c>
      <c r="F53" t="s">
        <v>456</v>
      </c>
      <c r="G53" t="s">
        <v>281</v>
      </c>
      <c r="H53">
        <v>542</v>
      </c>
      <c r="I53" t="s">
        <v>457</v>
      </c>
      <c r="J53" t="s">
        <v>458</v>
      </c>
      <c r="K53" t="s">
        <v>372</v>
      </c>
      <c r="L53">
        <v>685</v>
      </c>
      <c r="M53">
        <v>491</v>
      </c>
      <c r="N53">
        <v>171</v>
      </c>
      <c r="O53">
        <v>112</v>
      </c>
      <c r="P53">
        <v>6</v>
      </c>
      <c r="Q53">
        <v>780</v>
      </c>
    </row>
    <row r="54" spans="1:17" x14ac:dyDescent="0.35">
      <c r="A54">
        <v>1141</v>
      </c>
      <c r="B54" t="s">
        <v>459</v>
      </c>
      <c r="C54" t="s">
        <v>427</v>
      </c>
      <c r="D54" t="s">
        <v>202</v>
      </c>
      <c r="E54" t="s">
        <v>315</v>
      </c>
      <c r="F54" t="s">
        <v>460</v>
      </c>
      <c r="G54" t="s">
        <v>308</v>
      </c>
      <c r="H54">
        <v>548</v>
      </c>
      <c r="I54" t="s">
        <v>461</v>
      </c>
      <c r="J54" t="s">
        <v>449</v>
      </c>
      <c r="K54" t="s">
        <v>462</v>
      </c>
      <c r="L54">
        <v>705</v>
      </c>
      <c r="M54">
        <v>178</v>
      </c>
      <c r="N54">
        <v>52</v>
      </c>
      <c r="O54">
        <v>37</v>
      </c>
      <c r="P54">
        <v>1</v>
      </c>
      <c r="Q54">
        <v>268</v>
      </c>
    </row>
    <row r="55" spans="1:17" x14ac:dyDescent="0.35">
      <c r="A55">
        <v>1143</v>
      </c>
      <c r="B55" t="s">
        <v>463</v>
      </c>
      <c r="C55" t="s">
        <v>427</v>
      </c>
      <c r="D55" t="s">
        <v>202</v>
      </c>
      <c r="E55" t="s">
        <v>254</v>
      </c>
      <c r="F55" t="s">
        <v>269</v>
      </c>
      <c r="G55" t="s">
        <v>231</v>
      </c>
      <c r="H55">
        <v>571</v>
      </c>
      <c r="I55" t="s">
        <v>464</v>
      </c>
      <c r="J55" t="s">
        <v>465</v>
      </c>
      <c r="K55" t="s">
        <v>336</v>
      </c>
      <c r="L55">
        <v>721</v>
      </c>
      <c r="M55">
        <v>507</v>
      </c>
      <c r="N55">
        <v>102</v>
      </c>
      <c r="O55">
        <v>60</v>
      </c>
      <c r="P55">
        <v>1</v>
      </c>
      <c r="Q55">
        <v>670</v>
      </c>
    </row>
    <row r="56" spans="1:17" x14ac:dyDescent="0.35">
      <c r="A56">
        <v>1144</v>
      </c>
      <c r="B56" t="s">
        <v>466</v>
      </c>
      <c r="C56" t="s">
        <v>427</v>
      </c>
      <c r="D56" t="s">
        <v>202</v>
      </c>
      <c r="E56" t="s">
        <v>458</v>
      </c>
      <c r="F56" t="s">
        <v>467</v>
      </c>
      <c r="G56" t="s">
        <v>468</v>
      </c>
      <c r="H56">
        <v>559</v>
      </c>
      <c r="I56" t="s">
        <v>469</v>
      </c>
      <c r="J56" t="s">
        <v>470</v>
      </c>
      <c r="K56" t="s">
        <v>404</v>
      </c>
      <c r="L56">
        <v>707</v>
      </c>
      <c r="M56">
        <v>411</v>
      </c>
      <c r="N56">
        <v>116</v>
      </c>
      <c r="O56">
        <v>79</v>
      </c>
      <c r="P56">
        <v>4</v>
      </c>
      <c r="Q56">
        <v>610</v>
      </c>
    </row>
    <row r="57" spans="1:17" x14ac:dyDescent="0.35">
      <c r="A57">
        <v>1146</v>
      </c>
      <c r="B57" t="s">
        <v>471</v>
      </c>
      <c r="C57" t="s">
        <v>427</v>
      </c>
      <c r="D57" t="s">
        <v>202</v>
      </c>
      <c r="E57" t="s">
        <v>472</v>
      </c>
      <c r="F57" t="s">
        <v>473</v>
      </c>
      <c r="G57" t="s">
        <v>413</v>
      </c>
      <c r="H57">
        <v>558</v>
      </c>
      <c r="I57" t="s">
        <v>474</v>
      </c>
      <c r="J57" t="s">
        <v>475</v>
      </c>
      <c r="K57" t="s">
        <v>299</v>
      </c>
      <c r="L57">
        <v>707</v>
      </c>
      <c r="M57">
        <v>413</v>
      </c>
      <c r="N57">
        <v>86</v>
      </c>
      <c r="O57">
        <v>73</v>
      </c>
      <c r="P57">
        <v>2</v>
      </c>
      <c r="Q57">
        <v>574</v>
      </c>
    </row>
    <row r="58" spans="1:17" x14ac:dyDescent="0.35">
      <c r="A58">
        <v>1147</v>
      </c>
      <c r="B58" t="s">
        <v>476</v>
      </c>
      <c r="C58" t="s">
        <v>427</v>
      </c>
      <c r="D58" t="s">
        <v>202</v>
      </c>
      <c r="E58" t="s">
        <v>415</v>
      </c>
      <c r="F58" t="s">
        <v>234</v>
      </c>
      <c r="G58" t="s">
        <v>189</v>
      </c>
      <c r="H58">
        <v>553</v>
      </c>
      <c r="I58" t="s">
        <v>477</v>
      </c>
      <c r="J58" t="s">
        <v>210</v>
      </c>
      <c r="K58" t="s">
        <v>478</v>
      </c>
      <c r="L58">
        <v>699</v>
      </c>
      <c r="M58">
        <v>459</v>
      </c>
      <c r="N58">
        <v>109</v>
      </c>
      <c r="O58">
        <v>67</v>
      </c>
      <c r="P58">
        <v>14</v>
      </c>
      <c r="Q58">
        <v>649</v>
      </c>
    </row>
    <row r="59" spans="1:17" x14ac:dyDescent="0.35">
      <c r="A59">
        <v>1149</v>
      </c>
      <c r="B59" t="s">
        <v>479</v>
      </c>
      <c r="C59" t="s">
        <v>427</v>
      </c>
      <c r="D59" t="s">
        <v>202</v>
      </c>
      <c r="E59" t="s">
        <v>462</v>
      </c>
      <c r="F59" t="s">
        <v>480</v>
      </c>
      <c r="G59" t="s">
        <v>445</v>
      </c>
      <c r="H59">
        <v>543</v>
      </c>
      <c r="I59" t="s">
        <v>317</v>
      </c>
      <c r="J59" t="s">
        <v>415</v>
      </c>
      <c r="K59" t="s">
        <v>211</v>
      </c>
      <c r="L59">
        <v>688</v>
      </c>
      <c r="M59">
        <v>213</v>
      </c>
      <c r="N59">
        <v>38</v>
      </c>
      <c r="O59">
        <v>50</v>
      </c>
      <c r="P59">
        <v>0</v>
      </c>
      <c r="Q59">
        <v>301</v>
      </c>
    </row>
    <row r="60" spans="1:17" x14ac:dyDescent="0.35">
      <c r="A60">
        <v>1151</v>
      </c>
      <c r="B60" t="s">
        <v>481</v>
      </c>
      <c r="C60" t="s">
        <v>427</v>
      </c>
      <c r="D60" t="s">
        <v>202</v>
      </c>
      <c r="E60" t="s">
        <v>482</v>
      </c>
      <c r="F60" t="s">
        <v>365</v>
      </c>
      <c r="G60" t="s">
        <v>483</v>
      </c>
      <c r="H60">
        <v>547</v>
      </c>
      <c r="I60" t="s">
        <v>484</v>
      </c>
      <c r="J60" t="s">
        <v>485</v>
      </c>
      <c r="K60" t="s">
        <v>486</v>
      </c>
      <c r="L60">
        <v>693</v>
      </c>
      <c r="M60">
        <v>576</v>
      </c>
      <c r="N60">
        <v>223</v>
      </c>
      <c r="O60">
        <v>100</v>
      </c>
      <c r="P60">
        <v>10</v>
      </c>
      <c r="Q60">
        <v>909</v>
      </c>
    </row>
    <row r="61" spans="1:17" x14ac:dyDescent="0.35">
      <c r="A61">
        <v>1155</v>
      </c>
      <c r="B61" t="s">
        <v>487</v>
      </c>
      <c r="C61" t="s">
        <v>427</v>
      </c>
      <c r="D61" t="s">
        <v>202</v>
      </c>
      <c r="E61" t="s">
        <v>488</v>
      </c>
      <c r="F61" t="s">
        <v>489</v>
      </c>
      <c r="G61" t="s">
        <v>249</v>
      </c>
      <c r="H61">
        <v>528</v>
      </c>
      <c r="I61" t="s">
        <v>490</v>
      </c>
      <c r="J61" t="s">
        <v>491</v>
      </c>
      <c r="K61" t="s">
        <v>492</v>
      </c>
      <c r="L61">
        <v>669</v>
      </c>
      <c r="M61">
        <v>431</v>
      </c>
      <c r="N61">
        <v>222</v>
      </c>
      <c r="O61">
        <v>158</v>
      </c>
      <c r="P61">
        <v>8</v>
      </c>
      <c r="Q61">
        <v>819</v>
      </c>
    </row>
    <row r="62" spans="1:17" x14ac:dyDescent="0.35">
      <c r="A62">
        <v>1156</v>
      </c>
      <c r="B62" t="s">
        <v>493</v>
      </c>
      <c r="C62" t="s">
        <v>427</v>
      </c>
      <c r="D62" t="s">
        <v>202</v>
      </c>
      <c r="E62" t="s">
        <v>482</v>
      </c>
      <c r="F62" t="s">
        <v>494</v>
      </c>
      <c r="G62" t="s">
        <v>495</v>
      </c>
      <c r="H62">
        <v>553</v>
      </c>
      <c r="I62" t="s">
        <v>496</v>
      </c>
      <c r="J62" t="s">
        <v>497</v>
      </c>
      <c r="K62" t="s">
        <v>498</v>
      </c>
      <c r="L62">
        <v>699</v>
      </c>
      <c r="M62">
        <v>170</v>
      </c>
      <c r="N62">
        <v>34</v>
      </c>
      <c r="O62">
        <v>29</v>
      </c>
      <c r="P62">
        <v>0</v>
      </c>
      <c r="Q62">
        <v>233</v>
      </c>
    </row>
    <row r="63" spans="1:17" x14ac:dyDescent="0.35">
      <c r="A63">
        <v>1164</v>
      </c>
      <c r="B63" t="s">
        <v>499</v>
      </c>
      <c r="C63" t="s">
        <v>427</v>
      </c>
      <c r="D63" t="s">
        <v>202</v>
      </c>
      <c r="E63" t="s">
        <v>500</v>
      </c>
      <c r="F63" t="s">
        <v>501</v>
      </c>
      <c r="G63" t="s">
        <v>502</v>
      </c>
      <c r="H63">
        <v>491</v>
      </c>
      <c r="I63" t="s">
        <v>464</v>
      </c>
      <c r="J63" t="s">
        <v>503</v>
      </c>
      <c r="K63" t="s">
        <v>430</v>
      </c>
      <c r="L63">
        <v>656</v>
      </c>
      <c r="M63">
        <v>38</v>
      </c>
      <c r="N63">
        <v>37</v>
      </c>
      <c r="O63">
        <v>36</v>
      </c>
      <c r="P63">
        <v>0</v>
      </c>
      <c r="Q63">
        <v>111</v>
      </c>
    </row>
    <row r="64" spans="1:17" x14ac:dyDescent="0.35">
      <c r="A64">
        <v>1170</v>
      </c>
      <c r="B64" t="s">
        <v>504</v>
      </c>
      <c r="C64" t="s">
        <v>427</v>
      </c>
      <c r="D64" t="s">
        <v>187</v>
      </c>
      <c r="E64" t="s">
        <v>206</v>
      </c>
      <c r="F64" t="s">
        <v>505</v>
      </c>
      <c r="G64" t="s">
        <v>343</v>
      </c>
      <c r="H64">
        <v>601</v>
      </c>
      <c r="I64" t="s">
        <v>506</v>
      </c>
      <c r="J64" t="s">
        <v>507</v>
      </c>
      <c r="K64" t="s">
        <v>508</v>
      </c>
      <c r="L64">
        <v>751</v>
      </c>
      <c r="M64">
        <v>36</v>
      </c>
      <c r="N64">
        <v>16</v>
      </c>
      <c r="O64">
        <v>12</v>
      </c>
      <c r="P64">
        <v>2</v>
      </c>
      <c r="Q64">
        <v>67</v>
      </c>
    </row>
    <row r="65" spans="1:17" x14ac:dyDescent="0.35">
      <c r="A65">
        <v>1171</v>
      </c>
      <c r="B65" t="s">
        <v>509</v>
      </c>
      <c r="C65" t="s">
        <v>427</v>
      </c>
      <c r="D65" t="s">
        <v>187</v>
      </c>
      <c r="E65" t="s">
        <v>329</v>
      </c>
      <c r="F65" t="s">
        <v>510</v>
      </c>
      <c r="G65" t="s">
        <v>188</v>
      </c>
      <c r="H65">
        <v>638</v>
      </c>
      <c r="I65" t="s">
        <v>511</v>
      </c>
      <c r="J65" t="s">
        <v>512</v>
      </c>
      <c r="K65" t="s">
        <v>513</v>
      </c>
      <c r="L65">
        <v>805</v>
      </c>
      <c r="M65">
        <v>34</v>
      </c>
      <c r="N65">
        <v>14</v>
      </c>
      <c r="O65">
        <v>20</v>
      </c>
      <c r="P65">
        <v>0</v>
      </c>
      <c r="Q65">
        <v>68</v>
      </c>
    </row>
    <row r="66" spans="1:17" x14ac:dyDescent="0.35">
      <c r="A66">
        <v>1172</v>
      </c>
      <c r="B66" t="s">
        <v>514</v>
      </c>
      <c r="C66" t="s">
        <v>427</v>
      </c>
      <c r="D66" t="s">
        <v>187</v>
      </c>
      <c r="E66" t="s">
        <v>515</v>
      </c>
      <c r="F66" t="s">
        <v>361</v>
      </c>
      <c r="G66" t="s">
        <v>362</v>
      </c>
      <c r="H66">
        <v>547</v>
      </c>
      <c r="I66" t="s">
        <v>516</v>
      </c>
      <c r="J66" t="s">
        <v>200</v>
      </c>
      <c r="K66" t="s">
        <v>473</v>
      </c>
      <c r="L66">
        <v>695</v>
      </c>
      <c r="M66">
        <v>31</v>
      </c>
      <c r="N66">
        <v>10</v>
      </c>
      <c r="O66">
        <v>13</v>
      </c>
      <c r="P66">
        <v>0</v>
      </c>
      <c r="Q66">
        <v>54</v>
      </c>
    </row>
    <row r="67" spans="1:17" x14ac:dyDescent="0.35">
      <c r="A67">
        <v>1173</v>
      </c>
      <c r="B67" t="s">
        <v>517</v>
      </c>
      <c r="C67" t="s">
        <v>427</v>
      </c>
      <c r="D67" t="s">
        <v>187</v>
      </c>
      <c r="E67" t="s">
        <v>518</v>
      </c>
      <c r="F67" t="s">
        <v>519</v>
      </c>
      <c r="G67" t="s">
        <v>520</v>
      </c>
      <c r="H67">
        <v>566</v>
      </c>
      <c r="I67" t="s">
        <v>438</v>
      </c>
      <c r="J67" t="s">
        <v>521</v>
      </c>
      <c r="K67" t="s">
        <v>220</v>
      </c>
      <c r="L67">
        <v>708</v>
      </c>
      <c r="M67">
        <v>60</v>
      </c>
      <c r="N67">
        <v>52</v>
      </c>
      <c r="O67">
        <v>40</v>
      </c>
      <c r="P67">
        <v>7</v>
      </c>
      <c r="Q67">
        <v>161</v>
      </c>
    </row>
    <row r="68" spans="1:17" x14ac:dyDescent="0.35">
      <c r="A68">
        <v>1174</v>
      </c>
      <c r="B68" t="s">
        <v>522</v>
      </c>
      <c r="C68" t="s">
        <v>427</v>
      </c>
      <c r="D68" t="s">
        <v>187</v>
      </c>
      <c r="E68" t="s">
        <v>523</v>
      </c>
      <c r="F68" t="s">
        <v>524</v>
      </c>
      <c r="G68" t="s">
        <v>389</v>
      </c>
      <c r="H68">
        <v>511</v>
      </c>
      <c r="I68" t="s">
        <v>525</v>
      </c>
      <c r="J68" t="s">
        <v>513</v>
      </c>
      <c r="K68" t="s">
        <v>526</v>
      </c>
      <c r="L68">
        <v>658</v>
      </c>
      <c r="M68">
        <v>28</v>
      </c>
      <c r="N68">
        <v>10</v>
      </c>
      <c r="O68">
        <v>15</v>
      </c>
      <c r="P68">
        <v>1</v>
      </c>
      <c r="Q68">
        <v>54</v>
      </c>
    </row>
    <row r="69" spans="1:17" x14ac:dyDescent="0.35">
      <c r="A69">
        <v>1179</v>
      </c>
      <c r="B69" t="s">
        <v>527</v>
      </c>
      <c r="C69" t="s">
        <v>427</v>
      </c>
      <c r="D69" t="s">
        <v>187</v>
      </c>
      <c r="E69" t="s">
        <v>486</v>
      </c>
      <c r="F69" t="s">
        <v>261</v>
      </c>
      <c r="G69" t="s">
        <v>239</v>
      </c>
      <c r="H69">
        <v>448</v>
      </c>
      <c r="I69" t="s">
        <v>470</v>
      </c>
      <c r="J69" t="s">
        <v>454</v>
      </c>
      <c r="K69" t="s">
        <v>328</v>
      </c>
      <c r="L69">
        <v>535</v>
      </c>
      <c r="M69">
        <v>25</v>
      </c>
      <c r="N69">
        <v>16</v>
      </c>
      <c r="O69">
        <v>15</v>
      </c>
      <c r="P69">
        <v>3</v>
      </c>
      <c r="Q69">
        <v>59</v>
      </c>
    </row>
    <row r="70" spans="1:17" x14ac:dyDescent="0.35">
      <c r="A70">
        <v>1183</v>
      </c>
      <c r="B70" t="s">
        <v>528</v>
      </c>
      <c r="C70" t="s">
        <v>427</v>
      </c>
      <c r="D70" t="s">
        <v>187</v>
      </c>
      <c r="E70" t="s">
        <v>402</v>
      </c>
      <c r="F70" t="s">
        <v>231</v>
      </c>
      <c r="G70" t="s">
        <v>529</v>
      </c>
      <c r="H70">
        <v>368</v>
      </c>
      <c r="I70" t="s">
        <v>226</v>
      </c>
      <c r="J70" t="s">
        <v>328</v>
      </c>
      <c r="K70" t="s">
        <v>298</v>
      </c>
      <c r="L70">
        <v>413</v>
      </c>
      <c r="M70">
        <v>10</v>
      </c>
      <c r="N70">
        <v>22</v>
      </c>
      <c r="O70">
        <v>18</v>
      </c>
      <c r="P70">
        <v>1</v>
      </c>
      <c r="Q70">
        <v>51</v>
      </c>
    </row>
    <row r="71" spans="1:17" x14ac:dyDescent="0.35">
      <c r="A71">
        <v>1216</v>
      </c>
      <c r="B71" t="s">
        <v>530</v>
      </c>
      <c r="C71" t="s">
        <v>427</v>
      </c>
      <c r="D71" t="s">
        <v>202</v>
      </c>
      <c r="E71" t="s">
        <v>473</v>
      </c>
      <c r="F71" t="s">
        <v>308</v>
      </c>
      <c r="G71" t="s">
        <v>531</v>
      </c>
      <c r="H71">
        <v>401</v>
      </c>
      <c r="I71" t="s">
        <v>482</v>
      </c>
      <c r="J71" t="s">
        <v>390</v>
      </c>
      <c r="K71" t="s">
        <v>532</v>
      </c>
      <c r="L71">
        <v>494</v>
      </c>
      <c r="M71">
        <v>41</v>
      </c>
      <c r="N71">
        <v>28</v>
      </c>
      <c r="O71">
        <v>41</v>
      </c>
      <c r="P71">
        <v>0</v>
      </c>
      <c r="Q71">
        <v>110</v>
      </c>
    </row>
    <row r="72" spans="1:17" x14ac:dyDescent="0.35">
      <c r="A72">
        <v>1238</v>
      </c>
      <c r="B72" t="s">
        <v>533</v>
      </c>
      <c r="C72" t="s">
        <v>427</v>
      </c>
      <c r="D72" t="s">
        <v>202</v>
      </c>
      <c r="E72" t="s">
        <v>462</v>
      </c>
      <c r="F72" t="s">
        <v>265</v>
      </c>
      <c r="G72" t="s">
        <v>534</v>
      </c>
      <c r="H72">
        <v>492</v>
      </c>
      <c r="I72" t="s">
        <v>535</v>
      </c>
      <c r="J72" t="s">
        <v>536</v>
      </c>
      <c r="K72" t="s">
        <v>211</v>
      </c>
      <c r="L72">
        <v>612</v>
      </c>
      <c r="M72">
        <v>28</v>
      </c>
      <c r="N72">
        <v>16</v>
      </c>
      <c r="O72">
        <v>23</v>
      </c>
      <c r="P72">
        <v>2</v>
      </c>
      <c r="Q72">
        <v>70</v>
      </c>
    </row>
    <row r="73" spans="1:17" x14ac:dyDescent="0.35">
      <c r="A73">
        <v>1249</v>
      </c>
      <c r="B73" t="s">
        <v>537</v>
      </c>
      <c r="C73" t="s">
        <v>427</v>
      </c>
      <c r="D73" t="s">
        <v>187</v>
      </c>
      <c r="E73" t="s">
        <v>538</v>
      </c>
      <c r="F73" t="s">
        <v>539</v>
      </c>
      <c r="G73" t="s">
        <v>303</v>
      </c>
      <c r="H73">
        <v>490</v>
      </c>
      <c r="I73" t="s">
        <v>540</v>
      </c>
      <c r="J73" t="s">
        <v>462</v>
      </c>
      <c r="K73" t="s">
        <v>473</v>
      </c>
      <c r="L73">
        <v>621</v>
      </c>
      <c r="M73">
        <v>49</v>
      </c>
      <c r="N73">
        <v>42</v>
      </c>
      <c r="O73">
        <v>33</v>
      </c>
      <c r="P73">
        <v>15</v>
      </c>
      <c r="Q73">
        <v>139</v>
      </c>
    </row>
    <row r="74" spans="1:17" x14ac:dyDescent="0.35">
      <c r="A74">
        <v>1253</v>
      </c>
      <c r="B74" t="s">
        <v>541</v>
      </c>
      <c r="C74" t="s">
        <v>427</v>
      </c>
      <c r="D74" t="s">
        <v>187</v>
      </c>
      <c r="E74" t="s">
        <v>358</v>
      </c>
      <c r="F74" t="s">
        <v>358</v>
      </c>
      <c r="G74" t="s">
        <v>358</v>
      </c>
      <c r="H74">
        <v>361</v>
      </c>
      <c r="I74" t="s">
        <v>358</v>
      </c>
      <c r="J74" t="s">
        <v>358</v>
      </c>
      <c r="K74" t="s">
        <v>358</v>
      </c>
      <c r="L74">
        <v>447</v>
      </c>
      <c r="M74">
        <v>0</v>
      </c>
      <c r="N74">
        <v>0</v>
      </c>
      <c r="O74">
        <v>0</v>
      </c>
      <c r="P74">
        <v>0</v>
      </c>
      <c r="Q74">
        <v>54</v>
      </c>
    </row>
    <row r="75" spans="1:17" x14ac:dyDescent="0.35">
      <c r="A75">
        <v>1258</v>
      </c>
      <c r="B75" t="s">
        <v>542</v>
      </c>
      <c r="C75" t="s">
        <v>427</v>
      </c>
      <c r="D75" t="s">
        <v>187</v>
      </c>
      <c r="E75" t="s">
        <v>190</v>
      </c>
      <c r="F75" t="s">
        <v>543</v>
      </c>
      <c r="G75" t="s">
        <v>544</v>
      </c>
      <c r="H75">
        <v>336</v>
      </c>
      <c r="I75" t="s">
        <v>224</v>
      </c>
      <c r="J75" t="s">
        <v>545</v>
      </c>
      <c r="K75" t="s">
        <v>222</v>
      </c>
      <c r="L75">
        <v>403</v>
      </c>
      <c r="M75">
        <v>40</v>
      </c>
      <c r="N75">
        <v>17</v>
      </c>
      <c r="O75">
        <v>41</v>
      </c>
      <c r="P75">
        <v>4</v>
      </c>
      <c r="Q75">
        <v>102</v>
      </c>
    </row>
    <row r="76" spans="1:17" x14ac:dyDescent="0.35">
      <c r="A76">
        <v>1262</v>
      </c>
      <c r="B76" t="s">
        <v>546</v>
      </c>
      <c r="C76" t="s">
        <v>427</v>
      </c>
      <c r="D76" t="s">
        <v>187</v>
      </c>
      <c r="E76" t="s">
        <v>211</v>
      </c>
      <c r="F76" t="s">
        <v>547</v>
      </c>
      <c r="G76" t="s">
        <v>411</v>
      </c>
      <c r="H76">
        <v>429</v>
      </c>
      <c r="I76" t="s">
        <v>447</v>
      </c>
      <c r="J76" t="s">
        <v>548</v>
      </c>
      <c r="K76" t="s">
        <v>480</v>
      </c>
      <c r="L76">
        <v>549</v>
      </c>
      <c r="M76">
        <v>43</v>
      </c>
      <c r="N76">
        <v>21</v>
      </c>
      <c r="O76">
        <v>23</v>
      </c>
      <c r="P76">
        <v>7</v>
      </c>
      <c r="Q76">
        <v>94</v>
      </c>
    </row>
    <row r="77" spans="1:17" x14ac:dyDescent="0.35">
      <c r="A77">
        <v>1264</v>
      </c>
      <c r="B77" t="s">
        <v>549</v>
      </c>
      <c r="C77" t="s">
        <v>427</v>
      </c>
      <c r="D77" t="s">
        <v>202</v>
      </c>
      <c r="E77" t="s">
        <v>550</v>
      </c>
      <c r="F77" t="s">
        <v>348</v>
      </c>
      <c r="G77" t="s">
        <v>421</v>
      </c>
      <c r="H77">
        <v>637</v>
      </c>
      <c r="I77" t="s">
        <v>551</v>
      </c>
      <c r="J77" t="s">
        <v>535</v>
      </c>
      <c r="K77" t="s">
        <v>335</v>
      </c>
      <c r="L77">
        <v>829</v>
      </c>
      <c r="M77">
        <v>130</v>
      </c>
      <c r="N77">
        <v>72</v>
      </c>
      <c r="O77">
        <v>22</v>
      </c>
      <c r="P77">
        <v>7</v>
      </c>
      <c r="Q77">
        <v>231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7E83-BDEE-4772-8127-E535C71BD8C6}">
  <dimension ref="A1:M20"/>
  <sheetViews>
    <sheetView workbookViewId="0">
      <selection activeCell="K4" sqref="K4"/>
    </sheetView>
  </sheetViews>
  <sheetFormatPr defaultRowHeight="14.5" x14ac:dyDescent="0.35"/>
  <cols>
    <col min="3" max="3" width="13.54296875" customWidth="1"/>
    <col min="5" max="5" width="11.453125" customWidth="1"/>
    <col min="6" max="6" width="20.7265625" customWidth="1"/>
    <col min="7" max="7" width="15" customWidth="1"/>
    <col min="8" max="8" width="10.7265625" customWidth="1"/>
    <col min="9" max="9" width="23.08984375" customWidth="1"/>
    <col min="11" max="11" width="13.26953125" customWidth="1"/>
    <col min="12" max="12" width="18.26953125" customWidth="1"/>
  </cols>
  <sheetData>
    <row r="1" spans="1:13" ht="21.5" thickBot="1" x14ac:dyDescent="0.55000000000000004">
      <c r="A1" s="135"/>
      <c r="B1" s="135"/>
      <c r="C1" s="135"/>
      <c r="D1" s="135"/>
      <c r="E1" s="135" t="s">
        <v>104</v>
      </c>
      <c r="F1" s="135"/>
      <c r="G1" s="135"/>
    </row>
    <row r="2" spans="1:13" ht="19" thickBot="1" x14ac:dyDescent="0.5">
      <c r="A2" s="133" t="s">
        <v>97</v>
      </c>
      <c r="B2" s="129" t="s">
        <v>98</v>
      </c>
      <c r="C2" s="129" t="s">
        <v>99</v>
      </c>
      <c r="D2" s="129" t="s">
        <v>132</v>
      </c>
      <c r="E2" s="129" t="s">
        <v>583</v>
      </c>
      <c r="F2" s="129" t="s">
        <v>133</v>
      </c>
      <c r="G2" s="130" t="s">
        <v>134</v>
      </c>
      <c r="I2" s="22" t="s">
        <v>136</v>
      </c>
      <c r="K2" s="22" t="s">
        <v>579</v>
      </c>
      <c r="L2" s="41"/>
      <c r="M2" s="42"/>
    </row>
    <row r="3" spans="1:13" x14ac:dyDescent="0.35">
      <c r="A3">
        <v>8</v>
      </c>
      <c r="B3">
        <v>5</v>
      </c>
      <c r="C3" s="19">
        <f>A3-B3</f>
        <v>3</v>
      </c>
      <c r="D3" s="19">
        <f>ABS(C3)</f>
        <v>3</v>
      </c>
      <c r="E3" s="19">
        <f>_xlfn.RANK.AVG(C3,$C$3:$C$11,1)</f>
        <v>7</v>
      </c>
      <c r="F3" s="19">
        <f>IF(C3&gt;0,1,-1)</f>
        <v>1</v>
      </c>
      <c r="G3" s="19">
        <f>E3*F3</f>
        <v>7</v>
      </c>
      <c r="I3" t="s">
        <v>137</v>
      </c>
      <c r="J3" s="19">
        <f>SUMIF(G3:G100,"&gt;0",G3:G100)</f>
        <v>39</v>
      </c>
      <c r="K3" s="19">
        <f>ABS(J3)</f>
        <v>39</v>
      </c>
    </row>
    <row r="4" spans="1:13" x14ac:dyDescent="0.35">
      <c r="A4">
        <v>7</v>
      </c>
      <c r="B4">
        <v>5</v>
      </c>
      <c r="C4" s="19">
        <f t="shared" ref="C4:C12" si="0">A4-B4</f>
        <v>2</v>
      </c>
      <c r="D4" s="19">
        <f t="shared" ref="D4:D12" si="1">ABS(C4)</f>
        <v>2</v>
      </c>
      <c r="E4" s="19">
        <f t="shared" ref="E4:E12" si="2">_xlfn.RANK.AVG(D4,$D$3:$D$11,1)</f>
        <v>6</v>
      </c>
      <c r="F4" s="19">
        <f t="shared" ref="F4:F12" si="3">IF(C4&gt;0,1,-1)</f>
        <v>1</v>
      </c>
      <c r="G4" s="19">
        <f t="shared" ref="G4:G12" si="4">E4*F4</f>
        <v>6</v>
      </c>
      <c r="I4" t="s">
        <v>135</v>
      </c>
      <c r="J4" s="19">
        <f>SUMIF(G3:G100,"&lt;0",G3:G100)</f>
        <v>-12</v>
      </c>
      <c r="K4" s="19">
        <f>ABS(J4)</f>
        <v>12</v>
      </c>
    </row>
    <row r="5" spans="1:13" x14ac:dyDescent="0.35">
      <c r="A5">
        <v>9</v>
      </c>
      <c r="B5">
        <v>2</v>
      </c>
      <c r="C5" s="19">
        <f t="shared" si="0"/>
        <v>7</v>
      </c>
      <c r="D5" s="19">
        <f t="shared" si="1"/>
        <v>7</v>
      </c>
      <c r="E5" s="19">
        <f t="shared" si="2"/>
        <v>9</v>
      </c>
      <c r="F5" s="19">
        <f t="shared" si="3"/>
        <v>1</v>
      </c>
      <c r="G5" s="19">
        <f t="shared" si="4"/>
        <v>9</v>
      </c>
      <c r="K5" s="33"/>
    </row>
    <row r="6" spans="1:13" x14ac:dyDescent="0.35">
      <c r="A6">
        <v>7</v>
      </c>
      <c r="B6">
        <v>6</v>
      </c>
      <c r="C6" s="19">
        <f t="shared" si="0"/>
        <v>1</v>
      </c>
      <c r="D6" s="19">
        <f t="shared" si="1"/>
        <v>1</v>
      </c>
      <c r="E6" s="19">
        <f t="shared" si="2"/>
        <v>3</v>
      </c>
      <c r="F6" s="19">
        <f t="shared" si="3"/>
        <v>1</v>
      </c>
      <c r="G6" s="19">
        <f t="shared" si="4"/>
        <v>3</v>
      </c>
      <c r="I6" s="43"/>
    </row>
    <row r="7" spans="1:13" ht="15.5" x14ac:dyDescent="0.35">
      <c r="A7">
        <v>8</v>
      </c>
      <c r="B7">
        <v>9</v>
      </c>
      <c r="C7" s="19">
        <f t="shared" si="0"/>
        <v>-1</v>
      </c>
      <c r="D7" s="19">
        <f t="shared" si="1"/>
        <v>1</v>
      </c>
      <c r="E7" s="19">
        <f t="shared" si="2"/>
        <v>3</v>
      </c>
      <c r="F7" s="19">
        <f t="shared" si="3"/>
        <v>-1</v>
      </c>
      <c r="G7" s="19">
        <f t="shared" si="4"/>
        <v>-3</v>
      </c>
      <c r="I7" s="120" t="s">
        <v>139</v>
      </c>
      <c r="J7" s="134">
        <f>MIN(K4:K5)</f>
        <v>12</v>
      </c>
    </row>
    <row r="8" spans="1:13" ht="31" x14ac:dyDescent="0.35">
      <c r="A8">
        <v>7</v>
      </c>
      <c r="B8">
        <v>6</v>
      </c>
      <c r="C8" s="19">
        <f t="shared" si="0"/>
        <v>1</v>
      </c>
      <c r="D8" s="19">
        <f t="shared" si="1"/>
        <v>1</v>
      </c>
      <c r="E8" s="19">
        <f t="shared" si="2"/>
        <v>3</v>
      </c>
      <c r="F8" s="19">
        <f t="shared" si="3"/>
        <v>1</v>
      </c>
      <c r="G8" s="19">
        <f t="shared" si="4"/>
        <v>3</v>
      </c>
      <c r="I8" s="136" t="s">
        <v>138</v>
      </c>
      <c r="J8" s="8">
        <f>COUNTIF(A3:A100,"&gt;0")</f>
        <v>10</v>
      </c>
    </row>
    <row r="9" spans="1:13" x14ac:dyDescent="0.35">
      <c r="A9">
        <v>9</v>
      </c>
      <c r="B9">
        <v>5</v>
      </c>
      <c r="C9" s="19">
        <f t="shared" si="0"/>
        <v>4</v>
      </c>
      <c r="D9" s="19">
        <f t="shared" si="1"/>
        <v>4</v>
      </c>
      <c r="E9" s="19">
        <f t="shared" si="2"/>
        <v>8</v>
      </c>
      <c r="F9" s="19">
        <f t="shared" si="3"/>
        <v>1</v>
      </c>
      <c r="G9" s="19">
        <f t="shared" si="4"/>
        <v>8</v>
      </c>
    </row>
    <row r="10" spans="1:13" ht="18.5" customHeight="1" x14ac:dyDescent="0.35">
      <c r="A10">
        <v>6</v>
      </c>
      <c r="B10">
        <v>5</v>
      </c>
      <c r="C10" s="19">
        <f t="shared" si="0"/>
        <v>1</v>
      </c>
      <c r="D10" s="19">
        <f t="shared" si="1"/>
        <v>1</v>
      </c>
      <c r="E10" s="19">
        <f t="shared" si="2"/>
        <v>3</v>
      </c>
      <c r="F10" s="19">
        <f t="shared" si="3"/>
        <v>1</v>
      </c>
      <c r="G10" s="19">
        <f t="shared" si="4"/>
        <v>3</v>
      </c>
    </row>
    <row r="11" spans="1:13" ht="29" x14ac:dyDescent="0.35">
      <c r="A11">
        <v>5</v>
      </c>
      <c r="B11">
        <v>6</v>
      </c>
      <c r="C11" s="19">
        <f t="shared" si="0"/>
        <v>-1</v>
      </c>
      <c r="D11" s="19">
        <f t="shared" si="1"/>
        <v>1</v>
      </c>
      <c r="E11" s="19">
        <f t="shared" si="2"/>
        <v>3</v>
      </c>
      <c r="F11" s="19">
        <f t="shared" si="3"/>
        <v>-1</v>
      </c>
      <c r="G11" s="19">
        <f t="shared" si="4"/>
        <v>-3</v>
      </c>
      <c r="I11" s="43" t="s">
        <v>141</v>
      </c>
    </row>
    <row r="12" spans="1:13" x14ac:dyDescent="0.35">
      <c r="A12">
        <v>3</v>
      </c>
      <c r="B12">
        <v>5</v>
      </c>
      <c r="C12" s="19">
        <f t="shared" si="0"/>
        <v>-2</v>
      </c>
      <c r="D12" s="19">
        <f t="shared" si="1"/>
        <v>2</v>
      </c>
      <c r="E12" s="19">
        <f t="shared" si="2"/>
        <v>6</v>
      </c>
      <c r="F12" s="19">
        <f t="shared" si="3"/>
        <v>-1</v>
      </c>
      <c r="G12" s="19">
        <f t="shared" si="4"/>
        <v>-6</v>
      </c>
      <c r="I12" s="37" t="s">
        <v>140</v>
      </c>
    </row>
    <row r="13" spans="1:13" x14ac:dyDescent="0.35">
      <c r="L13" s="33"/>
    </row>
    <row r="14" spans="1:13" x14ac:dyDescent="0.35">
      <c r="L14" s="33"/>
    </row>
    <row r="17" spans="8:10" x14ac:dyDescent="0.35">
      <c r="J17" t="s">
        <v>24</v>
      </c>
    </row>
    <row r="19" spans="8:10" x14ac:dyDescent="0.35">
      <c r="H19" s="46" t="s">
        <v>140</v>
      </c>
    </row>
    <row r="20" spans="8:10" x14ac:dyDescent="0.35">
      <c r="H20" s="46" t="s">
        <v>115</v>
      </c>
    </row>
  </sheetData>
  <conditionalFormatting sqref="C3:G13">
    <cfRule type="colorScale" priority="4">
      <colorScale>
        <cfvo type="min"/>
        <cfvo type="max"/>
        <color rgb="FF63BE7B"/>
        <color rgb="FFFCFCFF"/>
      </colorScale>
    </cfRule>
  </conditionalFormatting>
  <conditionalFormatting sqref="H19:H20">
    <cfRule type="duplicateValues" dxfId="0" priority="5"/>
  </conditionalFormatting>
  <conditionalFormatting sqref="I3:I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{3484B125-1AFA-46F2-AEA1-752EF6D47EC2}</x14:id>
        </ext>
      </extLst>
    </cfRule>
  </conditionalFormatting>
  <conditionalFormatting sqref="K3:K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dataValidations count="2">
    <dataValidation type="list" allowBlank="1" showInputMessage="1" showErrorMessage="1" sqref="I12" xr:uid="{70E3CDE6-5CE5-49AC-A505-785A0D7D77EC}">
      <formula1>$H$19:$H$20</formula1>
    </dataValidation>
    <dataValidation type="list" allowBlank="1" showInputMessage="1" showErrorMessage="1" sqref="G13 I20" xr:uid="{7C61995E-1987-46A5-8358-CF62C87894C3}">
      <formula1>$I$12:$I$20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84B125-1AFA-46F2-AEA1-752EF6D47EC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I3:I4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6507-A258-465C-8CC2-0AE84A656F66}">
  <dimension ref="A1:O34"/>
  <sheetViews>
    <sheetView zoomScale="66" zoomScaleNormal="66" workbookViewId="0">
      <selection activeCell="M6" sqref="M6"/>
    </sheetView>
  </sheetViews>
  <sheetFormatPr defaultRowHeight="14.5" x14ac:dyDescent="0.35"/>
  <cols>
    <col min="7" max="7" width="26.54296875" customWidth="1"/>
    <col min="8" max="8" width="11.26953125" customWidth="1"/>
    <col min="9" max="9" width="13.08984375" customWidth="1"/>
    <col min="10" max="10" width="9.6328125" customWidth="1"/>
    <col min="11" max="11" width="25.08984375" customWidth="1"/>
    <col min="12" max="15" width="8.7265625" customWidth="1"/>
    <col min="16" max="16" width="17.26953125" customWidth="1"/>
    <col min="17" max="17" width="11.81640625" bestFit="1" customWidth="1"/>
    <col min="20" max="20" width="14.54296875" customWidth="1"/>
  </cols>
  <sheetData>
    <row r="1" spans="1:15" x14ac:dyDescent="0.35">
      <c r="A1" s="56"/>
      <c r="B1" s="56"/>
      <c r="C1" s="56"/>
      <c r="D1" s="178" t="s">
        <v>113</v>
      </c>
      <c r="E1" s="178"/>
      <c r="F1" s="178"/>
      <c r="G1" s="178"/>
      <c r="H1" s="178"/>
      <c r="K1" s="34" t="s">
        <v>114</v>
      </c>
      <c r="L1" s="35">
        <v>0.9</v>
      </c>
      <c r="M1" s="35">
        <v>0.95</v>
      </c>
      <c r="N1" s="35">
        <v>0.99</v>
      </c>
      <c r="O1" s="36">
        <v>0.999</v>
      </c>
    </row>
    <row r="2" spans="1:15" ht="15" thickBot="1" x14ac:dyDescent="0.4">
      <c r="A2" s="187" t="s">
        <v>105</v>
      </c>
      <c r="B2" s="187"/>
      <c r="C2" s="187"/>
      <c r="D2" s="1"/>
      <c r="E2" s="1"/>
      <c r="F2" s="1"/>
      <c r="G2" s="1"/>
      <c r="H2" s="1"/>
      <c r="K2" t="s">
        <v>117</v>
      </c>
      <c r="L2">
        <v>0.05</v>
      </c>
      <c r="M2">
        <v>2.5000000000000001E-2</v>
      </c>
      <c r="N2">
        <v>5.0000000000000001E-3</v>
      </c>
      <c r="O2">
        <v>5.0000000000000001E-4</v>
      </c>
    </row>
    <row r="3" spans="1:15" ht="15" thickBot="1" x14ac:dyDescent="0.4">
      <c r="A3" s="57"/>
      <c r="B3" s="58"/>
      <c r="C3" s="188" t="s">
        <v>110</v>
      </c>
      <c r="D3" s="189"/>
      <c r="K3" s="37" t="s">
        <v>115</v>
      </c>
      <c r="L3">
        <v>0.1</v>
      </c>
      <c r="M3">
        <v>0.05</v>
      </c>
      <c r="N3">
        <v>0.01</v>
      </c>
      <c r="O3">
        <v>1E-3</v>
      </c>
    </row>
    <row r="4" spans="1:15" ht="14.5" customHeight="1" thickBot="1" x14ac:dyDescent="0.4">
      <c r="C4" t="s">
        <v>106</v>
      </c>
      <c r="D4" t="s">
        <v>107</v>
      </c>
      <c r="E4" t="s">
        <v>130</v>
      </c>
      <c r="G4" s="76"/>
      <c r="H4" s="184" t="s">
        <v>161</v>
      </c>
      <c r="I4" s="76"/>
      <c r="K4" s="38" t="s">
        <v>116</v>
      </c>
    </row>
    <row r="5" spans="1:15" x14ac:dyDescent="0.35">
      <c r="B5" t="s">
        <v>108</v>
      </c>
      <c r="C5">
        <v>190</v>
      </c>
      <c r="D5">
        <v>150</v>
      </c>
      <c r="E5" s="39">
        <f>SUM(C5:D5)</f>
        <v>340</v>
      </c>
      <c r="G5" s="182"/>
      <c r="H5" s="185"/>
      <c r="I5" s="77"/>
      <c r="K5">
        <v>1</v>
      </c>
      <c r="L5" s="155">
        <f>CHIINV(L$3,$K5)</f>
        <v>2.7055434540954142</v>
      </c>
      <c r="M5" s="155">
        <f t="shared" ref="L5:O7" si="0">CHIINV(M$3,$K5)</f>
        <v>3.8414588206941236</v>
      </c>
      <c r="N5" s="155">
        <f t="shared" si="0"/>
        <v>6.6348966010212118</v>
      </c>
      <c r="O5" s="155">
        <f t="shared" si="0"/>
        <v>10.827566170662733</v>
      </c>
    </row>
    <row r="6" spans="1:15" ht="16.5" customHeight="1" thickBot="1" x14ac:dyDescent="0.4">
      <c r="B6" t="s">
        <v>109</v>
      </c>
      <c r="C6">
        <v>150</v>
      </c>
      <c r="D6">
        <v>75</v>
      </c>
      <c r="E6" s="39">
        <f>SUM(C6:D6)</f>
        <v>225</v>
      </c>
      <c r="G6" s="183"/>
      <c r="H6" s="186"/>
      <c r="I6" s="78"/>
      <c r="K6">
        <v>2</v>
      </c>
      <c r="L6" s="155">
        <f t="shared" si="0"/>
        <v>4.6051701859880909</v>
      </c>
      <c r="M6" s="155">
        <f t="shared" si="0"/>
        <v>5.9914645471079817</v>
      </c>
      <c r="N6" s="155">
        <f t="shared" si="0"/>
        <v>9.2103403719761818</v>
      </c>
      <c r="O6" s="155">
        <f t="shared" si="0"/>
        <v>13.815510557964274</v>
      </c>
    </row>
    <row r="7" spans="1:15" x14ac:dyDescent="0.35">
      <c r="B7" t="s">
        <v>130</v>
      </c>
      <c r="C7" s="40">
        <f>SUM(C5:C6)</f>
        <v>340</v>
      </c>
      <c r="D7" s="40">
        <f>SUM(D5:D6)</f>
        <v>225</v>
      </c>
      <c r="E7" s="28">
        <f>SUM(E5:E6)</f>
        <v>565</v>
      </c>
      <c r="G7" s="19">
        <f>C5-C14</f>
        <v>-14.601769911504419</v>
      </c>
      <c r="H7" s="19">
        <f>G7^2</f>
        <v>213.21168454851579</v>
      </c>
      <c r="I7" s="19">
        <f>H7/C14</f>
        <v>1.0420813301895453</v>
      </c>
      <c r="K7">
        <v>3</v>
      </c>
      <c r="L7" s="155">
        <f t="shared" si="0"/>
        <v>6.2513886311703235</v>
      </c>
      <c r="M7" s="155">
        <f t="shared" si="0"/>
        <v>7.8147279032511792</v>
      </c>
      <c r="N7" s="155">
        <f t="shared" si="0"/>
        <v>11.344866730144371</v>
      </c>
      <c r="O7" s="155">
        <f t="shared" si="0"/>
        <v>16.266236196238129</v>
      </c>
    </row>
    <row r="8" spans="1:15" x14ac:dyDescent="0.35">
      <c r="G8" s="19">
        <f>C6-C15</f>
        <v>14.601769911504419</v>
      </c>
      <c r="H8" s="19">
        <f>G8^2</f>
        <v>213.21168454851579</v>
      </c>
      <c r="I8" s="19">
        <f>H8/C15</f>
        <v>1.5747006767308682</v>
      </c>
    </row>
    <row r="9" spans="1:15" x14ac:dyDescent="0.35">
      <c r="G9" s="19">
        <f>D5-D14</f>
        <v>14.601769911504419</v>
      </c>
      <c r="H9" s="19">
        <f>G9^2</f>
        <v>213.21168454851579</v>
      </c>
      <c r="I9" s="19">
        <f>H9/D14</f>
        <v>1.5747006767308682</v>
      </c>
    </row>
    <row r="10" spans="1:15" ht="15" thickBot="1" x14ac:dyDescent="0.4">
      <c r="G10" s="19">
        <f>D6-D15</f>
        <v>-14.601769911504419</v>
      </c>
      <c r="H10" s="19">
        <f>G10^2</f>
        <v>213.21168454851579</v>
      </c>
      <c r="I10" s="19">
        <f>H10/D15</f>
        <v>2.3795476892822012</v>
      </c>
    </row>
    <row r="11" spans="1:15" ht="15" thickBot="1" x14ac:dyDescent="0.4">
      <c r="G11" s="79" t="s">
        <v>162</v>
      </c>
      <c r="H11" s="158">
        <f>I7+I9+I8+I10</f>
        <v>6.5710303729334836</v>
      </c>
    </row>
    <row r="12" spans="1:15" ht="29" x14ac:dyDescent="0.35">
      <c r="A12" s="179" t="s">
        <v>111</v>
      </c>
      <c r="B12" s="179"/>
      <c r="C12" s="179"/>
      <c r="D12" s="179"/>
      <c r="G12" s="43" t="s">
        <v>163</v>
      </c>
    </row>
    <row r="13" spans="1:15" x14ac:dyDescent="0.35">
      <c r="C13" t="s">
        <v>106</v>
      </c>
      <c r="D13" t="s">
        <v>112</v>
      </c>
      <c r="E13" t="s">
        <v>130</v>
      </c>
      <c r="G13" s="20" t="s">
        <v>143</v>
      </c>
    </row>
    <row r="14" spans="1:15" x14ac:dyDescent="0.35">
      <c r="B14" t="s">
        <v>108</v>
      </c>
      <c r="C14">
        <f>C7*E5/E7</f>
        <v>204.60176991150442</v>
      </c>
      <c r="D14">
        <f>D7*E5/E7</f>
        <v>135.39823008849558</v>
      </c>
      <c r="E14" s="39">
        <f>SUM(C14:D14)</f>
        <v>340</v>
      </c>
    </row>
    <row r="15" spans="1:15" x14ac:dyDescent="0.35">
      <c r="B15" t="s">
        <v>109</v>
      </c>
      <c r="C15">
        <f>C7*E6/E7</f>
        <v>135.39823008849558</v>
      </c>
      <c r="D15">
        <f>D7*E6/E7</f>
        <v>89.601769911504419</v>
      </c>
      <c r="E15" s="39">
        <f>SUM(C15:D15)</f>
        <v>225</v>
      </c>
      <c r="G15" s="65" t="s">
        <v>167</v>
      </c>
      <c r="H15" s="60"/>
    </row>
    <row r="16" spans="1:15" x14ac:dyDescent="0.35">
      <c r="B16" t="s">
        <v>130</v>
      </c>
      <c r="C16" s="40">
        <f>SUM(C14:C15)</f>
        <v>340</v>
      </c>
      <c r="D16" s="40">
        <f>SUM(D14:D15)</f>
        <v>225</v>
      </c>
      <c r="E16" s="28">
        <f>SUM(E14:E15)</f>
        <v>565</v>
      </c>
    </row>
    <row r="17" spans="5:10" ht="14.5" customHeight="1" x14ac:dyDescent="0.35">
      <c r="G17" s="22" t="s">
        <v>164</v>
      </c>
      <c r="H17" s="22">
        <v>5.0000000000000001E-4</v>
      </c>
      <c r="I17" s="59"/>
    </row>
    <row r="18" spans="5:10" x14ac:dyDescent="0.35">
      <c r="E18" s="62" t="s">
        <v>143</v>
      </c>
      <c r="G18" s="51" t="s">
        <v>165</v>
      </c>
      <c r="H18" s="51"/>
    </row>
    <row r="19" spans="5:10" ht="15" thickBot="1" x14ac:dyDescent="0.4">
      <c r="E19" s="62" t="s">
        <v>115</v>
      </c>
    </row>
    <row r="20" spans="5:10" x14ac:dyDescent="0.35">
      <c r="G20" s="52" t="s">
        <v>144</v>
      </c>
      <c r="H20" s="53">
        <f>COUNT(C5:D5,"&lt;&gt;0")</f>
        <v>2</v>
      </c>
    </row>
    <row r="21" spans="5:10" ht="15" thickBot="1" x14ac:dyDescent="0.4">
      <c r="G21" s="54" t="s">
        <v>145</v>
      </c>
      <c r="H21" s="55">
        <f>COUNT(C14:C15,"&lt;&gt;0")</f>
        <v>2</v>
      </c>
    </row>
    <row r="22" spans="5:10" x14ac:dyDescent="0.35">
      <c r="G22" s="61" t="s">
        <v>118</v>
      </c>
      <c r="H22" s="142">
        <f>COUNT(H20)*(H21)-1</f>
        <v>1</v>
      </c>
    </row>
    <row r="23" spans="5:10" x14ac:dyDescent="0.35">
      <c r="H23" s="46" t="str">
        <f>IF(H17=L2,"2",IF(H17=M2,"3",IF(H17=N2,"4",IF(H17=O2,"5",IF(H18=L3,"2",IF(H18=M3,"3",IF(H18=N3,"4",IF(H18=O3,"5"))))))))</f>
        <v>5</v>
      </c>
    </row>
    <row r="24" spans="5:10" x14ac:dyDescent="0.35">
      <c r="G24" s="45" t="s">
        <v>166</v>
      </c>
      <c r="H24" s="157">
        <f>VLOOKUP(H22,K5:O7,H23)</f>
        <v>10.827566170662733</v>
      </c>
    </row>
    <row r="25" spans="5:10" ht="18.5" customHeight="1" x14ac:dyDescent="0.35">
      <c r="H25" s="22"/>
      <c r="J25" t="s">
        <v>24</v>
      </c>
    </row>
    <row r="26" spans="5:10" ht="14.5" customHeight="1" x14ac:dyDescent="0.45">
      <c r="G26" s="181" t="s">
        <v>160</v>
      </c>
      <c r="H26" s="181"/>
    </row>
    <row r="28" spans="5:10" x14ac:dyDescent="0.35">
      <c r="G28" s="180" t="str">
        <f>IF(H11&gt;H24,"Reject Null Hypthesis &amp; Accept Alternative Hypothesis",IF(H11=H24,"Reject Null Hypthesis &amp; Accept Alternative Hypothesis","Stick With Null Hypothesis"))</f>
        <v>Stick With Null Hypothesis</v>
      </c>
      <c r="H28" s="180"/>
    </row>
    <row r="29" spans="5:10" x14ac:dyDescent="0.35">
      <c r="G29" s="180"/>
      <c r="H29" s="180"/>
    </row>
    <row r="34" spans="11:11" x14ac:dyDescent="0.35">
      <c r="K34" s="22"/>
    </row>
  </sheetData>
  <sheetProtection selectLockedCells="1" selectUnlockedCells="1"/>
  <scenarios current="1" show="1" sqref="H11 G13 H17 H22 H24 H25 G28">
    <scenario name="Original" locked="1" count="4" user="44785" comment="Created by 44785 on 12/06/2019_x000a_Modified by 44785 on 12/06/2019_x000a_Modified by 44785 on 13/06/2019">
      <inputCells r="C5" val="20"/>
      <inputCells r="D5" val="80"/>
      <inputCells r="C6" val="80"/>
      <inputCells r="D6" val="60"/>
    </scenario>
    <scenario name="Original 2" locked="1" count="4" user="44785" comment="Created by 44785 on 12/06/2019_x000a_Modified by 44785 on 12/06/2019_x000a_Modified by 44785 on 13/06/2019">
      <inputCells r="C5" val="190"/>
      <inputCells r="D5" val="150"/>
      <inputCells r="C6" val="150"/>
      <inputCells r="D6" val="75"/>
    </scenario>
    <scenario name="Original 3" locked="1" count="4" user="44785" comment="Created by 44785 on 12/06/2019_x000a_Modified by 44785 on 12/06/2019_x000a_Modified by 44785 on 13/06/2019">
      <inputCells r="C5" val="20"/>
      <inputCells r="D5" val="190"/>
      <inputCells r="C6" val="80"/>
      <inputCells r="D6" val="150"/>
    </scenario>
    <scenario name="Original 4" locked="1" count="4" user="44785" comment="Created by 44785 on 12/06/2019_x000a_Modified by 44785 on 13/06/2019">
      <inputCells r="C5" val="3"/>
      <inputCells r="D5" val="12"/>
      <inputCells r="C6" val="36"/>
      <inputCells r="D6" val="23"/>
    </scenario>
  </scenarios>
  <mergeCells count="8">
    <mergeCell ref="D1:H1"/>
    <mergeCell ref="A12:D12"/>
    <mergeCell ref="G28:H29"/>
    <mergeCell ref="G26:H26"/>
    <mergeCell ref="G5:G6"/>
    <mergeCell ref="H4:H6"/>
    <mergeCell ref="A2:C2"/>
    <mergeCell ref="C3:D3"/>
  </mergeCells>
  <conditionalFormatting sqref="H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{598B9BC8-3085-4205-B539-8C09D3343B16}</x14:id>
        </ext>
      </extLst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{C3631C3F-D987-4718-B4D4-665D46E23C07}</x14:id>
        </ext>
      </extLst>
    </cfRule>
  </conditionalFormatting>
  <conditionalFormatting sqref="L5:O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4">
    <dataValidation type="list" allowBlank="1" showInputMessage="1" showErrorMessage="1" sqref="N21" xr:uid="{487DF6D1-B93C-4058-82CC-38CCACF9F47A}">
      <formula1>"0.1,0.05,0.01,0.001"</formula1>
    </dataValidation>
    <dataValidation type="list" allowBlank="1" showInputMessage="1" showErrorMessage="1" sqref="G13" xr:uid="{30D174EE-C365-4335-B576-AD4835E8A4DB}">
      <formula1>$E$18:$E$19</formula1>
    </dataValidation>
    <dataValidation type="list" allowBlank="1" showInputMessage="1" showErrorMessage="1" sqref="H17" xr:uid="{9CE42964-E859-4CC2-AA68-3A07891B0660}">
      <formula1>$L$2:$O$2</formula1>
    </dataValidation>
    <dataValidation type="list" allowBlank="1" showInputMessage="1" showErrorMessage="1" sqref="H18" xr:uid="{3F96EFA7-644F-4F74-B75B-2731BE95D7C9}">
      <formula1>$L$3:$O$3</formula1>
    </dataValidation>
  </dataValidations>
  <pageMargins left="0.25" right="0.25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8B9BC8-3085-4205-B539-8C09D3343B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C3631C3F-D987-4718-B4D4-665D46E23C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9683A-CB6D-4A2B-9A2F-E98862CBE17F}">
  <dimension ref="A1:T45"/>
  <sheetViews>
    <sheetView zoomScale="72" zoomScaleNormal="72" workbookViewId="0">
      <selection activeCell="P27" sqref="P27"/>
    </sheetView>
  </sheetViews>
  <sheetFormatPr defaultRowHeight="14.5" x14ac:dyDescent="0.35"/>
  <cols>
    <col min="1" max="1" width="14.26953125" customWidth="1"/>
    <col min="2" max="2" width="11.81640625" customWidth="1"/>
    <col min="3" max="3" width="13.08984375" customWidth="1"/>
    <col min="14" max="14" width="21.36328125" customWidth="1"/>
    <col min="15" max="15" width="19.08984375" customWidth="1"/>
    <col min="16" max="16" width="16.90625" customWidth="1"/>
    <col min="17" max="19" width="9.453125" bestFit="1" customWidth="1"/>
    <col min="20" max="20" width="10.1796875" customWidth="1"/>
  </cols>
  <sheetData>
    <row r="1" spans="1:20" x14ac:dyDescent="0.35">
      <c r="P1" s="72"/>
      <c r="Q1" s="73" t="s">
        <v>147</v>
      </c>
      <c r="R1" s="73"/>
      <c r="S1" s="73"/>
      <c r="T1" s="74"/>
    </row>
    <row r="2" spans="1:20" ht="18.5" x14ac:dyDescent="0.45">
      <c r="A2" s="173" t="s">
        <v>119</v>
      </c>
      <c r="B2" s="173"/>
      <c r="C2" s="173"/>
      <c r="D2" s="23"/>
      <c r="E2" s="23"/>
      <c r="F2" s="23"/>
      <c r="G2" s="23"/>
      <c r="H2" s="23"/>
      <c r="I2" s="23"/>
      <c r="J2" s="23"/>
      <c r="P2" s="70" t="s">
        <v>143</v>
      </c>
      <c r="Q2" s="51">
        <v>0.05</v>
      </c>
      <c r="R2" s="51">
        <v>2.5000000000000001E-2</v>
      </c>
      <c r="S2" s="51">
        <v>5.0000000000000001E-3</v>
      </c>
      <c r="T2" s="67">
        <v>5.0000000000000001E-4</v>
      </c>
    </row>
    <row r="3" spans="1:20" x14ac:dyDescent="0.35">
      <c r="A3" s="190" t="s">
        <v>120</v>
      </c>
      <c r="B3" s="190"/>
      <c r="C3" s="190"/>
      <c r="O3" s="66"/>
      <c r="P3" s="75"/>
      <c r="Q3" s="191" t="s">
        <v>148</v>
      </c>
      <c r="R3" s="191"/>
      <c r="S3" s="191"/>
      <c r="T3" s="192"/>
    </row>
    <row r="4" spans="1:20" ht="15" thickBot="1" x14ac:dyDescent="0.4">
      <c r="B4" s="87" t="s">
        <v>121</v>
      </c>
      <c r="C4" s="87" t="s">
        <v>122</v>
      </c>
      <c r="D4" s="87" t="s">
        <v>123</v>
      </c>
      <c r="E4" s="87" t="s">
        <v>27</v>
      </c>
      <c r="F4" s="87" t="s">
        <v>124</v>
      </c>
      <c r="G4" s="87" t="s">
        <v>78</v>
      </c>
      <c r="H4" s="87" t="s">
        <v>125</v>
      </c>
      <c r="I4" s="87" t="s">
        <v>126</v>
      </c>
      <c r="J4" s="87" t="s">
        <v>127</v>
      </c>
      <c r="K4" s="87" t="s">
        <v>128</v>
      </c>
      <c r="L4" s="8" t="s">
        <v>129</v>
      </c>
      <c r="O4" s="45" t="s">
        <v>146</v>
      </c>
      <c r="P4" s="71" t="s">
        <v>142</v>
      </c>
      <c r="Q4" s="68">
        <v>0.1</v>
      </c>
      <c r="R4" s="68">
        <v>0.05</v>
      </c>
      <c r="S4" s="68">
        <v>0.01</v>
      </c>
      <c r="T4" s="69">
        <v>1E-3</v>
      </c>
    </row>
    <row r="5" spans="1:20" x14ac:dyDescent="0.35">
      <c r="A5">
        <v>1</v>
      </c>
      <c r="B5">
        <v>190</v>
      </c>
      <c r="C5">
        <v>155</v>
      </c>
      <c r="D5">
        <v>55</v>
      </c>
      <c r="L5">
        <f>SUM(B5:K5)</f>
        <v>400</v>
      </c>
      <c r="O5" s="156">
        <f>SUM(B35:K44)</f>
        <v>8.9260517376535145</v>
      </c>
      <c r="P5" t="s">
        <v>149</v>
      </c>
      <c r="R5" s="19"/>
    </row>
    <row r="6" spans="1:20" ht="15" thickBot="1" x14ac:dyDescent="0.4">
      <c r="A6">
        <v>2</v>
      </c>
      <c r="B6">
        <v>240</v>
      </c>
      <c r="C6">
        <v>290</v>
      </c>
      <c r="D6">
        <v>70</v>
      </c>
      <c r="L6">
        <f t="shared" ref="L6:L14" si="0">SUM(B6:K6)</f>
        <v>600</v>
      </c>
      <c r="P6">
        <v>1</v>
      </c>
      <c r="Q6" s="155">
        <f>CHIINV(Q$4,$P6)</f>
        <v>2.7055434540954142</v>
      </c>
      <c r="R6" s="155">
        <f t="shared" ref="R6:T21" si="1">CHIINV(R$4,$P6)</f>
        <v>3.8414588206941236</v>
      </c>
      <c r="S6" s="155">
        <f t="shared" si="1"/>
        <v>6.6348966010212118</v>
      </c>
      <c r="T6" s="155">
        <f t="shared" si="1"/>
        <v>10.827566170662733</v>
      </c>
    </row>
    <row r="7" spans="1:20" ht="29.5" thickBot="1" x14ac:dyDescent="0.4">
      <c r="A7">
        <v>3</v>
      </c>
      <c r="L7">
        <f t="shared" si="0"/>
        <v>0</v>
      </c>
      <c r="N7" s="80" t="s">
        <v>141</v>
      </c>
      <c r="O7" s="81" t="s">
        <v>143</v>
      </c>
      <c r="P7">
        <v>2</v>
      </c>
      <c r="Q7" s="155">
        <f t="shared" ref="Q7:T25" si="2">CHIINV(Q$4,$P7)</f>
        <v>4.6051701859880909</v>
      </c>
      <c r="R7" s="155">
        <f t="shared" si="1"/>
        <v>5.9914645471079817</v>
      </c>
      <c r="S7" s="155">
        <f t="shared" si="1"/>
        <v>9.2103403719761818</v>
      </c>
      <c r="T7" s="155">
        <f t="shared" si="1"/>
        <v>13.815510557964274</v>
      </c>
    </row>
    <row r="8" spans="1:20" x14ac:dyDescent="0.35">
      <c r="A8">
        <v>4</v>
      </c>
      <c r="L8">
        <f t="shared" si="0"/>
        <v>0</v>
      </c>
      <c r="P8">
        <v>3</v>
      </c>
      <c r="Q8" s="155">
        <f t="shared" si="2"/>
        <v>6.2513886311703235</v>
      </c>
      <c r="R8" s="155">
        <f t="shared" si="1"/>
        <v>7.8147279032511792</v>
      </c>
      <c r="S8" s="155">
        <f t="shared" si="1"/>
        <v>11.344866730144371</v>
      </c>
      <c r="T8" s="155">
        <f t="shared" si="1"/>
        <v>16.266236196238129</v>
      </c>
    </row>
    <row r="9" spans="1:20" x14ac:dyDescent="0.35">
      <c r="A9">
        <v>5</v>
      </c>
      <c r="L9">
        <f t="shared" si="0"/>
        <v>0</v>
      </c>
      <c r="N9" s="22"/>
      <c r="P9">
        <v>4</v>
      </c>
      <c r="Q9" s="155">
        <f t="shared" si="2"/>
        <v>7.7794403397348582</v>
      </c>
      <c r="R9" s="155">
        <f t="shared" si="1"/>
        <v>9.4877290367811575</v>
      </c>
      <c r="S9" s="155">
        <f t="shared" si="1"/>
        <v>13.276704135987623</v>
      </c>
      <c r="T9" s="155">
        <f t="shared" si="1"/>
        <v>18.466826952903173</v>
      </c>
    </row>
    <row r="10" spans="1:20" x14ac:dyDescent="0.35">
      <c r="A10">
        <v>6</v>
      </c>
      <c r="L10">
        <f t="shared" si="0"/>
        <v>0</v>
      </c>
      <c r="O10" s="82" t="s">
        <v>157</v>
      </c>
      <c r="P10">
        <v>5</v>
      </c>
      <c r="Q10" s="155">
        <f t="shared" si="2"/>
        <v>9.2363568997811178</v>
      </c>
      <c r="R10" s="155">
        <f t="shared" si="1"/>
        <v>11.070497693516353</v>
      </c>
      <c r="S10" s="155">
        <f t="shared" si="1"/>
        <v>15.086272469388991</v>
      </c>
      <c r="T10" s="155">
        <f t="shared" si="1"/>
        <v>20.51500565243288</v>
      </c>
    </row>
    <row r="11" spans="1:20" x14ac:dyDescent="0.35">
      <c r="A11">
        <v>7</v>
      </c>
      <c r="L11">
        <f t="shared" si="0"/>
        <v>0</v>
      </c>
      <c r="N11" s="49" t="s">
        <v>143</v>
      </c>
      <c r="O11" s="48">
        <v>2.5000000000000001E-2</v>
      </c>
      <c r="P11">
        <v>6</v>
      </c>
      <c r="Q11" s="155">
        <f t="shared" si="2"/>
        <v>10.64464067566842</v>
      </c>
      <c r="R11" s="155">
        <f t="shared" si="1"/>
        <v>12.591587243743978</v>
      </c>
      <c r="S11" s="155">
        <f t="shared" si="1"/>
        <v>16.811893829770931</v>
      </c>
      <c r="T11" s="155">
        <f t="shared" si="1"/>
        <v>22.457744484825326</v>
      </c>
    </row>
    <row r="12" spans="1:20" x14ac:dyDescent="0.35">
      <c r="A12">
        <v>8</v>
      </c>
      <c r="L12">
        <f t="shared" si="0"/>
        <v>0</v>
      </c>
      <c r="N12" s="48" t="s">
        <v>142</v>
      </c>
      <c r="O12" s="49"/>
      <c r="P12">
        <v>7</v>
      </c>
      <c r="Q12" s="155">
        <f t="shared" si="2"/>
        <v>12.01703662378053</v>
      </c>
      <c r="R12" s="155">
        <f t="shared" si="1"/>
        <v>14.067140449340167</v>
      </c>
      <c r="S12" s="155">
        <f t="shared" si="1"/>
        <v>18.475306906582361</v>
      </c>
      <c r="T12" s="155">
        <f t="shared" si="1"/>
        <v>24.321886347856857</v>
      </c>
    </row>
    <row r="13" spans="1:20" ht="15" thickBot="1" x14ac:dyDescent="0.4">
      <c r="A13">
        <v>9</v>
      </c>
      <c r="L13">
        <f t="shared" si="0"/>
        <v>0</v>
      </c>
      <c r="P13">
        <v>8</v>
      </c>
      <c r="Q13" s="155">
        <f t="shared" si="2"/>
        <v>13.361566136511726</v>
      </c>
      <c r="R13" s="155">
        <f t="shared" si="1"/>
        <v>15.507313055865453</v>
      </c>
      <c r="S13" s="155">
        <f t="shared" si="1"/>
        <v>20.090235029663233</v>
      </c>
      <c r="T13" s="155">
        <f t="shared" si="1"/>
        <v>26.124481558376143</v>
      </c>
    </row>
    <row r="14" spans="1:20" x14ac:dyDescent="0.35">
      <c r="A14">
        <v>10</v>
      </c>
      <c r="L14">
        <f t="shared" si="0"/>
        <v>0</v>
      </c>
      <c r="N14" s="83" t="s">
        <v>144</v>
      </c>
      <c r="O14" s="84">
        <f>COUNT(B5:K5,"&lt;&gt;0")</f>
        <v>3</v>
      </c>
      <c r="P14">
        <v>9</v>
      </c>
      <c r="Q14" s="155">
        <f t="shared" si="2"/>
        <v>14.683656573259835</v>
      </c>
      <c r="R14" s="155">
        <f t="shared" si="1"/>
        <v>16.918977604620451</v>
      </c>
      <c r="S14" s="155">
        <f t="shared" si="1"/>
        <v>21.665994333461931</v>
      </c>
      <c r="T14" s="155">
        <f t="shared" si="1"/>
        <v>27.877164871256575</v>
      </c>
    </row>
    <row r="15" spans="1:20" ht="15" thickBot="1" x14ac:dyDescent="0.4">
      <c r="A15" s="8" t="s">
        <v>129</v>
      </c>
      <c r="B15">
        <f>SUM(B5:B14)</f>
        <v>430</v>
      </c>
      <c r="C15">
        <f t="shared" ref="C15:K15" si="3">SUM(C5:C14)</f>
        <v>445</v>
      </c>
      <c r="D15">
        <f t="shared" si="3"/>
        <v>125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 s="8">
        <f>SUM(L5:L14)</f>
        <v>1000</v>
      </c>
      <c r="N15" s="85" t="s">
        <v>145</v>
      </c>
      <c r="O15" s="86">
        <f>COUNT(B5:B14,"&lt;&gt;0")</f>
        <v>2</v>
      </c>
      <c r="P15">
        <v>10</v>
      </c>
      <c r="Q15" s="155">
        <f t="shared" si="2"/>
        <v>15.987179172105261</v>
      </c>
      <c r="R15" s="155">
        <f t="shared" si="1"/>
        <v>18.307038053275146</v>
      </c>
      <c r="S15" s="155">
        <f t="shared" si="1"/>
        <v>23.209251158954359</v>
      </c>
      <c r="T15" s="155">
        <f t="shared" si="1"/>
        <v>29.588298445074418</v>
      </c>
    </row>
    <row r="16" spans="1:20" x14ac:dyDescent="0.35">
      <c r="N16" s="63" t="s">
        <v>118</v>
      </c>
      <c r="O16" s="64">
        <f>COUNT(O14)*(O15)-1</f>
        <v>1</v>
      </c>
      <c r="P16">
        <v>11</v>
      </c>
      <c r="Q16" s="155">
        <f t="shared" si="2"/>
        <v>17.275008517500069</v>
      </c>
      <c r="R16" s="155">
        <f t="shared" si="1"/>
        <v>19.675137572682498</v>
      </c>
      <c r="S16" s="155">
        <f t="shared" si="1"/>
        <v>24.724970311318284</v>
      </c>
      <c r="T16" s="155">
        <f t="shared" si="1"/>
        <v>31.264133620239996</v>
      </c>
    </row>
    <row r="17" spans="1:20" x14ac:dyDescent="0.35">
      <c r="P17">
        <v>12</v>
      </c>
      <c r="Q17" s="155">
        <f t="shared" si="2"/>
        <v>18.549347786703244</v>
      </c>
      <c r="R17" s="155">
        <f t="shared" si="1"/>
        <v>21.026069817483066</v>
      </c>
      <c r="S17" s="155">
        <f t="shared" si="1"/>
        <v>26.216967305535849</v>
      </c>
      <c r="T17" s="155">
        <f t="shared" si="1"/>
        <v>32.909490407360217</v>
      </c>
    </row>
    <row r="18" spans="1:20" ht="15.5" x14ac:dyDescent="0.35">
      <c r="A18" s="197" t="s">
        <v>111</v>
      </c>
      <c r="B18" s="197"/>
      <c r="C18" s="197"/>
      <c r="N18" s="44" t="s">
        <v>158</v>
      </c>
      <c r="O18" s="155">
        <f>VLOOKUP(O16,P6:T25,N19)</f>
        <v>3.8414588206941236</v>
      </c>
      <c r="P18">
        <v>13</v>
      </c>
      <c r="Q18" s="155">
        <f t="shared" si="2"/>
        <v>19.81192930712756</v>
      </c>
      <c r="R18" s="155">
        <f t="shared" si="1"/>
        <v>22.362032494826938</v>
      </c>
      <c r="S18" s="155">
        <f t="shared" si="1"/>
        <v>27.688249610457049</v>
      </c>
      <c r="T18" s="155">
        <f t="shared" si="1"/>
        <v>34.528178974870883</v>
      </c>
    </row>
    <row r="19" spans="1:20" x14ac:dyDescent="0.35">
      <c r="B19" s="88" t="s">
        <v>121</v>
      </c>
      <c r="C19" s="88" t="s">
        <v>122</v>
      </c>
      <c r="D19" s="88" t="s">
        <v>123</v>
      </c>
      <c r="E19" s="88" t="s">
        <v>27</v>
      </c>
      <c r="F19" s="88" t="s">
        <v>124</v>
      </c>
      <c r="G19" s="88" t="s">
        <v>78</v>
      </c>
      <c r="H19" s="88" t="s">
        <v>125</v>
      </c>
      <c r="I19" s="88" t="s">
        <v>126</v>
      </c>
      <c r="J19" s="88" t="s">
        <v>127</v>
      </c>
      <c r="K19" s="88" t="s">
        <v>128</v>
      </c>
      <c r="L19" s="8" t="s">
        <v>129</v>
      </c>
      <c r="N19" s="46" t="str">
        <f>IF(O11=Q2,"2",IF(O11=R2,"3",IF(O11=S2,"4",IF(O11=T2,"5",IF(O12=Q4,"2",IF(O12=R4,"3",IF(O12=S4,"4",IF(O12=T4,"5"))))))))</f>
        <v>3</v>
      </c>
      <c r="O19" s="63" t="str">
        <f>IF(O5&gt;O18,"Significant",IF(O5=O18,"Significant","Not Significant"))</f>
        <v>Significant</v>
      </c>
      <c r="P19">
        <v>14</v>
      </c>
      <c r="Q19" s="155">
        <f t="shared" si="2"/>
        <v>21.064144212997057</v>
      </c>
      <c r="R19" s="155">
        <f t="shared" si="1"/>
        <v>23.68479130484058</v>
      </c>
      <c r="S19" s="155">
        <f t="shared" si="1"/>
        <v>29.141237740672796</v>
      </c>
      <c r="T19" s="155">
        <f t="shared" si="1"/>
        <v>36.123273680398142</v>
      </c>
    </row>
    <row r="20" spans="1:20" x14ac:dyDescent="0.35">
      <c r="A20">
        <v>1</v>
      </c>
      <c r="B20">
        <f>IFERROR($B$30*L20/$L$30,"")</f>
        <v>172</v>
      </c>
      <c r="C20">
        <f>IFERROR($C$30*L20/$L$30,"")</f>
        <v>178</v>
      </c>
      <c r="D20">
        <f>IFERROR($D$30*L20/$L$30,"")</f>
        <v>50</v>
      </c>
      <c r="E20">
        <f>IFERROR($E$30*L20/$L$30,"")</f>
        <v>0</v>
      </c>
      <c r="F20">
        <f>IFERROR($F$30*L20/$L$30,"")</f>
        <v>0</v>
      </c>
      <c r="G20">
        <f>IFERROR($G$30*L20/$L$30,"")</f>
        <v>0</v>
      </c>
      <c r="H20">
        <f>IFERROR($H$30*L20/$L$30,"")</f>
        <v>0</v>
      </c>
      <c r="I20">
        <f>IFERROR($I$30*L20/$L$30,"")</f>
        <v>0</v>
      </c>
      <c r="J20">
        <f>IFERROR($J$30*L20/$L$30,"")</f>
        <v>0</v>
      </c>
      <c r="K20">
        <f>IFERROR($K$30*L20/$L$30,"")</f>
        <v>0</v>
      </c>
      <c r="L20">
        <f>L5</f>
        <v>400</v>
      </c>
      <c r="P20">
        <v>15</v>
      </c>
      <c r="Q20" s="155">
        <f t="shared" si="2"/>
        <v>22.307129581578689</v>
      </c>
      <c r="R20" s="155">
        <f t="shared" si="1"/>
        <v>24.99579013972863</v>
      </c>
      <c r="S20" s="155">
        <f t="shared" si="1"/>
        <v>30.577914166892494</v>
      </c>
      <c r="T20" s="155">
        <f t="shared" si="1"/>
        <v>37.697298218353822</v>
      </c>
    </row>
    <row r="21" spans="1:20" x14ac:dyDescent="0.35">
      <c r="A21">
        <v>2</v>
      </c>
      <c r="B21">
        <f t="shared" ref="B21:B29" si="4">IFERROR($B$30*L21/$L$30,"")</f>
        <v>258</v>
      </c>
      <c r="C21">
        <f t="shared" ref="C21:C29" si="5">IFERROR($C$30*L21/$L$30,"")</f>
        <v>267</v>
      </c>
      <c r="D21">
        <f t="shared" ref="D21:D29" si="6">IFERROR($D$30*L21/$L$30,"")</f>
        <v>75</v>
      </c>
      <c r="E21">
        <f t="shared" ref="E21:E29" si="7">IFERROR($E$30*L21/$L$30,"")</f>
        <v>0</v>
      </c>
      <c r="F21">
        <f t="shared" ref="F21:F29" si="8">IFERROR($F$30*L21/$L$30,"")</f>
        <v>0</v>
      </c>
      <c r="G21">
        <f t="shared" ref="G21:G29" si="9">IFERROR($G$30*L21/$L$30,"")</f>
        <v>0</v>
      </c>
      <c r="H21">
        <f t="shared" ref="H21:H29" si="10">IFERROR($H$30*L21/$L$30,"")</f>
        <v>0</v>
      </c>
      <c r="I21">
        <f t="shared" ref="I21:I29" si="11">IFERROR($I$30*L21/$L$30,"")</f>
        <v>0</v>
      </c>
      <c r="J21">
        <f t="shared" ref="J21:J29" si="12">IFERROR($J$30*L21/$L$30,"")</f>
        <v>0</v>
      </c>
      <c r="K21">
        <f t="shared" ref="K21:K29" si="13">IFERROR($K$30*L21/$L$30,"")</f>
        <v>0</v>
      </c>
      <c r="L21">
        <f t="shared" ref="L21:L30" si="14">L6</f>
        <v>600</v>
      </c>
      <c r="N21" s="167" t="s">
        <v>168</v>
      </c>
      <c r="O21" s="161"/>
      <c r="P21">
        <v>16</v>
      </c>
      <c r="Q21" s="155">
        <f t="shared" si="2"/>
        <v>23.541828923096112</v>
      </c>
      <c r="R21" s="155">
        <f t="shared" si="1"/>
        <v>26.296227604864239</v>
      </c>
      <c r="S21" s="155">
        <f t="shared" si="1"/>
        <v>31.999926908815183</v>
      </c>
      <c r="T21" s="155">
        <f t="shared" si="1"/>
        <v>39.252354790768479</v>
      </c>
    </row>
    <row r="22" spans="1:20" ht="15" thickBot="1" x14ac:dyDescent="0.4">
      <c r="A22">
        <v>3</v>
      </c>
      <c r="B22">
        <f t="shared" si="4"/>
        <v>0</v>
      </c>
      <c r="C22">
        <f t="shared" si="5"/>
        <v>0</v>
      </c>
      <c r="D22">
        <f t="shared" si="6"/>
        <v>0</v>
      </c>
      <c r="E22">
        <f t="shared" si="7"/>
        <v>0</v>
      </c>
      <c r="F22">
        <f t="shared" si="8"/>
        <v>0</v>
      </c>
      <c r="G22">
        <f>IFERROR($G$30*L22/$L$30,"")</f>
        <v>0</v>
      </c>
      <c r="H22">
        <f t="shared" si="10"/>
        <v>0</v>
      </c>
      <c r="I22">
        <f t="shared" si="11"/>
        <v>0</v>
      </c>
      <c r="J22">
        <f t="shared" si="12"/>
        <v>0</v>
      </c>
      <c r="K22">
        <f t="shared" si="13"/>
        <v>0</v>
      </c>
      <c r="L22">
        <f t="shared" si="14"/>
        <v>0</v>
      </c>
      <c r="P22">
        <v>17</v>
      </c>
      <c r="Q22" s="155">
        <f t="shared" si="2"/>
        <v>24.76903534390145</v>
      </c>
      <c r="R22" s="155">
        <f t="shared" si="2"/>
        <v>27.587111638275324</v>
      </c>
      <c r="S22" s="155">
        <f t="shared" si="2"/>
        <v>33.408663605004612</v>
      </c>
      <c r="T22" s="155">
        <f t="shared" si="2"/>
        <v>40.790216706902527</v>
      </c>
    </row>
    <row r="23" spans="1:20" ht="14.5" customHeight="1" x14ac:dyDescent="0.35">
      <c r="A23">
        <v>4</v>
      </c>
      <c r="B23" t="s">
        <v>24</v>
      </c>
      <c r="C23">
        <f t="shared" si="5"/>
        <v>0</v>
      </c>
      <c r="D23">
        <f t="shared" si="6"/>
        <v>0</v>
      </c>
      <c r="E23">
        <f t="shared" si="7"/>
        <v>0</v>
      </c>
      <c r="F23">
        <f t="shared" si="8"/>
        <v>0</v>
      </c>
      <c r="G23">
        <f t="shared" si="9"/>
        <v>0</v>
      </c>
      <c r="H23">
        <f t="shared" si="10"/>
        <v>0</v>
      </c>
      <c r="I23">
        <f t="shared" si="11"/>
        <v>0</v>
      </c>
      <c r="J23">
        <f>IFERROR($J$30*L23/$L$30,"")</f>
        <v>0</v>
      </c>
      <c r="K23">
        <f t="shared" si="13"/>
        <v>0</v>
      </c>
      <c r="L23">
        <f t="shared" si="14"/>
        <v>0</v>
      </c>
      <c r="N23" s="193" t="str">
        <f>IF(O5&gt;O18,"Reject Null &amp; Accept Alternative",IF(O5=O18, "Reject Null &amp; Accept Alternative", "Stick With Null"))</f>
        <v>Reject Null &amp; Accept Alternative</v>
      </c>
      <c r="O23" s="194"/>
      <c r="P23">
        <v>18</v>
      </c>
      <c r="Q23" s="155">
        <f t="shared" si="2"/>
        <v>25.989423082637209</v>
      </c>
      <c r="R23" s="155">
        <f t="shared" si="2"/>
        <v>28.869299430392633</v>
      </c>
      <c r="S23" s="155">
        <f t="shared" si="2"/>
        <v>34.805305734705072</v>
      </c>
      <c r="T23" s="155">
        <f t="shared" si="2"/>
        <v>42.312396331679963</v>
      </c>
    </row>
    <row r="24" spans="1:20" ht="15" customHeight="1" thickBot="1" x14ac:dyDescent="0.4">
      <c r="A24">
        <v>5</v>
      </c>
      <c r="B24">
        <f t="shared" si="4"/>
        <v>0</v>
      </c>
      <c r="C24">
        <f t="shared" si="5"/>
        <v>0</v>
      </c>
      <c r="D24">
        <f t="shared" si="6"/>
        <v>0</v>
      </c>
      <c r="E24">
        <f t="shared" si="7"/>
        <v>0</v>
      </c>
      <c r="F24">
        <f t="shared" si="8"/>
        <v>0</v>
      </c>
      <c r="G24">
        <f t="shared" si="9"/>
        <v>0</v>
      </c>
      <c r="H24">
        <f t="shared" si="10"/>
        <v>0</v>
      </c>
      <c r="I24">
        <f t="shared" si="11"/>
        <v>0</v>
      </c>
      <c r="J24">
        <f t="shared" si="12"/>
        <v>0</v>
      </c>
      <c r="K24">
        <f t="shared" si="13"/>
        <v>0</v>
      </c>
      <c r="L24">
        <f t="shared" si="14"/>
        <v>0</v>
      </c>
      <c r="N24" s="195"/>
      <c r="O24" s="196"/>
      <c r="P24">
        <v>19</v>
      </c>
      <c r="Q24" s="155">
        <f t="shared" si="2"/>
        <v>27.203571029356826</v>
      </c>
      <c r="R24" s="155">
        <f t="shared" si="2"/>
        <v>30.143527205646155</v>
      </c>
      <c r="S24" s="155">
        <f t="shared" si="2"/>
        <v>36.190869129270048</v>
      </c>
      <c r="T24" s="155">
        <f t="shared" si="2"/>
        <v>43.820195964517531</v>
      </c>
    </row>
    <row r="25" spans="1:20" x14ac:dyDescent="0.35">
      <c r="A25">
        <v>6</v>
      </c>
      <c r="B25">
        <f t="shared" si="4"/>
        <v>0</v>
      </c>
      <c r="C25">
        <f t="shared" si="5"/>
        <v>0</v>
      </c>
      <c r="D25">
        <f t="shared" si="6"/>
        <v>0</v>
      </c>
      <c r="E25">
        <f t="shared" si="7"/>
        <v>0</v>
      </c>
      <c r="F25">
        <f t="shared" si="8"/>
        <v>0</v>
      </c>
      <c r="G25">
        <f t="shared" si="9"/>
        <v>0</v>
      </c>
      <c r="H25">
        <f t="shared" si="10"/>
        <v>0</v>
      </c>
      <c r="I25">
        <f t="shared" si="11"/>
        <v>0</v>
      </c>
      <c r="J25">
        <f t="shared" si="12"/>
        <v>0</v>
      </c>
      <c r="K25">
        <f t="shared" si="13"/>
        <v>0</v>
      </c>
      <c r="L25">
        <f t="shared" si="14"/>
        <v>0</v>
      </c>
      <c r="P25">
        <v>20</v>
      </c>
      <c r="Q25" s="155">
        <f t="shared" si="2"/>
        <v>28.411980584305635</v>
      </c>
      <c r="R25" s="155">
        <f t="shared" si="2"/>
        <v>31.410432844230925</v>
      </c>
      <c r="S25" s="155">
        <f t="shared" si="2"/>
        <v>37.566234786625053</v>
      </c>
      <c r="T25" s="155">
        <f t="shared" si="2"/>
        <v>45.314746618125859</v>
      </c>
    </row>
    <row r="26" spans="1:20" x14ac:dyDescent="0.35">
      <c r="A26">
        <v>7</v>
      </c>
      <c r="B26">
        <f t="shared" si="4"/>
        <v>0</v>
      </c>
      <c r="C26">
        <f t="shared" si="5"/>
        <v>0</v>
      </c>
      <c r="D26">
        <f t="shared" si="6"/>
        <v>0</v>
      </c>
      <c r="E26">
        <f t="shared" si="7"/>
        <v>0</v>
      </c>
      <c r="F26">
        <f t="shared" si="8"/>
        <v>0</v>
      </c>
      <c r="G26">
        <f t="shared" si="9"/>
        <v>0</v>
      </c>
      <c r="H26">
        <f t="shared" si="10"/>
        <v>0</v>
      </c>
      <c r="I26">
        <f t="shared" si="11"/>
        <v>0</v>
      </c>
      <c r="J26">
        <f t="shared" si="12"/>
        <v>0</v>
      </c>
      <c r="K26">
        <f t="shared" si="13"/>
        <v>0</v>
      </c>
      <c r="L26">
        <f t="shared" si="14"/>
        <v>0</v>
      </c>
    </row>
    <row r="27" spans="1:20" x14ac:dyDescent="0.35">
      <c r="A27">
        <v>8</v>
      </c>
      <c r="B27">
        <f t="shared" si="4"/>
        <v>0</v>
      </c>
      <c r="C27">
        <f t="shared" si="5"/>
        <v>0</v>
      </c>
      <c r="D27">
        <f t="shared" si="6"/>
        <v>0</v>
      </c>
      <c r="E27">
        <f t="shared" si="7"/>
        <v>0</v>
      </c>
      <c r="F27">
        <f t="shared" si="8"/>
        <v>0</v>
      </c>
      <c r="G27">
        <f t="shared" si="9"/>
        <v>0</v>
      </c>
      <c r="H27">
        <f t="shared" si="10"/>
        <v>0</v>
      </c>
      <c r="I27">
        <f t="shared" si="11"/>
        <v>0</v>
      </c>
      <c r="J27">
        <f t="shared" si="12"/>
        <v>0</v>
      </c>
      <c r="K27">
        <f t="shared" si="13"/>
        <v>0</v>
      </c>
      <c r="L27">
        <f t="shared" si="14"/>
        <v>0</v>
      </c>
    </row>
    <row r="28" spans="1:20" x14ac:dyDescent="0.35">
      <c r="A28">
        <v>9</v>
      </c>
      <c r="B28">
        <f t="shared" si="4"/>
        <v>0</v>
      </c>
      <c r="C28">
        <f t="shared" si="5"/>
        <v>0</v>
      </c>
      <c r="D28">
        <f t="shared" si="6"/>
        <v>0</v>
      </c>
      <c r="E28">
        <f t="shared" si="7"/>
        <v>0</v>
      </c>
      <c r="F28">
        <f t="shared" si="8"/>
        <v>0</v>
      </c>
      <c r="G28">
        <f t="shared" si="9"/>
        <v>0</v>
      </c>
      <c r="H28">
        <f t="shared" si="10"/>
        <v>0</v>
      </c>
      <c r="I28">
        <f t="shared" si="11"/>
        <v>0</v>
      </c>
      <c r="J28">
        <f t="shared" si="12"/>
        <v>0</v>
      </c>
      <c r="K28">
        <f t="shared" si="13"/>
        <v>0</v>
      </c>
      <c r="L28">
        <f t="shared" si="14"/>
        <v>0</v>
      </c>
    </row>
    <row r="29" spans="1:20" x14ac:dyDescent="0.35">
      <c r="A29">
        <v>10</v>
      </c>
      <c r="B29">
        <f t="shared" si="4"/>
        <v>0</v>
      </c>
      <c r="C29">
        <f t="shared" si="5"/>
        <v>0</v>
      </c>
      <c r="D29">
        <f t="shared" si="6"/>
        <v>0</v>
      </c>
      <c r="E29">
        <f t="shared" si="7"/>
        <v>0</v>
      </c>
      <c r="F29">
        <f t="shared" si="8"/>
        <v>0</v>
      </c>
      <c r="G29">
        <f t="shared" si="9"/>
        <v>0</v>
      </c>
      <c r="H29">
        <f t="shared" si="10"/>
        <v>0</v>
      </c>
      <c r="I29">
        <f t="shared" si="11"/>
        <v>0</v>
      </c>
      <c r="J29">
        <f t="shared" si="12"/>
        <v>0</v>
      </c>
      <c r="K29">
        <f t="shared" si="13"/>
        <v>0</v>
      </c>
      <c r="L29">
        <f t="shared" si="14"/>
        <v>0</v>
      </c>
    </row>
    <row r="30" spans="1:20" x14ac:dyDescent="0.35">
      <c r="A30" s="88" t="s">
        <v>129</v>
      </c>
      <c r="B30" s="90">
        <f>B15</f>
        <v>430</v>
      </c>
      <c r="C30" s="90">
        <f>C15</f>
        <v>445</v>
      </c>
      <c r="D30" s="90">
        <f>D15</f>
        <v>125</v>
      </c>
      <c r="E30" s="90">
        <f>E15</f>
        <v>0</v>
      </c>
      <c r="F30" s="90">
        <f t="shared" ref="F30:K30" si="15">F15</f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 t="shared" si="15"/>
        <v>0</v>
      </c>
      <c r="L30" s="8">
        <f t="shared" si="14"/>
        <v>1000</v>
      </c>
    </row>
    <row r="33" spans="1:12" x14ac:dyDescent="0.35">
      <c r="B33" t="s">
        <v>131</v>
      </c>
    </row>
    <row r="34" spans="1:12" x14ac:dyDescent="0.35">
      <c r="B34" s="90" t="s">
        <v>121</v>
      </c>
      <c r="C34" s="90" t="s">
        <v>122</v>
      </c>
      <c r="D34" s="90" t="s">
        <v>123</v>
      </c>
      <c r="E34" s="90" t="s">
        <v>27</v>
      </c>
      <c r="F34" s="90" t="s">
        <v>124</v>
      </c>
      <c r="G34" s="90" t="s">
        <v>78</v>
      </c>
      <c r="H34" s="90" t="s">
        <v>125</v>
      </c>
      <c r="I34" s="90" t="s">
        <v>126</v>
      </c>
      <c r="J34" s="90" t="s">
        <v>127</v>
      </c>
      <c r="K34" s="90" t="s">
        <v>128</v>
      </c>
      <c r="L34" s="8" t="s">
        <v>129</v>
      </c>
    </row>
    <row r="35" spans="1:12" x14ac:dyDescent="0.35">
      <c r="A35" s="90">
        <v>1</v>
      </c>
      <c r="B35">
        <f>IFERROR((B5-B20)^2/B20,"")</f>
        <v>1.8837209302325582</v>
      </c>
      <c r="C35">
        <f>IFERROR((C5-C20)^2/C20,"")</f>
        <v>2.9719101123595504</v>
      </c>
      <c r="D35">
        <f t="shared" ref="D35:I35" si="16">IFERROR((D5-D20)^2/D20,"")</f>
        <v>0.5</v>
      </c>
      <c r="E35" t="str">
        <f t="shared" si="16"/>
        <v/>
      </c>
      <c r="F35" t="str">
        <f t="shared" si="16"/>
        <v/>
      </c>
      <c r="G35" t="str">
        <f t="shared" si="16"/>
        <v/>
      </c>
      <c r="H35" t="str">
        <f t="shared" si="16"/>
        <v/>
      </c>
      <c r="I35" t="str">
        <f t="shared" si="16"/>
        <v/>
      </c>
      <c r="J35" t="str">
        <f>IFERROR((J5-J20)^2/J20,"")</f>
        <v/>
      </c>
      <c r="K35" t="str">
        <f>IFERROR((K5-K20)^2/K20,"")</f>
        <v/>
      </c>
      <c r="L35">
        <f>SUM(B35:K35)</f>
        <v>5.3556310425921083</v>
      </c>
    </row>
    <row r="36" spans="1:12" x14ac:dyDescent="0.35">
      <c r="A36" s="90">
        <v>2</v>
      </c>
      <c r="B36">
        <f t="shared" ref="B36:E44" si="17">IFERROR((B6-B21)^2/B21,"")</f>
        <v>1.2558139534883721</v>
      </c>
      <c r="C36">
        <f t="shared" si="17"/>
        <v>1.9812734082397003</v>
      </c>
      <c r="D36">
        <f t="shared" si="17"/>
        <v>0.33333333333333331</v>
      </c>
      <c r="E36" t="str">
        <f t="shared" si="17"/>
        <v/>
      </c>
      <c r="G36" t="str">
        <f t="shared" ref="G36" si="18">IFERROR((G6-G21)^2/G21,"")</f>
        <v/>
      </c>
      <c r="I36" t="str">
        <f t="shared" ref="I36:K36" si="19">IFERROR((I6-I21)^2/I21,"")</f>
        <v/>
      </c>
      <c r="J36" t="str">
        <f t="shared" si="19"/>
        <v/>
      </c>
      <c r="K36" t="str">
        <f t="shared" si="19"/>
        <v/>
      </c>
      <c r="L36">
        <f t="shared" ref="L36:L44" si="20">SUM(B36:K36)</f>
        <v>3.5704206950614057</v>
      </c>
    </row>
    <row r="37" spans="1:12" x14ac:dyDescent="0.35">
      <c r="A37" s="90">
        <v>3</v>
      </c>
      <c r="B37" t="str">
        <f>IFERROR((B7-B22)^2/B22,"")</f>
        <v/>
      </c>
      <c r="C37" t="str">
        <f t="shared" ref="C37:E44" si="21">IFERROR((C7-C22)^2/C22,"")</f>
        <v/>
      </c>
      <c r="D37" t="str">
        <f t="shared" si="21"/>
        <v/>
      </c>
      <c r="E37" t="str">
        <f t="shared" si="21"/>
        <v/>
      </c>
      <c r="G37" t="str">
        <f t="shared" ref="G37" si="22">IFERROR((G7-G22)^2/G22,"")</f>
        <v/>
      </c>
      <c r="I37" t="str">
        <f t="shared" ref="I37:K37" si="23">IFERROR((I7-I22)^2/I22,"")</f>
        <v/>
      </c>
      <c r="J37" t="str">
        <f t="shared" si="23"/>
        <v/>
      </c>
      <c r="K37" t="str">
        <f t="shared" si="23"/>
        <v/>
      </c>
      <c r="L37">
        <f t="shared" si="20"/>
        <v>0</v>
      </c>
    </row>
    <row r="38" spans="1:12" x14ac:dyDescent="0.35">
      <c r="A38" s="90">
        <v>4</v>
      </c>
      <c r="B38" t="str">
        <f t="shared" si="17"/>
        <v/>
      </c>
      <c r="C38" t="str">
        <f t="shared" si="21"/>
        <v/>
      </c>
      <c r="D38" t="str">
        <f t="shared" si="21"/>
        <v/>
      </c>
      <c r="E38" t="str">
        <f t="shared" si="21"/>
        <v/>
      </c>
      <c r="G38" t="str">
        <f t="shared" ref="G38" si="24">IFERROR((G8-G23)^2/G23,"")</f>
        <v/>
      </c>
      <c r="I38" t="str">
        <f t="shared" ref="I38:K38" si="25">IFERROR((I8-I23)^2/I23,"")</f>
        <v/>
      </c>
      <c r="J38" t="str">
        <f t="shared" si="25"/>
        <v/>
      </c>
      <c r="K38" t="str">
        <f t="shared" si="25"/>
        <v/>
      </c>
      <c r="L38">
        <f t="shared" si="20"/>
        <v>0</v>
      </c>
    </row>
    <row r="39" spans="1:12" x14ac:dyDescent="0.35">
      <c r="A39" s="90">
        <v>5</v>
      </c>
      <c r="B39" t="str">
        <f t="shared" si="17"/>
        <v/>
      </c>
      <c r="C39" t="str">
        <f t="shared" si="21"/>
        <v/>
      </c>
      <c r="D39" t="str">
        <f t="shared" si="21"/>
        <v/>
      </c>
      <c r="E39" t="str">
        <f t="shared" si="21"/>
        <v/>
      </c>
      <c r="G39" t="str">
        <f t="shared" ref="G39" si="26">IFERROR((G9-G24)^2/G24,"")</f>
        <v/>
      </c>
      <c r="I39" t="str">
        <f t="shared" ref="I39:K39" si="27">IFERROR((I9-I24)^2/I24,"")</f>
        <v/>
      </c>
      <c r="J39" t="str">
        <f t="shared" si="27"/>
        <v/>
      </c>
      <c r="K39" t="str">
        <f t="shared" si="27"/>
        <v/>
      </c>
      <c r="L39">
        <f t="shared" si="20"/>
        <v>0</v>
      </c>
    </row>
    <row r="40" spans="1:12" x14ac:dyDescent="0.35">
      <c r="A40" s="90">
        <v>6</v>
      </c>
      <c r="B40" t="str">
        <f t="shared" si="17"/>
        <v/>
      </c>
      <c r="C40" t="str">
        <f t="shared" si="21"/>
        <v/>
      </c>
      <c r="D40" t="str">
        <f t="shared" si="21"/>
        <v/>
      </c>
      <c r="E40" t="str">
        <f t="shared" si="21"/>
        <v/>
      </c>
      <c r="G40" t="str">
        <f t="shared" ref="G40" si="28">IFERROR((G10-G25)^2/G25,"")</f>
        <v/>
      </c>
      <c r="I40" t="str">
        <f t="shared" ref="I40:K40" si="29">IFERROR((I10-I25)^2/I25,"")</f>
        <v/>
      </c>
      <c r="J40" t="str">
        <f t="shared" si="29"/>
        <v/>
      </c>
      <c r="K40" t="str">
        <f t="shared" si="29"/>
        <v/>
      </c>
      <c r="L40">
        <f t="shared" si="20"/>
        <v>0</v>
      </c>
    </row>
    <row r="41" spans="1:12" x14ac:dyDescent="0.35">
      <c r="A41" s="90">
        <v>7</v>
      </c>
      <c r="B41" t="str">
        <f t="shared" si="17"/>
        <v/>
      </c>
      <c r="C41" t="str">
        <f t="shared" si="21"/>
        <v/>
      </c>
      <c r="D41" t="str">
        <f t="shared" si="21"/>
        <v/>
      </c>
      <c r="E41" t="str">
        <f t="shared" si="21"/>
        <v/>
      </c>
      <c r="G41" t="str">
        <f t="shared" ref="G41" si="30">IFERROR((G11-G26)^2/G26,"")</f>
        <v/>
      </c>
      <c r="I41" t="str">
        <f t="shared" ref="I41:K41" si="31">IFERROR((I11-I26)^2/I26,"")</f>
        <v/>
      </c>
      <c r="J41" t="str">
        <f t="shared" si="31"/>
        <v/>
      </c>
      <c r="K41" t="str">
        <f t="shared" si="31"/>
        <v/>
      </c>
      <c r="L41">
        <f t="shared" si="20"/>
        <v>0</v>
      </c>
    </row>
    <row r="42" spans="1:12" x14ac:dyDescent="0.35">
      <c r="A42" s="90">
        <v>8</v>
      </c>
      <c r="B42" t="str">
        <f t="shared" si="17"/>
        <v/>
      </c>
      <c r="C42" t="str">
        <f t="shared" si="21"/>
        <v/>
      </c>
      <c r="D42" t="str">
        <f t="shared" si="21"/>
        <v/>
      </c>
      <c r="E42" t="str">
        <f t="shared" si="21"/>
        <v/>
      </c>
      <c r="G42" t="str">
        <f t="shared" ref="G42" si="32">IFERROR((G12-G27)^2/G27,"")</f>
        <v/>
      </c>
      <c r="I42" t="str">
        <f t="shared" ref="I42:K42" si="33">IFERROR((I12-I27)^2/I27,"")</f>
        <v/>
      </c>
      <c r="J42" t="str">
        <f t="shared" si="33"/>
        <v/>
      </c>
      <c r="K42" t="str">
        <f t="shared" si="33"/>
        <v/>
      </c>
      <c r="L42">
        <f t="shared" si="20"/>
        <v>0</v>
      </c>
    </row>
    <row r="43" spans="1:12" x14ac:dyDescent="0.35">
      <c r="A43" s="90">
        <v>9</v>
      </c>
      <c r="B43" t="str">
        <f t="shared" si="17"/>
        <v/>
      </c>
      <c r="C43" t="str">
        <f t="shared" si="21"/>
        <v/>
      </c>
      <c r="D43" t="str">
        <f t="shared" si="21"/>
        <v/>
      </c>
      <c r="E43" t="str">
        <f t="shared" si="21"/>
        <v/>
      </c>
      <c r="G43" t="str">
        <f t="shared" ref="G43" si="34">IFERROR((G13-G28)^2/G28,"")</f>
        <v/>
      </c>
      <c r="I43" t="str">
        <f t="shared" ref="I43:K43" si="35">IFERROR((I13-I28)^2/I28,"")</f>
        <v/>
      </c>
      <c r="J43" t="str">
        <f t="shared" si="35"/>
        <v/>
      </c>
      <c r="K43" t="str">
        <f t="shared" si="35"/>
        <v/>
      </c>
      <c r="L43">
        <f t="shared" si="20"/>
        <v>0</v>
      </c>
    </row>
    <row r="44" spans="1:12" x14ac:dyDescent="0.35">
      <c r="A44" s="90">
        <v>10</v>
      </c>
      <c r="B44" t="str">
        <f t="shared" si="17"/>
        <v/>
      </c>
      <c r="C44" t="str">
        <f t="shared" si="21"/>
        <v/>
      </c>
      <c r="D44" t="str">
        <f t="shared" si="21"/>
        <v/>
      </c>
      <c r="E44" t="str">
        <f t="shared" si="21"/>
        <v/>
      </c>
      <c r="G44" t="str">
        <f t="shared" ref="G44" si="36">IFERROR((G14-G29)^2/G29,"")</f>
        <v/>
      </c>
      <c r="I44" t="str">
        <f t="shared" ref="I44:K44" si="37">IFERROR((I14-I29)^2/I29,"")</f>
        <v/>
      </c>
      <c r="J44" t="str">
        <f t="shared" si="37"/>
        <v/>
      </c>
      <c r="K44" t="str">
        <f t="shared" si="37"/>
        <v/>
      </c>
      <c r="L44">
        <f t="shared" si="20"/>
        <v>0</v>
      </c>
    </row>
    <row r="45" spans="1:12" x14ac:dyDescent="0.35">
      <c r="A45" s="89" t="s">
        <v>129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8">
        <f>SUM(L35:L44)</f>
        <v>8.9260517376535145</v>
      </c>
    </row>
  </sheetData>
  <mergeCells count="6">
    <mergeCell ref="A2:C2"/>
    <mergeCell ref="A3:C3"/>
    <mergeCell ref="Q3:T3"/>
    <mergeCell ref="N21:O21"/>
    <mergeCell ref="N23:O24"/>
    <mergeCell ref="A18:C18"/>
  </mergeCells>
  <conditionalFormatting sqref="A5:A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:A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dataValidations count="3">
    <dataValidation type="list" allowBlank="1" showInputMessage="1" showErrorMessage="1" sqref="O7" xr:uid="{7CCA5311-AC11-4B78-BA2D-D97D0D588B94}">
      <formula1>$P$2:$P$4</formula1>
    </dataValidation>
    <dataValidation type="list" allowBlank="1" showInputMessage="1" showErrorMessage="1" sqref="O12" xr:uid="{3B8A4083-66B5-40CE-AFE5-12E1F8299EA5}">
      <formula1>$Q$4:$T$4</formula1>
    </dataValidation>
    <dataValidation type="list" allowBlank="1" showInputMessage="1" showErrorMessage="1" sqref="O11" xr:uid="{CF01D793-5A2B-46E7-9614-973E66FF2A17}">
      <formula1>$Q$2:$T$2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C4C8-A2B0-4857-88A9-52753B63322C}">
  <sheetPr>
    <outlinePr summaryBelow="0"/>
  </sheetPr>
  <dimension ref="B1:H20"/>
  <sheetViews>
    <sheetView showGridLines="0" topLeftCell="D8" zoomScale="65" zoomScaleNormal="65" workbookViewId="0">
      <selection activeCell="E14" sqref="E14"/>
    </sheetView>
  </sheetViews>
  <sheetFormatPr defaultRowHeight="14.5" outlineLevelRow="1" outlineLevelCol="1" x14ac:dyDescent="0.35"/>
  <cols>
    <col min="3" max="3" width="22.7265625" customWidth="1"/>
    <col min="4" max="4" width="37.26953125" customWidth="1" outlineLevel="1"/>
    <col min="5" max="5" width="45.90625" bestFit="1" customWidth="1" outlineLevel="1"/>
    <col min="6" max="6" width="41.26953125" customWidth="1" outlineLevel="1"/>
    <col min="7" max="7" width="49.6328125" customWidth="1" outlineLevel="1"/>
    <col min="8" max="8" width="41" customWidth="1" outlineLevel="1"/>
  </cols>
  <sheetData>
    <row r="1" spans="2:8" ht="15" thickBot="1" x14ac:dyDescent="0.4"/>
    <row r="2" spans="2:8" ht="15.5" x14ac:dyDescent="0.35">
      <c r="B2" s="138" t="s">
        <v>556</v>
      </c>
      <c r="C2" s="138"/>
      <c r="D2" s="93"/>
      <c r="E2" s="93"/>
      <c r="F2" s="93"/>
      <c r="G2" s="93"/>
      <c r="H2" s="93"/>
    </row>
    <row r="3" spans="2:8" ht="15.5" collapsed="1" x14ac:dyDescent="0.35">
      <c r="B3" s="137"/>
      <c r="C3" s="137"/>
      <c r="D3" s="94" t="s">
        <v>558</v>
      </c>
      <c r="E3" s="94" t="s">
        <v>563</v>
      </c>
      <c r="F3" s="94" t="s">
        <v>590</v>
      </c>
      <c r="G3" s="94" t="s">
        <v>591</v>
      </c>
      <c r="H3" s="94" t="s">
        <v>593</v>
      </c>
    </row>
    <row r="4" spans="2:8" ht="31.5" hidden="1" outlineLevel="1" x14ac:dyDescent="0.35">
      <c r="B4" s="139"/>
      <c r="C4" s="139"/>
      <c r="E4" s="96" t="s">
        <v>584</v>
      </c>
      <c r="F4" s="96" t="s">
        <v>584</v>
      </c>
      <c r="G4" s="96" t="s">
        <v>584</v>
      </c>
      <c r="H4" s="94" t="s">
        <v>592</v>
      </c>
    </row>
    <row r="5" spans="2:8" ht="18.5" x14ac:dyDescent="0.45">
      <c r="B5" s="152" t="s">
        <v>557</v>
      </c>
      <c r="C5" s="140"/>
      <c r="D5" s="92"/>
      <c r="E5" s="92"/>
      <c r="F5" s="92"/>
      <c r="G5" s="92"/>
      <c r="H5" s="92"/>
    </row>
    <row r="6" spans="2:8" ht="18.5" outlineLevel="1" x14ac:dyDescent="0.45">
      <c r="B6" s="151"/>
      <c r="C6" s="151" t="s">
        <v>552</v>
      </c>
      <c r="D6">
        <v>3</v>
      </c>
      <c r="E6" s="95">
        <v>20</v>
      </c>
      <c r="F6" s="95">
        <v>190</v>
      </c>
      <c r="G6" s="95">
        <v>20</v>
      </c>
      <c r="H6" s="95">
        <v>3</v>
      </c>
    </row>
    <row r="7" spans="2:8" ht="18.5" outlineLevel="1" x14ac:dyDescent="0.45">
      <c r="B7" s="151"/>
      <c r="C7" s="151" t="s">
        <v>553</v>
      </c>
      <c r="D7">
        <v>12</v>
      </c>
      <c r="E7" s="95">
        <v>80</v>
      </c>
      <c r="F7" s="95">
        <v>150</v>
      </c>
      <c r="G7" s="95">
        <v>190</v>
      </c>
      <c r="H7" s="95">
        <v>12</v>
      </c>
    </row>
    <row r="8" spans="2:8" ht="18.5" outlineLevel="1" x14ac:dyDescent="0.45">
      <c r="B8" s="151"/>
      <c r="C8" s="151" t="s">
        <v>554</v>
      </c>
      <c r="D8">
        <v>36</v>
      </c>
      <c r="E8" s="95">
        <v>80</v>
      </c>
      <c r="F8" s="95">
        <v>150</v>
      </c>
      <c r="G8" s="95">
        <v>80</v>
      </c>
      <c r="H8" s="95">
        <v>36</v>
      </c>
    </row>
    <row r="9" spans="2:8" ht="18.5" outlineLevel="1" x14ac:dyDescent="0.45">
      <c r="B9" s="151"/>
      <c r="C9" s="151" t="s">
        <v>555</v>
      </c>
      <c r="D9">
        <v>23</v>
      </c>
      <c r="E9" s="95">
        <v>60</v>
      </c>
      <c r="F9" s="95">
        <v>75</v>
      </c>
      <c r="G9" s="95">
        <v>150</v>
      </c>
      <c r="H9" s="95">
        <v>23</v>
      </c>
    </row>
    <row r="10" spans="2:8" ht="18.5" x14ac:dyDescent="0.45">
      <c r="B10" s="152" t="s">
        <v>559</v>
      </c>
      <c r="C10" s="140"/>
      <c r="D10" s="92"/>
      <c r="E10" s="92"/>
      <c r="F10" s="92"/>
      <c r="G10" s="92"/>
      <c r="H10" s="92"/>
    </row>
    <row r="11" spans="2:8" ht="18.5" outlineLevel="1" x14ac:dyDescent="0.45">
      <c r="B11" s="139"/>
      <c r="C11" s="144" t="s">
        <v>587</v>
      </c>
      <c r="D11" s="23">
        <v>8.0717750046563594</v>
      </c>
      <c r="E11" s="23">
        <v>33.110204081632602</v>
      </c>
      <c r="F11" s="23">
        <v>6.57103037293348</v>
      </c>
      <c r="G11" s="23">
        <v>39.879186457191601</v>
      </c>
      <c r="H11" s="23">
        <v>8.0717750046563594</v>
      </c>
    </row>
    <row r="12" spans="2:8" ht="37" outlineLevel="1" x14ac:dyDescent="0.45">
      <c r="B12" s="139"/>
      <c r="C12" s="153" t="s">
        <v>594</v>
      </c>
      <c r="D12" s="154" t="s">
        <v>143</v>
      </c>
      <c r="E12" s="154" t="s">
        <v>115</v>
      </c>
      <c r="F12" s="154" t="s">
        <v>115</v>
      </c>
      <c r="G12" s="154" t="s">
        <v>143</v>
      </c>
      <c r="H12" s="154" t="s">
        <v>143</v>
      </c>
    </row>
    <row r="13" spans="2:8" ht="18.5" outlineLevel="1" x14ac:dyDescent="0.45">
      <c r="B13" s="139"/>
      <c r="C13" s="144" t="s">
        <v>588</v>
      </c>
      <c r="D13" s="23">
        <v>5.0000000000000001E-4</v>
      </c>
      <c r="E13" s="23">
        <v>1E-4</v>
      </c>
      <c r="F13" s="23">
        <v>1E-4</v>
      </c>
      <c r="G13" s="23">
        <v>5.0000000000000001E-4</v>
      </c>
      <c r="H13" s="23">
        <v>5.0000000000000001E-4</v>
      </c>
    </row>
    <row r="14" spans="2:8" ht="18.5" outlineLevel="1" x14ac:dyDescent="0.45">
      <c r="B14" s="139"/>
      <c r="C14" s="144" t="s">
        <v>589</v>
      </c>
      <c r="D14" s="23">
        <v>1</v>
      </c>
      <c r="E14" s="23">
        <v>1</v>
      </c>
      <c r="F14" s="23">
        <v>1</v>
      </c>
      <c r="G14" s="23">
        <v>1</v>
      </c>
      <c r="H14" s="23">
        <v>1</v>
      </c>
    </row>
    <row r="15" spans="2:8" ht="18.5" outlineLevel="1" x14ac:dyDescent="0.45">
      <c r="B15" s="139"/>
      <c r="C15" s="144" t="s">
        <v>568</v>
      </c>
      <c r="D15" s="23">
        <v>10.827566170662701</v>
      </c>
      <c r="E15" s="23">
        <v>10.827566170662701</v>
      </c>
      <c r="F15" s="23">
        <v>10.827566170662701</v>
      </c>
      <c r="G15" s="23">
        <v>10.827566170662701</v>
      </c>
      <c r="H15" s="23">
        <v>10.827566170662701</v>
      </c>
    </row>
    <row r="16" spans="2:8" ht="23" customHeight="1" outlineLevel="1" x14ac:dyDescent="0.45">
      <c r="B16" s="139"/>
      <c r="C16" s="144" t="s">
        <v>566</v>
      </c>
      <c r="D16" s="146" t="s">
        <v>585</v>
      </c>
      <c r="E16" s="147" t="s">
        <v>564</v>
      </c>
      <c r="F16" s="146" t="s">
        <v>585</v>
      </c>
      <c r="G16" s="147" t="s">
        <v>564</v>
      </c>
      <c r="H16" s="146" t="s">
        <v>585</v>
      </c>
    </row>
    <row r="17" spans="2:8" ht="39" customHeight="1" outlineLevel="1" thickBot="1" x14ac:dyDescent="0.4">
      <c r="B17" s="141"/>
      <c r="C17" s="145" t="s">
        <v>567</v>
      </c>
      <c r="D17" s="148" t="s">
        <v>586</v>
      </c>
      <c r="E17" s="148" t="s">
        <v>565</v>
      </c>
      <c r="F17" s="149" t="s">
        <v>586</v>
      </c>
      <c r="G17" s="148" t="s">
        <v>565</v>
      </c>
      <c r="H17" s="149" t="s">
        <v>586</v>
      </c>
    </row>
    <row r="18" spans="2:8" ht="23.5" x14ac:dyDescent="0.55000000000000004">
      <c r="B18" s="150" t="s">
        <v>560</v>
      </c>
      <c r="C18" s="150"/>
      <c r="D18" s="150"/>
    </row>
    <row r="19" spans="2:8" ht="23.5" x14ac:dyDescent="0.55000000000000004">
      <c r="B19" s="150" t="s">
        <v>561</v>
      </c>
      <c r="C19" s="150"/>
      <c r="D19" s="150"/>
    </row>
    <row r="20" spans="2:8" ht="23.5" x14ac:dyDescent="0.55000000000000004">
      <c r="B20" s="150" t="s">
        <v>562</v>
      </c>
      <c r="C20" s="150"/>
      <c r="D20" s="150"/>
      <c r="E20" s="1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9D6F-B7C0-4130-B1FB-9D979AAEC5EC}">
  <dimension ref="A1:M23"/>
  <sheetViews>
    <sheetView tabSelected="1" zoomScale="81" zoomScaleNormal="81" workbookViewId="0">
      <selection activeCell="M21" sqref="M21"/>
    </sheetView>
  </sheetViews>
  <sheetFormatPr defaultRowHeight="14.5" x14ac:dyDescent="0.35"/>
  <cols>
    <col min="2" max="2" width="5.7265625" customWidth="1"/>
    <col min="3" max="3" width="9.36328125" customWidth="1"/>
    <col min="4" max="4" width="11.453125" customWidth="1"/>
    <col min="5" max="5" width="12.90625" customWidth="1"/>
    <col min="8" max="8" width="8.1796875" customWidth="1"/>
    <col min="9" max="9" width="17.90625" customWidth="1"/>
    <col min="10" max="10" width="10.453125" customWidth="1"/>
    <col min="11" max="11" width="6.6328125" customWidth="1"/>
  </cols>
  <sheetData>
    <row r="1" spans="1:13" ht="17" x14ac:dyDescent="0.4">
      <c r="A1" s="22" t="s">
        <v>58</v>
      </c>
      <c r="B1" s="47" t="s">
        <v>121</v>
      </c>
      <c r="C1" s="47" t="s">
        <v>122</v>
      </c>
      <c r="D1" s="26" t="s">
        <v>153</v>
      </c>
      <c r="E1" s="97" t="s">
        <v>570</v>
      </c>
      <c r="F1" s="27" t="s">
        <v>59</v>
      </c>
      <c r="G1" s="28" t="s">
        <v>60</v>
      </c>
    </row>
    <row r="2" spans="1:13" x14ac:dyDescent="0.35">
      <c r="A2">
        <v>1</v>
      </c>
      <c r="B2" s="3">
        <v>97</v>
      </c>
      <c r="C2" s="3">
        <v>210</v>
      </c>
      <c r="D2">
        <f t="shared" ref="D2:D13" si="0">_xlfn.RANK.EQ(B2,$B$2:$B$1000,1)</f>
        <v>12</v>
      </c>
      <c r="E2">
        <f t="shared" ref="E2:E13" si="1">_xlfn.RANK.EQ(C2,$C$2:$C$1000,1)</f>
        <v>10</v>
      </c>
      <c r="F2">
        <f t="shared" ref="F2:F13" si="2">D2-E2</f>
        <v>2</v>
      </c>
      <c r="G2">
        <f t="shared" ref="G2:G13" si="3">F2^2</f>
        <v>4</v>
      </c>
    </row>
    <row r="3" spans="1:13" x14ac:dyDescent="0.35">
      <c r="A3">
        <v>2</v>
      </c>
      <c r="B3" s="3">
        <v>96</v>
      </c>
      <c r="C3" s="3">
        <v>230</v>
      </c>
      <c r="D3">
        <f t="shared" si="0"/>
        <v>11</v>
      </c>
      <c r="E3">
        <f t="shared" si="1"/>
        <v>12</v>
      </c>
      <c r="F3">
        <f t="shared" si="2"/>
        <v>-1</v>
      </c>
      <c r="G3">
        <f t="shared" si="3"/>
        <v>1</v>
      </c>
    </row>
    <row r="4" spans="1:13" x14ac:dyDescent="0.35">
      <c r="A4">
        <v>3</v>
      </c>
      <c r="B4" s="3">
        <v>94</v>
      </c>
      <c r="C4" s="3">
        <v>198</v>
      </c>
      <c r="D4">
        <f t="shared" si="0"/>
        <v>10</v>
      </c>
      <c r="E4">
        <f t="shared" si="1"/>
        <v>4</v>
      </c>
      <c r="F4">
        <f t="shared" si="2"/>
        <v>6</v>
      </c>
      <c r="G4">
        <f t="shared" si="3"/>
        <v>36</v>
      </c>
    </row>
    <row r="5" spans="1:13" x14ac:dyDescent="0.35">
      <c r="A5">
        <v>4</v>
      </c>
      <c r="B5" s="3">
        <v>91</v>
      </c>
      <c r="C5" s="3">
        <v>204</v>
      </c>
      <c r="D5">
        <f t="shared" si="0"/>
        <v>9</v>
      </c>
      <c r="E5">
        <f t="shared" si="1"/>
        <v>8</v>
      </c>
      <c r="F5">
        <f t="shared" si="2"/>
        <v>1</v>
      </c>
      <c r="G5">
        <f t="shared" si="3"/>
        <v>1</v>
      </c>
    </row>
    <row r="6" spans="1:13" x14ac:dyDescent="0.35">
      <c r="A6">
        <v>5</v>
      </c>
      <c r="B6" s="3">
        <v>90</v>
      </c>
      <c r="C6" s="3">
        <v>213</v>
      </c>
      <c r="D6">
        <f t="shared" si="0"/>
        <v>8</v>
      </c>
      <c r="E6">
        <f t="shared" si="1"/>
        <v>11</v>
      </c>
      <c r="F6">
        <f t="shared" si="2"/>
        <v>-3</v>
      </c>
      <c r="G6">
        <f t="shared" si="3"/>
        <v>9</v>
      </c>
    </row>
    <row r="7" spans="1:13" x14ac:dyDescent="0.35">
      <c r="A7">
        <v>6</v>
      </c>
      <c r="B7" s="3">
        <v>87</v>
      </c>
      <c r="C7" s="3">
        <v>206</v>
      </c>
      <c r="D7">
        <f t="shared" si="0"/>
        <v>7</v>
      </c>
      <c r="E7">
        <f t="shared" si="1"/>
        <v>9</v>
      </c>
      <c r="F7">
        <f t="shared" si="2"/>
        <v>-2</v>
      </c>
      <c r="G7">
        <f t="shared" si="3"/>
        <v>4</v>
      </c>
      <c r="I7" s="161"/>
      <c r="J7" s="161"/>
      <c r="K7" s="161"/>
    </row>
    <row r="8" spans="1:13" x14ac:dyDescent="0.35">
      <c r="A8">
        <v>7</v>
      </c>
      <c r="B8" s="3">
        <v>86</v>
      </c>
      <c r="C8" s="3">
        <v>200</v>
      </c>
      <c r="D8">
        <f t="shared" si="0"/>
        <v>6</v>
      </c>
      <c r="E8">
        <f t="shared" si="1"/>
        <v>6</v>
      </c>
      <c r="F8">
        <f t="shared" si="2"/>
        <v>0</v>
      </c>
      <c r="G8">
        <f t="shared" si="3"/>
        <v>0</v>
      </c>
      <c r="I8" s="161"/>
      <c r="J8" s="161"/>
      <c r="K8" s="161"/>
    </row>
    <row r="9" spans="1:13" x14ac:dyDescent="0.35">
      <c r="A9">
        <v>8</v>
      </c>
      <c r="B9" s="3">
        <v>83</v>
      </c>
      <c r="C9" s="3">
        <v>186</v>
      </c>
      <c r="D9">
        <f t="shared" si="0"/>
        <v>5</v>
      </c>
      <c r="E9">
        <f t="shared" si="1"/>
        <v>1</v>
      </c>
      <c r="F9">
        <f t="shared" si="2"/>
        <v>4</v>
      </c>
      <c r="G9">
        <f t="shared" si="3"/>
        <v>16</v>
      </c>
      <c r="I9" s="161"/>
      <c r="J9" s="161"/>
      <c r="K9" s="161"/>
    </row>
    <row r="10" spans="1:13" x14ac:dyDescent="0.35">
      <c r="A10">
        <v>9</v>
      </c>
      <c r="B10" s="3">
        <v>82</v>
      </c>
      <c r="C10" s="3">
        <v>192</v>
      </c>
      <c r="D10">
        <f t="shared" si="0"/>
        <v>4</v>
      </c>
      <c r="E10">
        <f t="shared" si="1"/>
        <v>3</v>
      </c>
      <c r="F10">
        <f t="shared" si="2"/>
        <v>1</v>
      </c>
      <c r="G10">
        <f t="shared" si="3"/>
        <v>1</v>
      </c>
      <c r="I10" s="161"/>
      <c r="J10" s="161"/>
      <c r="K10" s="161"/>
    </row>
    <row r="11" spans="1:13" x14ac:dyDescent="0.35">
      <c r="A11">
        <v>10</v>
      </c>
      <c r="B11" s="3">
        <v>80</v>
      </c>
      <c r="C11" s="3">
        <v>202</v>
      </c>
      <c r="D11">
        <f t="shared" si="0"/>
        <v>3</v>
      </c>
      <c r="E11">
        <f t="shared" si="1"/>
        <v>7</v>
      </c>
      <c r="F11">
        <f t="shared" si="2"/>
        <v>-4</v>
      </c>
      <c r="G11">
        <f t="shared" si="3"/>
        <v>16</v>
      </c>
      <c r="I11" s="161"/>
      <c r="J11" s="161"/>
      <c r="K11" s="161"/>
    </row>
    <row r="12" spans="1:13" x14ac:dyDescent="0.35">
      <c r="A12">
        <v>11</v>
      </c>
      <c r="B12" s="3">
        <v>77</v>
      </c>
      <c r="C12" s="3">
        <v>191</v>
      </c>
      <c r="D12">
        <f t="shared" si="0"/>
        <v>2</v>
      </c>
      <c r="E12">
        <f t="shared" si="1"/>
        <v>2</v>
      </c>
      <c r="F12">
        <f t="shared" si="2"/>
        <v>0</v>
      </c>
      <c r="G12">
        <f t="shared" si="3"/>
        <v>0</v>
      </c>
    </row>
    <row r="13" spans="1:13" x14ac:dyDescent="0.35">
      <c r="A13">
        <v>12</v>
      </c>
      <c r="B13" s="3">
        <v>71</v>
      </c>
      <c r="C13" s="3">
        <v>199</v>
      </c>
      <c r="D13">
        <f t="shared" si="0"/>
        <v>1</v>
      </c>
      <c r="E13">
        <f t="shared" si="1"/>
        <v>5</v>
      </c>
      <c r="F13">
        <f t="shared" si="2"/>
        <v>-4</v>
      </c>
      <c r="G13">
        <f t="shared" si="3"/>
        <v>16</v>
      </c>
    </row>
    <row r="14" spans="1:13" ht="16.5" x14ac:dyDescent="0.35">
      <c r="I14" s="161" t="s">
        <v>151</v>
      </c>
      <c r="J14" s="161"/>
      <c r="L14" t="s">
        <v>62</v>
      </c>
      <c r="M14">
        <f>SUM(G2:G1000)</f>
        <v>104</v>
      </c>
    </row>
    <row r="15" spans="1:13" ht="16.5" x14ac:dyDescent="0.35">
      <c r="H15" s="46" t="s">
        <v>140</v>
      </c>
      <c r="I15" s="164" t="s">
        <v>140</v>
      </c>
      <c r="J15" s="164"/>
      <c r="L15" t="s">
        <v>61</v>
      </c>
      <c r="M15">
        <f>6*M14</f>
        <v>624</v>
      </c>
    </row>
    <row r="16" spans="1:13" x14ac:dyDescent="0.35">
      <c r="H16" s="46" t="s">
        <v>115</v>
      </c>
    </row>
    <row r="17" spans="8:13" x14ac:dyDescent="0.35">
      <c r="I17" s="161" t="s">
        <v>152</v>
      </c>
      <c r="J17" s="161"/>
    </row>
    <row r="18" spans="8:13" x14ac:dyDescent="0.35">
      <c r="H18" s="46">
        <v>0.1</v>
      </c>
      <c r="I18" s="163">
        <v>0.05</v>
      </c>
      <c r="J18" s="163"/>
      <c r="L18" s="40" t="s">
        <v>155</v>
      </c>
      <c r="M18" s="40">
        <f>COUNT(B2:B1000)</f>
        <v>12</v>
      </c>
    </row>
    <row r="19" spans="8:13" ht="16.5" x14ac:dyDescent="0.35">
      <c r="H19" s="46">
        <v>0.01</v>
      </c>
      <c r="L19" t="s">
        <v>63</v>
      </c>
      <c r="M19">
        <f>M18^3-M18</f>
        <v>1716</v>
      </c>
    </row>
    <row r="20" spans="8:13" x14ac:dyDescent="0.35">
      <c r="H20" s="46"/>
      <c r="K20" s="162" t="s">
        <v>150</v>
      </c>
      <c r="L20" s="162"/>
      <c r="M20" s="162"/>
    </row>
    <row r="21" spans="8:13" x14ac:dyDescent="0.35">
      <c r="H21" s="46">
        <v>0.05</v>
      </c>
      <c r="L21" s="22" t="s">
        <v>154</v>
      </c>
      <c r="M21" s="50">
        <f>1-(M15/M19)</f>
        <v>0.63636363636363635</v>
      </c>
    </row>
    <row r="22" spans="8:13" ht="16.5" x14ac:dyDescent="0.35">
      <c r="H22" s="46">
        <v>5.0000000000000001E-3</v>
      </c>
      <c r="L22" t="s">
        <v>159</v>
      </c>
      <c r="M22" s="155">
        <f>M21^2</f>
        <v>0.4049586776859504</v>
      </c>
    </row>
    <row r="23" spans="8:13" x14ac:dyDescent="0.35">
      <c r="H23" s="46">
        <v>2.5000000000000001E-2</v>
      </c>
      <c r="M23" s="21"/>
    </row>
  </sheetData>
  <sheetProtection selectLockedCells="1" selectUnlockedCells="1"/>
  <sortState xmlns:xlrd2="http://schemas.microsoft.com/office/spreadsheetml/2017/richdata2" ref="A2:G13">
    <sortCondition descending="1" ref="B2"/>
  </sortState>
  <mergeCells count="6">
    <mergeCell ref="I7:K11"/>
    <mergeCell ref="I14:J14"/>
    <mergeCell ref="I17:J17"/>
    <mergeCell ref="K20:M20"/>
    <mergeCell ref="I18:J18"/>
    <mergeCell ref="I15:J15"/>
  </mergeCells>
  <conditionalFormatting sqref="A15:A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I15" xr:uid="{B131DCE5-9543-42D7-96F1-ED39FB3CFA8D}">
      <formula1>$H$15:$H$16</formula1>
    </dataValidation>
    <dataValidation type="list" allowBlank="1" showInputMessage="1" showErrorMessage="1" sqref="I18" xr:uid="{01CCCD06-A077-4A1F-BF91-3510A74D4F64}">
      <formula1>$H$18:$H$23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89A49-55DC-48E0-9365-5026DC3435CD}">
  <dimension ref="A1:V15"/>
  <sheetViews>
    <sheetView workbookViewId="0">
      <selection activeCell="C6" sqref="C6"/>
    </sheetView>
  </sheetViews>
  <sheetFormatPr defaultRowHeight="14.5" x14ac:dyDescent="0.35"/>
  <cols>
    <col min="1" max="1" width="12.36328125" customWidth="1"/>
    <col min="2" max="2" width="14.36328125" customWidth="1"/>
    <col min="10" max="10" width="13.54296875" customWidth="1"/>
    <col min="11" max="11" width="12.453125" bestFit="1" customWidth="1"/>
  </cols>
  <sheetData>
    <row r="1" spans="1:22" ht="17" thickBot="1" x14ac:dyDescent="0.4">
      <c r="A1" s="98" t="s">
        <v>64</v>
      </c>
      <c r="B1" s="99" t="s">
        <v>65</v>
      </c>
      <c r="C1" s="101" t="s">
        <v>572</v>
      </c>
      <c r="D1" s="102" t="s">
        <v>573</v>
      </c>
      <c r="E1" s="103" t="s">
        <v>68</v>
      </c>
      <c r="F1" s="103" t="s">
        <v>69</v>
      </c>
      <c r="G1" s="104" t="s">
        <v>70</v>
      </c>
      <c r="H1" s="104" t="s">
        <v>71</v>
      </c>
      <c r="I1" s="105" t="s">
        <v>75</v>
      </c>
      <c r="K1" s="52" t="s">
        <v>66</v>
      </c>
      <c r="L1" s="53">
        <f>AVERAGE(A2:A100)</f>
        <v>151.69999999999999</v>
      </c>
    </row>
    <row r="2" spans="1:22" x14ac:dyDescent="0.35">
      <c r="A2">
        <v>56</v>
      </c>
      <c r="B2">
        <v>87</v>
      </c>
      <c r="C2">
        <f t="shared" ref="C2:C11" si="0">A2^2</f>
        <v>3136</v>
      </c>
      <c r="D2">
        <f t="shared" ref="D2:D11" si="1">B2^2</f>
        <v>7569</v>
      </c>
      <c r="E2">
        <f t="shared" ref="E2:E11" si="2">A2-$L$1</f>
        <v>-95.699999999999989</v>
      </c>
      <c r="F2">
        <f t="shared" ref="F2:F11" si="3">B2-$L$2</f>
        <v>-226.39999999999998</v>
      </c>
      <c r="G2">
        <f>E2*F2</f>
        <v>21666.479999999996</v>
      </c>
      <c r="H2">
        <f>E2^2</f>
        <v>9158.489999999998</v>
      </c>
      <c r="I2">
        <f>F2^2</f>
        <v>51256.959999999992</v>
      </c>
      <c r="K2" s="107" t="s">
        <v>67</v>
      </c>
      <c r="L2" s="108">
        <f>AVERAGE(B2:B100)</f>
        <v>313.39999999999998</v>
      </c>
    </row>
    <row r="3" spans="1:22" x14ac:dyDescent="0.35">
      <c r="A3">
        <v>56</v>
      </c>
      <c r="B3">
        <v>91</v>
      </c>
      <c r="C3">
        <f t="shared" si="0"/>
        <v>3136</v>
      </c>
      <c r="D3">
        <f t="shared" si="1"/>
        <v>8281</v>
      </c>
      <c r="E3">
        <f t="shared" si="2"/>
        <v>-95.699999999999989</v>
      </c>
      <c r="F3">
        <f t="shared" si="3"/>
        <v>-222.39999999999998</v>
      </c>
      <c r="G3">
        <f t="shared" ref="G3:G11" si="4">E3*F3</f>
        <v>21283.679999999997</v>
      </c>
      <c r="H3">
        <f t="shared" ref="H3:H11" si="5">E3^2</f>
        <v>9158.489999999998</v>
      </c>
      <c r="I3">
        <f t="shared" ref="I3:I11" si="6">F3^2</f>
        <v>49461.759999999987</v>
      </c>
      <c r="K3" s="107"/>
      <c r="L3" s="108"/>
      <c r="V3" s="21"/>
    </row>
    <row r="4" spans="1:22" x14ac:dyDescent="0.35">
      <c r="A4">
        <v>65</v>
      </c>
      <c r="B4">
        <v>85</v>
      </c>
      <c r="C4">
        <f t="shared" si="0"/>
        <v>4225</v>
      </c>
      <c r="D4">
        <f t="shared" si="1"/>
        <v>7225</v>
      </c>
      <c r="E4">
        <f t="shared" si="2"/>
        <v>-86.699999999999989</v>
      </c>
      <c r="F4">
        <f t="shared" si="3"/>
        <v>-228.39999999999998</v>
      </c>
      <c r="G4">
        <f t="shared" si="4"/>
        <v>19802.279999999995</v>
      </c>
      <c r="H4">
        <f t="shared" si="5"/>
        <v>7516.8899999999976</v>
      </c>
      <c r="I4">
        <f t="shared" si="6"/>
        <v>52166.55999999999</v>
      </c>
      <c r="K4" s="107" t="s">
        <v>72</v>
      </c>
      <c r="L4" s="108">
        <f>SUM(G2:G100)</f>
        <v>2079632.1999999997</v>
      </c>
    </row>
    <row r="5" spans="1:22" x14ac:dyDescent="0.35">
      <c r="A5">
        <v>65</v>
      </c>
      <c r="B5">
        <v>91</v>
      </c>
      <c r="C5">
        <f t="shared" si="0"/>
        <v>4225</v>
      </c>
      <c r="D5">
        <f t="shared" si="1"/>
        <v>8281</v>
      </c>
      <c r="E5">
        <f t="shared" si="2"/>
        <v>-86.699999999999989</v>
      </c>
      <c r="F5">
        <f t="shared" si="3"/>
        <v>-222.39999999999998</v>
      </c>
      <c r="G5">
        <f t="shared" si="4"/>
        <v>19282.079999999994</v>
      </c>
      <c r="H5">
        <f t="shared" si="5"/>
        <v>7516.8899999999976</v>
      </c>
      <c r="I5">
        <f t="shared" si="6"/>
        <v>49461.759999999987</v>
      </c>
      <c r="K5" s="107" t="s">
        <v>73</v>
      </c>
      <c r="L5" s="108">
        <f>SUM(H2:H100)</f>
        <v>867604.09999999986</v>
      </c>
    </row>
    <row r="6" spans="1:22" ht="15" thickBot="1" x14ac:dyDescent="0.4">
      <c r="A6">
        <v>50</v>
      </c>
      <c r="B6">
        <v>75</v>
      </c>
      <c r="C6">
        <f t="shared" si="0"/>
        <v>2500</v>
      </c>
      <c r="D6">
        <f t="shared" si="1"/>
        <v>5625</v>
      </c>
      <c r="E6">
        <f t="shared" si="2"/>
        <v>-101.69999999999999</v>
      </c>
      <c r="F6">
        <f t="shared" si="3"/>
        <v>-238.39999999999998</v>
      </c>
      <c r="G6">
        <f t="shared" si="4"/>
        <v>24245.279999999995</v>
      </c>
      <c r="H6">
        <f t="shared" si="5"/>
        <v>10342.889999999998</v>
      </c>
      <c r="I6">
        <f t="shared" si="6"/>
        <v>56834.55999999999</v>
      </c>
      <c r="K6" s="54" t="s">
        <v>74</v>
      </c>
      <c r="L6" s="55">
        <f>SUM(I2:I100)</f>
        <v>4987934.3999999994</v>
      </c>
    </row>
    <row r="7" spans="1:22" x14ac:dyDescent="0.35">
      <c r="A7">
        <v>25</v>
      </c>
      <c r="B7">
        <v>28</v>
      </c>
      <c r="C7">
        <f t="shared" si="0"/>
        <v>625</v>
      </c>
      <c r="D7">
        <f t="shared" si="1"/>
        <v>784</v>
      </c>
      <c r="E7">
        <f t="shared" si="2"/>
        <v>-126.69999999999999</v>
      </c>
      <c r="F7">
        <f t="shared" si="3"/>
        <v>-285.39999999999998</v>
      </c>
      <c r="G7">
        <f t="shared" si="4"/>
        <v>36160.179999999993</v>
      </c>
      <c r="H7">
        <f t="shared" si="5"/>
        <v>16052.889999999998</v>
      </c>
      <c r="I7">
        <f t="shared" si="6"/>
        <v>81453.159999999989</v>
      </c>
    </row>
    <row r="8" spans="1:22" x14ac:dyDescent="0.35">
      <c r="A8">
        <v>87</v>
      </c>
      <c r="B8">
        <v>122</v>
      </c>
      <c r="C8">
        <f t="shared" si="0"/>
        <v>7569</v>
      </c>
      <c r="D8">
        <f t="shared" si="1"/>
        <v>14884</v>
      </c>
      <c r="E8">
        <f t="shared" si="2"/>
        <v>-64.699999999999989</v>
      </c>
      <c r="F8">
        <f t="shared" si="3"/>
        <v>-191.39999999999998</v>
      </c>
      <c r="G8">
        <f t="shared" si="4"/>
        <v>12383.579999999996</v>
      </c>
      <c r="H8">
        <f t="shared" si="5"/>
        <v>4186.0899999999983</v>
      </c>
      <c r="I8">
        <f t="shared" si="6"/>
        <v>36633.959999999992</v>
      </c>
    </row>
    <row r="9" spans="1:22" x14ac:dyDescent="0.35">
      <c r="A9">
        <v>44</v>
      </c>
      <c r="B9">
        <v>66</v>
      </c>
      <c r="C9">
        <f t="shared" si="0"/>
        <v>1936</v>
      </c>
      <c r="D9">
        <f t="shared" si="1"/>
        <v>4356</v>
      </c>
      <c r="E9">
        <f t="shared" si="2"/>
        <v>-107.69999999999999</v>
      </c>
      <c r="F9">
        <f t="shared" si="3"/>
        <v>-247.39999999999998</v>
      </c>
      <c r="G9">
        <f t="shared" si="4"/>
        <v>26644.979999999996</v>
      </c>
      <c r="H9">
        <f t="shared" si="5"/>
        <v>11599.289999999997</v>
      </c>
      <c r="I9">
        <f t="shared" si="6"/>
        <v>61206.759999999987</v>
      </c>
      <c r="K9" s="9" t="s">
        <v>571</v>
      </c>
      <c r="L9" s="9">
        <f>L4/SQRT(L5*L6)</f>
        <v>0.99969004829587971</v>
      </c>
    </row>
    <row r="10" spans="1:22" x14ac:dyDescent="0.35">
      <c r="A10">
        <v>35</v>
      </c>
      <c r="B10">
        <v>58</v>
      </c>
      <c r="C10">
        <f t="shared" si="0"/>
        <v>1225</v>
      </c>
      <c r="D10">
        <f t="shared" si="1"/>
        <v>3364</v>
      </c>
      <c r="E10">
        <f t="shared" si="2"/>
        <v>-116.69999999999999</v>
      </c>
      <c r="F10">
        <f t="shared" si="3"/>
        <v>-255.39999999999998</v>
      </c>
      <c r="G10">
        <f t="shared" si="4"/>
        <v>29805.179999999993</v>
      </c>
      <c r="H10">
        <f t="shared" si="5"/>
        <v>13618.889999999998</v>
      </c>
      <c r="I10">
        <f t="shared" si="6"/>
        <v>65229.159999999989</v>
      </c>
    </row>
    <row r="11" spans="1:22" x14ac:dyDescent="0.35">
      <c r="A11" s="3">
        <f>SUM('Spearman''s'!B2:B13)</f>
        <v>1034</v>
      </c>
      <c r="B11" s="3">
        <f>SUM('Spearman''s'!C2:C13)</f>
        <v>2431</v>
      </c>
      <c r="C11">
        <f t="shared" si="0"/>
        <v>1069156</v>
      </c>
      <c r="D11">
        <f t="shared" si="1"/>
        <v>5909761</v>
      </c>
      <c r="E11">
        <f t="shared" si="2"/>
        <v>882.3</v>
      </c>
      <c r="F11">
        <f t="shared" si="3"/>
        <v>2117.6</v>
      </c>
      <c r="G11">
        <f t="shared" si="4"/>
        <v>1868358.4799999997</v>
      </c>
      <c r="H11">
        <f t="shared" si="5"/>
        <v>778453.28999999992</v>
      </c>
      <c r="I11">
        <f t="shared" si="6"/>
        <v>4484229.76</v>
      </c>
    </row>
    <row r="15" spans="1:22" x14ac:dyDescent="0.35">
      <c r="A15" s="3"/>
    </row>
  </sheetData>
  <conditionalFormatting sqref="C1:D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A1AA-73CD-43C5-B998-1EB7E85BC559}">
  <dimension ref="A1:AC214"/>
  <sheetViews>
    <sheetView topLeftCell="N1" zoomScale="77" zoomScaleNormal="77" workbookViewId="0">
      <selection activeCell="Y44" sqref="Y44"/>
    </sheetView>
  </sheetViews>
  <sheetFormatPr defaultRowHeight="14.5" x14ac:dyDescent="0.35"/>
  <cols>
    <col min="22" max="22" width="10.1796875" customWidth="1"/>
  </cols>
  <sheetData>
    <row r="1" spans="1:29" x14ac:dyDescent="0.35">
      <c r="A1" s="172" t="s">
        <v>41</v>
      </c>
      <c r="B1" s="172"/>
      <c r="C1" s="172"/>
      <c r="D1" s="172"/>
      <c r="E1" s="172"/>
      <c r="F1" s="172"/>
      <c r="G1" s="172"/>
      <c r="H1" s="172"/>
      <c r="I1" s="172"/>
      <c r="P1" s="9"/>
    </row>
    <row r="2" spans="1:29" x14ac:dyDescent="0.35">
      <c r="A2" s="172"/>
      <c r="B2" s="172"/>
      <c r="C2" s="172"/>
      <c r="D2" s="172"/>
      <c r="E2" s="172"/>
      <c r="F2" s="172"/>
      <c r="G2" s="172"/>
      <c r="H2" s="172"/>
      <c r="I2" s="172"/>
      <c r="P2" s="9"/>
      <c r="V2" s="166"/>
      <c r="W2" s="166"/>
      <c r="X2" s="166"/>
      <c r="Y2" s="166"/>
      <c r="Z2" s="166"/>
      <c r="AA2" s="166"/>
      <c r="AB2" s="166"/>
      <c r="AC2" s="166"/>
    </row>
    <row r="3" spans="1:29" x14ac:dyDescent="0.35">
      <c r="A3" s="172"/>
      <c r="B3" s="172"/>
      <c r="C3" s="172"/>
      <c r="D3" s="172"/>
      <c r="E3" s="172"/>
      <c r="F3" s="172"/>
      <c r="G3" s="172"/>
      <c r="H3" s="172"/>
      <c r="I3" s="172"/>
      <c r="P3" s="9"/>
      <c r="Q3" s="161" t="s">
        <v>46</v>
      </c>
      <c r="R3" s="161"/>
      <c r="S3" s="161"/>
      <c r="T3" s="161"/>
      <c r="U3" s="161"/>
      <c r="V3" s="166"/>
      <c r="W3" s="166"/>
      <c r="X3" s="166"/>
      <c r="Y3" s="166"/>
      <c r="Z3" s="166"/>
      <c r="AA3" s="166"/>
      <c r="AB3" s="166"/>
      <c r="AC3" s="166"/>
    </row>
    <row r="4" spans="1:29" x14ac:dyDescent="0.35">
      <c r="A4" s="172"/>
      <c r="B4" s="172"/>
      <c r="C4" s="172"/>
      <c r="D4" s="172"/>
      <c r="E4" s="172"/>
      <c r="F4" s="172"/>
      <c r="G4" s="172"/>
      <c r="H4" s="172"/>
      <c r="I4" s="172"/>
      <c r="P4" s="9"/>
      <c r="V4" s="166"/>
      <c r="W4" s="166"/>
      <c r="X4" s="166"/>
      <c r="Y4" s="166"/>
      <c r="Z4" s="166"/>
      <c r="AA4" s="166"/>
      <c r="AB4" s="166"/>
      <c r="AC4" s="166"/>
    </row>
    <row r="5" spans="1:29" x14ac:dyDescent="0.35">
      <c r="A5" s="172"/>
      <c r="B5" s="172"/>
      <c r="C5" s="172"/>
      <c r="D5" s="172"/>
      <c r="E5" s="172"/>
      <c r="F5" s="172"/>
      <c r="G5" s="172"/>
      <c r="H5" s="172"/>
      <c r="I5" s="172"/>
      <c r="P5" s="9"/>
      <c r="V5" s="166"/>
      <c r="W5" s="166"/>
      <c r="X5" s="166"/>
      <c r="Y5" s="166"/>
      <c r="Z5" s="166"/>
      <c r="AA5" s="166"/>
      <c r="AB5" s="166"/>
      <c r="AC5" s="166"/>
    </row>
    <row r="6" spans="1:29" x14ac:dyDescent="0.35">
      <c r="A6" s="172"/>
      <c r="B6" s="172"/>
      <c r="C6" s="172"/>
      <c r="D6" s="172"/>
      <c r="E6" s="172"/>
      <c r="F6" s="172"/>
      <c r="G6" s="172"/>
      <c r="H6" s="172"/>
      <c r="I6" s="172"/>
      <c r="P6" s="9"/>
      <c r="V6" s="166"/>
      <c r="W6" s="166"/>
      <c r="X6" s="166"/>
      <c r="Y6" s="166"/>
      <c r="Z6" s="166"/>
      <c r="AA6" s="166"/>
      <c r="AB6" s="166"/>
      <c r="AC6" s="166"/>
    </row>
    <row r="7" spans="1:29" x14ac:dyDescent="0.35">
      <c r="A7" s="172"/>
      <c r="B7" s="172"/>
      <c r="C7" s="172"/>
      <c r="D7" s="172"/>
      <c r="E7" s="172"/>
      <c r="F7" s="172"/>
      <c r="G7" s="172"/>
      <c r="H7" s="172"/>
      <c r="I7" s="172"/>
      <c r="P7" s="9"/>
      <c r="V7" s="166"/>
      <c r="W7" s="166"/>
      <c r="X7" s="166"/>
      <c r="Y7" s="166"/>
      <c r="Z7" s="166"/>
      <c r="AA7" s="166"/>
      <c r="AB7" s="166"/>
      <c r="AC7" s="166"/>
    </row>
    <row r="8" spans="1:29" x14ac:dyDescent="0.35">
      <c r="A8" s="172"/>
      <c r="B8" s="172"/>
      <c r="C8" s="172"/>
      <c r="D8" s="172"/>
      <c r="E8" s="172"/>
      <c r="F8" s="172"/>
      <c r="G8" s="172"/>
      <c r="H8" s="172"/>
      <c r="I8" s="172"/>
      <c r="P8" s="9"/>
      <c r="V8" s="166"/>
      <c r="W8" s="166"/>
      <c r="X8" s="166"/>
      <c r="Y8" s="166"/>
      <c r="Z8" s="166"/>
      <c r="AA8" s="166"/>
      <c r="AB8" s="166"/>
      <c r="AC8" s="166"/>
    </row>
    <row r="9" spans="1:29" x14ac:dyDescent="0.35">
      <c r="A9" s="172"/>
      <c r="B9" s="172"/>
      <c r="C9" s="172"/>
      <c r="D9" s="172"/>
      <c r="E9" s="172"/>
      <c r="F9" s="172"/>
      <c r="G9" s="172"/>
      <c r="H9" s="172"/>
      <c r="I9" s="172"/>
      <c r="P9" s="9"/>
      <c r="V9" s="166"/>
      <c r="W9" s="166"/>
      <c r="X9" s="166"/>
      <c r="Y9" s="166"/>
      <c r="Z9" s="166"/>
      <c r="AA9" s="166"/>
      <c r="AB9" s="166"/>
      <c r="AC9" s="166"/>
    </row>
    <row r="10" spans="1:29" x14ac:dyDescent="0.35">
      <c r="A10" s="172"/>
      <c r="B10" s="172"/>
      <c r="C10" s="172"/>
      <c r="D10" s="172"/>
      <c r="E10" s="172"/>
      <c r="F10" s="172"/>
      <c r="G10" s="172"/>
      <c r="H10" s="172"/>
      <c r="I10" s="172"/>
      <c r="P10" s="9"/>
      <c r="V10" s="166"/>
      <c r="W10" s="166"/>
      <c r="X10" s="166"/>
      <c r="Y10" s="166"/>
      <c r="Z10" s="166"/>
      <c r="AA10" s="166"/>
      <c r="AB10" s="166"/>
      <c r="AC10" s="166"/>
    </row>
    <row r="11" spans="1:29" x14ac:dyDescent="0.35">
      <c r="A11" s="172"/>
      <c r="B11" s="172"/>
      <c r="C11" s="172"/>
      <c r="D11" s="172"/>
      <c r="E11" s="172"/>
      <c r="F11" s="172"/>
      <c r="G11" s="172"/>
      <c r="H11" s="172"/>
      <c r="I11" s="172"/>
      <c r="P11" s="9"/>
      <c r="V11" s="166"/>
      <c r="W11" s="166"/>
      <c r="X11" s="166"/>
      <c r="Y11" s="166"/>
      <c r="Z11" s="166"/>
      <c r="AA11" s="166"/>
      <c r="AB11" s="166"/>
      <c r="AC11" s="166"/>
    </row>
    <row r="12" spans="1:29" x14ac:dyDescent="0.35">
      <c r="A12" s="172"/>
      <c r="B12" s="172"/>
      <c r="C12" s="172"/>
      <c r="D12" s="172"/>
      <c r="E12" s="172"/>
      <c r="F12" s="172"/>
      <c r="G12" s="172"/>
      <c r="H12" s="172"/>
      <c r="I12" s="172"/>
      <c r="P12" s="9"/>
      <c r="V12" s="166"/>
      <c r="W12" s="166"/>
      <c r="X12" s="166"/>
      <c r="Y12" s="166"/>
      <c r="Z12" s="166"/>
      <c r="AA12" s="166"/>
      <c r="AB12" s="166"/>
      <c r="AC12" s="166"/>
    </row>
    <row r="13" spans="1:29" x14ac:dyDescent="0.35">
      <c r="A13" s="172"/>
      <c r="B13" s="172"/>
      <c r="C13" s="172"/>
      <c r="D13" s="172"/>
      <c r="E13" s="172"/>
      <c r="F13" s="172"/>
      <c r="G13" s="172"/>
      <c r="H13" s="172"/>
      <c r="I13" s="172"/>
      <c r="P13" s="9"/>
      <c r="V13" s="166"/>
      <c r="W13" s="166"/>
      <c r="X13" s="166"/>
      <c r="Y13" s="166"/>
      <c r="Z13" s="166"/>
      <c r="AA13" s="166"/>
      <c r="AB13" s="166"/>
      <c r="AC13" s="166"/>
    </row>
    <row r="14" spans="1:29" x14ac:dyDescent="0.35">
      <c r="A14" s="172"/>
      <c r="B14" s="172"/>
      <c r="C14" s="172"/>
      <c r="D14" s="172"/>
      <c r="E14" s="172"/>
      <c r="F14" s="172"/>
      <c r="G14" s="172"/>
      <c r="H14" s="172"/>
      <c r="I14" s="172"/>
      <c r="P14" s="9"/>
      <c r="V14" s="166"/>
      <c r="W14" s="166"/>
      <c r="X14" s="166"/>
      <c r="Y14" s="166"/>
      <c r="Z14" s="166"/>
      <c r="AA14" s="166"/>
      <c r="AB14" s="166"/>
      <c r="AC14" s="166"/>
    </row>
    <row r="15" spans="1:29" x14ac:dyDescent="0.35">
      <c r="A15" s="172"/>
      <c r="B15" s="172"/>
      <c r="C15" s="172"/>
      <c r="D15" s="172"/>
      <c r="E15" s="172"/>
      <c r="F15" s="172"/>
      <c r="G15" s="172"/>
      <c r="H15" s="172"/>
      <c r="I15" s="172"/>
      <c r="P15" s="9"/>
      <c r="V15" s="166"/>
      <c r="W15" s="166"/>
      <c r="X15" s="166"/>
      <c r="Y15" s="166"/>
      <c r="Z15" s="166"/>
      <c r="AA15" s="166"/>
      <c r="AB15" s="166"/>
      <c r="AC15" s="166"/>
    </row>
    <row r="16" spans="1:29" x14ac:dyDescent="0.35">
      <c r="A16" s="172"/>
      <c r="B16" s="172"/>
      <c r="C16" s="172"/>
      <c r="D16" s="172"/>
      <c r="E16" s="172"/>
      <c r="F16" s="172"/>
      <c r="G16" s="172"/>
      <c r="H16" s="172"/>
      <c r="I16" s="172"/>
      <c r="P16" s="9"/>
      <c r="V16" s="166"/>
      <c r="W16" s="166"/>
      <c r="X16" s="166"/>
      <c r="Y16" s="166"/>
      <c r="Z16" s="166"/>
      <c r="AA16" s="166"/>
      <c r="AB16" s="166"/>
      <c r="AC16" s="166"/>
    </row>
    <row r="17" spans="2:29" x14ac:dyDescent="0.35">
      <c r="P17" s="9"/>
      <c r="V17" s="166"/>
      <c r="W17" s="166"/>
      <c r="X17" s="166"/>
      <c r="Y17" s="166"/>
      <c r="Z17" s="166"/>
      <c r="AA17" s="166"/>
      <c r="AB17" s="166"/>
      <c r="AC17" s="166"/>
    </row>
    <row r="18" spans="2:29" x14ac:dyDescent="0.35">
      <c r="P18" s="9"/>
      <c r="V18" s="166"/>
      <c r="W18" s="166"/>
      <c r="X18" s="166"/>
      <c r="Y18" s="166"/>
      <c r="Z18" s="166"/>
      <c r="AA18" s="166"/>
      <c r="AB18" s="166"/>
      <c r="AC18" s="166"/>
    </row>
    <row r="19" spans="2:29" ht="18.5" x14ac:dyDescent="0.45">
      <c r="B19" s="109" t="s">
        <v>25</v>
      </c>
      <c r="C19">
        <v>60</v>
      </c>
      <c r="F19" s="173"/>
      <c r="G19">
        <f>C19/C20-C21</f>
        <v>-5.0000000000000017E-2</v>
      </c>
      <c r="P19" s="9"/>
      <c r="T19" s="24"/>
      <c r="V19" s="166"/>
      <c r="W19" s="166"/>
      <c r="X19" s="166"/>
      <c r="Y19" s="166"/>
      <c r="Z19" s="166"/>
      <c r="AA19" s="166"/>
      <c r="AB19" s="166"/>
      <c r="AC19" s="166"/>
    </row>
    <row r="20" spans="2:29" ht="18.5" x14ac:dyDescent="0.45">
      <c r="B20" s="110" t="s">
        <v>42</v>
      </c>
      <c r="C20">
        <v>400</v>
      </c>
      <c r="F20" s="173"/>
      <c r="P20" s="9"/>
      <c r="V20" s="166"/>
      <c r="W20" s="166"/>
      <c r="X20" s="166"/>
      <c r="Y20" s="166"/>
      <c r="Z20" s="166"/>
      <c r="AA20" s="166"/>
      <c r="AB20" s="166"/>
      <c r="AC20" s="166"/>
    </row>
    <row r="21" spans="2:29" ht="18.5" x14ac:dyDescent="0.45">
      <c r="B21" s="111" t="s">
        <v>43</v>
      </c>
      <c r="C21">
        <v>0.2</v>
      </c>
      <c r="P21" s="9"/>
      <c r="V21" s="166"/>
      <c r="W21" s="166"/>
      <c r="X21" s="166"/>
      <c r="Y21" s="166"/>
      <c r="Z21" s="166"/>
      <c r="AA21" s="166"/>
      <c r="AB21" s="166"/>
      <c r="AC21" s="166"/>
    </row>
    <row r="22" spans="2:29" x14ac:dyDescent="0.35">
      <c r="F22" s="22" t="s">
        <v>45</v>
      </c>
      <c r="G22">
        <f>1-C21</f>
        <v>0.8</v>
      </c>
      <c r="P22" s="9"/>
      <c r="V22" s="166"/>
      <c r="W22" s="166"/>
      <c r="X22" s="166"/>
      <c r="Y22" s="166"/>
      <c r="Z22" s="166"/>
      <c r="AA22" s="166"/>
      <c r="AB22" s="166"/>
      <c r="AC22" s="166"/>
    </row>
    <row r="23" spans="2:29" x14ac:dyDescent="0.35">
      <c r="F23" s="22" t="s">
        <v>44</v>
      </c>
      <c r="G23">
        <f>G22*C21</f>
        <v>0.16000000000000003</v>
      </c>
      <c r="P23" s="9"/>
    </row>
    <row r="24" spans="2:29" ht="21" customHeight="1" x14ac:dyDescent="0.55000000000000004">
      <c r="F24" s="170"/>
      <c r="G24" s="170"/>
      <c r="P24" s="9"/>
      <c r="Q24" s="23" t="s">
        <v>48</v>
      </c>
      <c r="R24" s="113">
        <v>10</v>
      </c>
    </row>
    <row r="25" spans="2:29" ht="20.5" customHeight="1" x14ac:dyDescent="0.55000000000000004">
      <c r="F25" s="170"/>
      <c r="G25" s="170"/>
      <c r="P25" s="9"/>
      <c r="Q25" s="23" t="s">
        <v>49</v>
      </c>
      <c r="R25" s="114">
        <v>25</v>
      </c>
      <c r="V25" s="116" t="s">
        <v>577</v>
      </c>
      <c r="W25" s="112">
        <f>R24/R26</f>
        <v>0.1</v>
      </c>
    </row>
    <row r="26" spans="2:29" ht="24" x14ac:dyDescent="0.55000000000000004">
      <c r="F26" s="170"/>
      <c r="G26" s="170"/>
      <c r="H26">
        <f>SQRT(G23/C20)</f>
        <v>0.02</v>
      </c>
      <c r="P26" s="9"/>
      <c r="Q26" s="23" t="s">
        <v>50</v>
      </c>
      <c r="R26" s="113">
        <v>100</v>
      </c>
      <c r="S26" s="23" t="s">
        <v>574</v>
      </c>
      <c r="T26" s="112">
        <f>SUM(R24,R25)</f>
        <v>35</v>
      </c>
      <c r="V26" s="115" t="s">
        <v>576</v>
      </c>
      <c r="W26" s="112">
        <f>R25/R27</f>
        <v>0.125</v>
      </c>
    </row>
    <row r="27" spans="2:29" ht="20.5" x14ac:dyDescent="0.55000000000000004">
      <c r="F27" s="170"/>
      <c r="G27" s="170"/>
      <c r="P27" s="9"/>
      <c r="Q27" s="23" t="s">
        <v>51</v>
      </c>
      <c r="R27" s="113">
        <v>200</v>
      </c>
      <c r="S27" s="23" t="s">
        <v>575</v>
      </c>
      <c r="T27" s="112">
        <f>SUM(R26,R27)</f>
        <v>300</v>
      </c>
      <c r="V27" s="22"/>
    </row>
    <row r="28" spans="2:29" ht="18.5" x14ac:dyDescent="0.45">
      <c r="F28" s="170"/>
      <c r="G28" s="170"/>
      <c r="P28" s="9"/>
      <c r="Q28" s="23"/>
      <c r="R28" s="113"/>
      <c r="V28" s="167"/>
    </row>
    <row r="29" spans="2:29" ht="18.5" x14ac:dyDescent="0.45">
      <c r="F29" s="161"/>
      <c r="G29" s="161"/>
      <c r="P29" s="9"/>
      <c r="Q29" s="23"/>
      <c r="R29" s="113"/>
      <c r="V29" s="167"/>
      <c r="W29" s="38">
        <f>W25-W26</f>
        <v>-2.4999999999999994E-2</v>
      </c>
    </row>
    <row r="30" spans="2:29" ht="17.5" customHeight="1" thickBot="1" x14ac:dyDescent="0.5">
      <c r="F30" s="161"/>
      <c r="G30" s="161"/>
      <c r="H30" s="171">
        <f>G19/H26</f>
        <v>-2.5000000000000009</v>
      </c>
      <c r="P30" s="9"/>
      <c r="Q30" s="23" t="s">
        <v>47</v>
      </c>
      <c r="R30" s="113">
        <f>T26/T27</f>
        <v>0.11666666666666667</v>
      </c>
      <c r="V30" s="167"/>
    </row>
    <row r="31" spans="2:29" ht="16.5" x14ac:dyDescent="0.45">
      <c r="F31" s="161"/>
      <c r="G31" s="161"/>
      <c r="H31" s="171"/>
      <c r="P31" s="9"/>
      <c r="R31" s="22"/>
      <c r="V31" s="117" t="s">
        <v>53</v>
      </c>
      <c r="W31" s="113">
        <f>SUM(1-R30)</f>
        <v>0.8833333333333333</v>
      </c>
      <c r="Y31" s="52" t="s">
        <v>55</v>
      </c>
      <c r="Z31" s="53">
        <f>1/R26</f>
        <v>0.01</v>
      </c>
    </row>
    <row r="32" spans="2:29" ht="23.5" customHeight="1" thickBot="1" x14ac:dyDescent="0.5">
      <c r="F32" s="161"/>
      <c r="G32" s="161"/>
      <c r="P32" s="9"/>
      <c r="V32" s="117" t="s">
        <v>52</v>
      </c>
      <c r="W32" s="113">
        <f>W31*R30</f>
        <v>0.10305555555555555</v>
      </c>
      <c r="Y32" s="54" t="s">
        <v>54</v>
      </c>
      <c r="Z32" s="55">
        <f>1/R27</f>
        <v>5.0000000000000001E-3</v>
      </c>
    </row>
    <row r="33" spans="6:25" x14ac:dyDescent="0.35">
      <c r="F33" s="161"/>
      <c r="G33" s="161"/>
      <c r="P33" s="9"/>
    </row>
    <row r="34" spans="6:25" ht="15" thickBot="1" x14ac:dyDescent="0.4">
      <c r="P34" s="9"/>
    </row>
    <row r="35" spans="6:25" ht="17" thickBot="1" x14ac:dyDescent="0.5">
      <c r="P35" s="9"/>
      <c r="V35" s="168" t="s">
        <v>56</v>
      </c>
      <c r="W35" s="169"/>
      <c r="X35" s="118">
        <f>SUM(Z31,Z32)</f>
        <v>1.4999999999999999E-2</v>
      </c>
    </row>
    <row r="36" spans="6:25" x14ac:dyDescent="0.35">
      <c r="P36" s="9"/>
      <c r="V36" s="161"/>
      <c r="W36" s="161"/>
    </row>
    <row r="37" spans="6:25" x14ac:dyDescent="0.35">
      <c r="P37" s="9"/>
      <c r="V37" s="161"/>
      <c r="W37" s="161"/>
    </row>
    <row r="38" spans="6:25" ht="18.5" x14ac:dyDescent="0.45">
      <c r="P38" s="9"/>
      <c r="V38" s="161"/>
      <c r="W38" s="161"/>
      <c r="X38" s="119">
        <f>SQRT(W32*X35)</f>
        <v>3.9317087040284832E-2</v>
      </c>
    </row>
    <row r="39" spans="6:25" x14ac:dyDescent="0.35">
      <c r="P39" s="9"/>
    </row>
    <row r="40" spans="6:25" x14ac:dyDescent="0.35">
      <c r="P40" s="9"/>
    </row>
    <row r="41" spans="6:25" x14ac:dyDescent="0.35">
      <c r="P41" s="9"/>
      <c r="V41" s="165"/>
      <c r="W41" s="165"/>
    </row>
    <row r="42" spans="6:25" x14ac:dyDescent="0.35">
      <c r="P42" s="9"/>
      <c r="V42" s="165"/>
      <c r="W42" s="165"/>
    </row>
    <row r="43" spans="6:25" x14ac:dyDescent="0.35">
      <c r="P43" s="9"/>
      <c r="V43" s="165"/>
      <c r="W43" s="165"/>
    </row>
    <row r="44" spans="6:25" ht="15.5" x14ac:dyDescent="0.35">
      <c r="P44" s="9"/>
      <c r="V44" s="165"/>
      <c r="W44" s="165"/>
      <c r="X44" s="25" t="s">
        <v>57</v>
      </c>
      <c r="Y44" s="120">
        <f>W29/X38</f>
        <v>-0.63585585509894582</v>
      </c>
    </row>
    <row r="45" spans="6:25" x14ac:dyDescent="0.35">
      <c r="P45" s="9"/>
      <c r="V45" s="165"/>
      <c r="W45" s="165"/>
    </row>
    <row r="46" spans="6:25" x14ac:dyDescent="0.35">
      <c r="P46" s="9"/>
      <c r="V46" s="165"/>
      <c r="W46" s="165"/>
    </row>
    <row r="47" spans="6:25" x14ac:dyDescent="0.35">
      <c r="P47" s="9"/>
      <c r="V47" s="165"/>
      <c r="W47" s="165"/>
    </row>
    <row r="48" spans="6:25" x14ac:dyDescent="0.35">
      <c r="P48" s="9"/>
    </row>
    <row r="49" spans="16:16" x14ac:dyDescent="0.35">
      <c r="P49" s="9"/>
    </row>
    <row r="50" spans="16:16" x14ac:dyDescent="0.35">
      <c r="P50" s="9"/>
    </row>
    <row r="51" spans="16:16" x14ac:dyDescent="0.35">
      <c r="P51" s="9"/>
    </row>
    <row r="52" spans="16:16" x14ac:dyDescent="0.35">
      <c r="P52" s="9"/>
    </row>
    <row r="53" spans="16:16" x14ac:dyDescent="0.35">
      <c r="P53" s="9"/>
    </row>
    <row r="54" spans="16:16" x14ac:dyDescent="0.35">
      <c r="P54" s="9"/>
    </row>
    <row r="55" spans="16:16" x14ac:dyDescent="0.35">
      <c r="P55" s="9"/>
    </row>
    <row r="56" spans="16:16" x14ac:dyDescent="0.35">
      <c r="P56" s="9"/>
    </row>
    <row r="57" spans="16:16" x14ac:dyDescent="0.35">
      <c r="P57" s="9"/>
    </row>
    <row r="58" spans="16:16" x14ac:dyDescent="0.35">
      <c r="P58" s="9"/>
    </row>
    <row r="59" spans="16:16" x14ac:dyDescent="0.35">
      <c r="P59" s="9"/>
    </row>
    <row r="60" spans="16:16" x14ac:dyDescent="0.35">
      <c r="P60" s="9"/>
    </row>
    <row r="61" spans="16:16" x14ac:dyDescent="0.35">
      <c r="P61" s="9"/>
    </row>
    <row r="62" spans="16:16" x14ac:dyDescent="0.35">
      <c r="P62" s="9"/>
    </row>
    <row r="63" spans="16:16" x14ac:dyDescent="0.35">
      <c r="P63" s="9"/>
    </row>
    <row r="64" spans="16:16" x14ac:dyDescent="0.35">
      <c r="P64" s="9"/>
    </row>
    <row r="65" spans="16:16" x14ac:dyDescent="0.35">
      <c r="P65" s="9"/>
    </row>
    <row r="66" spans="16:16" x14ac:dyDescent="0.35">
      <c r="P66" s="9"/>
    </row>
    <row r="67" spans="16:16" x14ac:dyDescent="0.35">
      <c r="P67" s="9"/>
    </row>
    <row r="68" spans="16:16" x14ac:dyDescent="0.35">
      <c r="P68" s="9"/>
    </row>
    <row r="69" spans="16:16" x14ac:dyDescent="0.35">
      <c r="P69" s="9"/>
    </row>
    <row r="70" spans="16:16" x14ac:dyDescent="0.35">
      <c r="P70" s="9"/>
    </row>
    <row r="71" spans="16:16" x14ac:dyDescent="0.35">
      <c r="P71" s="9"/>
    </row>
    <row r="72" spans="16:16" x14ac:dyDescent="0.35">
      <c r="P72" s="9"/>
    </row>
    <row r="73" spans="16:16" x14ac:dyDescent="0.35">
      <c r="P73" s="9"/>
    </row>
    <row r="74" spans="16:16" x14ac:dyDescent="0.35">
      <c r="P74" s="9"/>
    </row>
    <row r="75" spans="16:16" x14ac:dyDescent="0.35">
      <c r="P75" s="9"/>
    </row>
    <row r="76" spans="16:16" x14ac:dyDescent="0.35">
      <c r="P76" s="9"/>
    </row>
    <row r="77" spans="16:16" x14ac:dyDescent="0.35">
      <c r="P77" s="9"/>
    </row>
    <row r="78" spans="16:16" x14ac:dyDescent="0.35">
      <c r="P78" s="9"/>
    </row>
    <row r="79" spans="16:16" x14ac:dyDescent="0.35">
      <c r="P79" s="9"/>
    </row>
    <row r="80" spans="16:16" x14ac:dyDescent="0.35">
      <c r="P80" s="9"/>
    </row>
    <row r="81" spans="16:16" x14ac:dyDescent="0.35">
      <c r="P81" s="9"/>
    </row>
    <row r="82" spans="16:16" x14ac:dyDescent="0.35">
      <c r="P82" s="9"/>
    </row>
    <row r="83" spans="16:16" x14ac:dyDescent="0.35">
      <c r="P83" s="9"/>
    </row>
    <row r="84" spans="16:16" x14ac:dyDescent="0.35">
      <c r="P84" s="9"/>
    </row>
    <row r="85" spans="16:16" x14ac:dyDescent="0.35">
      <c r="P85" s="9"/>
    </row>
    <row r="86" spans="16:16" x14ac:dyDescent="0.35">
      <c r="P86" s="9"/>
    </row>
    <row r="87" spans="16:16" x14ac:dyDescent="0.35">
      <c r="P87" s="9"/>
    </row>
    <row r="88" spans="16:16" x14ac:dyDescent="0.35">
      <c r="P88" s="9"/>
    </row>
    <row r="89" spans="16:16" x14ac:dyDescent="0.35">
      <c r="P89" s="9"/>
    </row>
    <row r="90" spans="16:16" x14ac:dyDescent="0.35">
      <c r="P90" s="9"/>
    </row>
    <row r="91" spans="16:16" x14ac:dyDescent="0.35">
      <c r="P91" s="9"/>
    </row>
    <row r="92" spans="16:16" x14ac:dyDescent="0.35">
      <c r="P92" s="9"/>
    </row>
    <row r="93" spans="16:16" x14ac:dyDescent="0.35">
      <c r="P93" s="9"/>
    </row>
    <row r="94" spans="16:16" x14ac:dyDescent="0.35">
      <c r="P94" s="9"/>
    </row>
    <row r="95" spans="16:16" x14ac:dyDescent="0.35">
      <c r="P95" s="9"/>
    </row>
    <row r="96" spans="16:16" x14ac:dyDescent="0.35">
      <c r="P96" s="9"/>
    </row>
    <row r="97" spans="16:16" x14ac:dyDescent="0.35">
      <c r="P97" s="9"/>
    </row>
    <row r="98" spans="16:16" x14ac:dyDescent="0.35">
      <c r="P98" s="9"/>
    </row>
    <row r="99" spans="16:16" x14ac:dyDescent="0.35">
      <c r="P99" s="9"/>
    </row>
    <row r="100" spans="16:16" x14ac:dyDescent="0.35">
      <c r="P100" s="9"/>
    </row>
    <row r="101" spans="16:16" x14ac:dyDescent="0.35">
      <c r="P101" s="9"/>
    </row>
    <row r="102" spans="16:16" x14ac:dyDescent="0.35">
      <c r="P102" s="9"/>
    </row>
    <row r="103" spans="16:16" x14ac:dyDescent="0.35">
      <c r="P103" s="9"/>
    </row>
    <row r="104" spans="16:16" x14ac:dyDescent="0.35">
      <c r="P104" s="9"/>
    </row>
    <row r="105" spans="16:16" x14ac:dyDescent="0.35">
      <c r="P105" s="9"/>
    </row>
    <row r="106" spans="16:16" x14ac:dyDescent="0.35">
      <c r="P106" s="9"/>
    </row>
    <row r="107" spans="16:16" x14ac:dyDescent="0.35">
      <c r="P107" s="9"/>
    </row>
    <row r="108" spans="16:16" x14ac:dyDescent="0.35">
      <c r="P108" s="9"/>
    </row>
    <row r="109" spans="16:16" x14ac:dyDescent="0.35">
      <c r="P109" s="9"/>
    </row>
    <row r="110" spans="16:16" x14ac:dyDescent="0.35">
      <c r="P110" s="9"/>
    </row>
    <row r="111" spans="16:16" x14ac:dyDescent="0.35">
      <c r="P111" s="9"/>
    </row>
    <row r="112" spans="16:16" x14ac:dyDescent="0.35">
      <c r="P112" s="9"/>
    </row>
    <row r="113" spans="16:16" x14ac:dyDescent="0.35">
      <c r="P113" s="9"/>
    </row>
    <row r="114" spans="16:16" x14ac:dyDescent="0.35">
      <c r="P114" s="9"/>
    </row>
    <row r="115" spans="16:16" x14ac:dyDescent="0.35">
      <c r="P115" s="9"/>
    </row>
    <row r="116" spans="16:16" x14ac:dyDescent="0.35">
      <c r="P116" s="9"/>
    </row>
    <row r="117" spans="16:16" x14ac:dyDescent="0.35">
      <c r="P117" s="9"/>
    </row>
    <row r="118" spans="16:16" x14ac:dyDescent="0.35">
      <c r="P118" s="9"/>
    </row>
    <row r="119" spans="16:16" x14ac:dyDescent="0.35">
      <c r="P119" s="9"/>
    </row>
    <row r="120" spans="16:16" x14ac:dyDescent="0.35">
      <c r="P120" s="9"/>
    </row>
    <row r="121" spans="16:16" x14ac:dyDescent="0.35">
      <c r="P121" s="9"/>
    </row>
    <row r="122" spans="16:16" x14ac:dyDescent="0.35">
      <c r="P122" s="9"/>
    </row>
    <row r="123" spans="16:16" x14ac:dyDescent="0.35">
      <c r="P123" s="9"/>
    </row>
    <row r="124" spans="16:16" x14ac:dyDescent="0.35">
      <c r="P124" s="9"/>
    </row>
    <row r="125" spans="16:16" x14ac:dyDescent="0.35">
      <c r="P125" s="9"/>
    </row>
    <row r="126" spans="16:16" x14ac:dyDescent="0.35">
      <c r="P126" s="9"/>
    </row>
    <row r="127" spans="16:16" x14ac:dyDescent="0.35">
      <c r="P127" s="9"/>
    </row>
    <row r="128" spans="16:16" x14ac:dyDescent="0.35">
      <c r="P128" s="9"/>
    </row>
    <row r="129" spans="16:16" x14ac:dyDescent="0.35">
      <c r="P129" s="9"/>
    </row>
    <row r="130" spans="16:16" x14ac:dyDescent="0.35">
      <c r="P130" s="9"/>
    </row>
    <row r="131" spans="16:16" x14ac:dyDescent="0.35">
      <c r="P131" s="9"/>
    </row>
    <row r="132" spans="16:16" x14ac:dyDescent="0.35">
      <c r="P132" s="9"/>
    </row>
    <row r="133" spans="16:16" x14ac:dyDescent="0.35">
      <c r="P133" s="9"/>
    </row>
    <row r="134" spans="16:16" x14ac:dyDescent="0.35">
      <c r="P134" s="9"/>
    </row>
    <row r="135" spans="16:16" x14ac:dyDescent="0.35">
      <c r="P135" s="9"/>
    </row>
    <row r="136" spans="16:16" x14ac:dyDescent="0.35">
      <c r="P136" s="9"/>
    </row>
    <row r="137" spans="16:16" x14ac:dyDescent="0.35">
      <c r="P137" s="9"/>
    </row>
    <row r="138" spans="16:16" x14ac:dyDescent="0.35">
      <c r="P138" s="9"/>
    </row>
    <row r="139" spans="16:16" x14ac:dyDescent="0.35">
      <c r="P139" s="9"/>
    </row>
    <row r="140" spans="16:16" x14ac:dyDescent="0.35">
      <c r="P140" s="9"/>
    </row>
    <row r="141" spans="16:16" x14ac:dyDescent="0.35">
      <c r="P141" s="9"/>
    </row>
    <row r="142" spans="16:16" x14ac:dyDescent="0.35">
      <c r="P142" s="9"/>
    </row>
    <row r="143" spans="16:16" x14ac:dyDescent="0.35">
      <c r="P143" s="9"/>
    </row>
    <row r="144" spans="16:16" x14ac:dyDescent="0.35">
      <c r="P144" s="9"/>
    </row>
    <row r="145" spans="16:16" x14ac:dyDescent="0.35">
      <c r="P145" s="9"/>
    </row>
    <row r="146" spans="16:16" x14ac:dyDescent="0.35">
      <c r="P146" s="9"/>
    </row>
    <row r="147" spans="16:16" x14ac:dyDescent="0.35">
      <c r="P147" s="9"/>
    </row>
    <row r="148" spans="16:16" x14ac:dyDescent="0.35">
      <c r="P148" s="9"/>
    </row>
    <row r="149" spans="16:16" x14ac:dyDescent="0.35">
      <c r="P149" s="9"/>
    </row>
    <row r="150" spans="16:16" x14ac:dyDescent="0.35">
      <c r="P150" s="9"/>
    </row>
    <row r="151" spans="16:16" x14ac:dyDescent="0.35">
      <c r="P151" s="9"/>
    </row>
    <row r="152" spans="16:16" x14ac:dyDescent="0.35">
      <c r="P152" s="9"/>
    </row>
    <row r="153" spans="16:16" x14ac:dyDescent="0.35">
      <c r="P153" s="9"/>
    </row>
    <row r="154" spans="16:16" x14ac:dyDescent="0.35">
      <c r="P154" s="9"/>
    </row>
    <row r="155" spans="16:16" x14ac:dyDescent="0.35">
      <c r="P155" s="9"/>
    </row>
    <row r="156" spans="16:16" x14ac:dyDescent="0.35">
      <c r="P156" s="9"/>
    </row>
    <row r="157" spans="16:16" x14ac:dyDescent="0.35">
      <c r="P157" s="9"/>
    </row>
    <row r="158" spans="16:16" x14ac:dyDescent="0.35">
      <c r="P158" s="9"/>
    </row>
    <row r="159" spans="16:16" x14ac:dyDescent="0.35">
      <c r="P159" s="9"/>
    </row>
    <row r="160" spans="16:16" x14ac:dyDescent="0.35">
      <c r="P160" s="9"/>
    </row>
    <row r="161" spans="16:16" x14ac:dyDescent="0.35">
      <c r="P161" s="9"/>
    </row>
    <row r="162" spans="16:16" x14ac:dyDescent="0.35">
      <c r="P162" s="9"/>
    </row>
    <row r="163" spans="16:16" x14ac:dyDescent="0.35">
      <c r="P163" s="9"/>
    </row>
    <row r="164" spans="16:16" x14ac:dyDescent="0.35">
      <c r="P164" s="9"/>
    </row>
    <row r="165" spans="16:16" x14ac:dyDescent="0.35">
      <c r="P165" s="9"/>
    </row>
    <row r="166" spans="16:16" x14ac:dyDescent="0.35">
      <c r="P166" s="9"/>
    </row>
    <row r="167" spans="16:16" x14ac:dyDescent="0.35">
      <c r="P167" s="9"/>
    </row>
    <row r="168" spans="16:16" x14ac:dyDescent="0.35">
      <c r="P168" s="9"/>
    </row>
    <row r="169" spans="16:16" x14ac:dyDescent="0.35">
      <c r="P169" s="9"/>
    </row>
    <row r="170" spans="16:16" x14ac:dyDescent="0.35">
      <c r="P170" s="9"/>
    </row>
    <row r="171" spans="16:16" x14ac:dyDescent="0.35">
      <c r="P171" s="9"/>
    </row>
    <row r="172" spans="16:16" x14ac:dyDescent="0.35">
      <c r="P172" s="9"/>
    </row>
    <row r="173" spans="16:16" x14ac:dyDescent="0.35">
      <c r="P173" s="9"/>
    </row>
    <row r="174" spans="16:16" x14ac:dyDescent="0.35">
      <c r="P174" s="9"/>
    </row>
    <row r="175" spans="16:16" x14ac:dyDescent="0.35">
      <c r="P175" s="9"/>
    </row>
    <row r="176" spans="16:16" x14ac:dyDescent="0.35">
      <c r="P176" s="9"/>
    </row>
    <row r="177" spans="16:16" x14ac:dyDescent="0.35">
      <c r="P177" s="9"/>
    </row>
    <row r="178" spans="16:16" x14ac:dyDescent="0.35">
      <c r="P178" s="9"/>
    </row>
    <row r="179" spans="16:16" x14ac:dyDescent="0.35">
      <c r="P179" s="9"/>
    </row>
    <row r="180" spans="16:16" x14ac:dyDescent="0.35">
      <c r="P180" s="9"/>
    </row>
    <row r="181" spans="16:16" x14ac:dyDescent="0.35">
      <c r="P181" s="9"/>
    </row>
    <row r="182" spans="16:16" x14ac:dyDescent="0.35">
      <c r="P182" s="9"/>
    </row>
    <row r="183" spans="16:16" x14ac:dyDescent="0.35">
      <c r="P183" s="9"/>
    </row>
    <row r="184" spans="16:16" x14ac:dyDescent="0.35">
      <c r="P184" s="9"/>
    </row>
    <row r="185" spans="16:16" x14ac:dyDescent="0.35">
      <c r="P185" s="9"/>
    </row>
    <row r="186" spans="16:16" x14ac:dyDescent="0.35">
      <c r="P186" s="9"/>
    </row>
    <row r="187" spans="16:16" x14ac:dyDescent="0.35">
      <c r="P187" s="9"/>
    </row>
    <row r="188" spans="16:16" x14ac:dyDescent="0.35">
      <c r="P188" s="9"/>
    </row>
    <row r="189" spans="16:16" x14ac:dyDescent="0.35">
      <c r="P189" s="9"/>
    </row>
    <row r="190" spans="16:16" x14ac:dyDescent="0.35">
      <c r="P190" s="9"/>
    </row>
    <row r="191" spans="16:16" x14ac:dyDescent="0.35">
      <c r="P191" s="9"/>
    </row>
    <row r="192" spans="16:16" x14ac:dyDescent="0.35">
      <c r="P192" s="9"/>
    </row>
    <row r="193" spans="16:16" x14ac:dyDescent="0.35">
      <c r="P193" s="9"/>
    </row>
    <row r="194" spans="16:16" x14ac:dyDescent="0.35">
      <c r="P194" s="9"/>
    </row>
    <row r="195" spans="16:16" x14ac:dyDescent="0.35">
      <c r="P195" s="9"/>
    </row>
    <row r="196" spans="16:16" x14ac:dyDescent="0.35">
      <c r="P196" s="9"/>
    </row>
    <row r="197" spans="16:16" x14ac:dyDescent="0.35">
      <c r="P197" s="9"/>
    </row>
    <row r="198" spans="16:16" x14ac:dyDescent="0.35">
      <c r="P198" s="9"/>
    </row>
    <row r="199" spans="16:16" x14ac:dyDescent="0.35">
      <c r="P199" s="9"/>
    </row>
    <row r="200" spans="16:16" x14ac:dyDescent="0.35">
      <c r="P200" s="9"/>
    </row>
    <row r="201" spans="16:16" x14ac:dyDescent="0.35">
      <c r="P201" s="9"/>
    </row>
    <row r="202" spans="16:16" x14ac:dyDescent="0.35">
      <c r="P202" s="9"/>
    </row>
    <row r="203" spans="16:16" x14ac:dyDescent="0.35">
      <c r="P203" s="9"/>
    </row>
    <row r="204" spans="16:16" x14ac:dyDescent="0.35">
      <c r="P204" s="9"/>
    </row>
    <row r="205" spans="16:16" x14ac:dyDescent="0.35">
      <c r="P205" s="9"/>
    </row>
    <row r="206" spans="16:16" x14ac:dyDescent="0.35">
      <c r="P206" s="9"/>
    </row>
    <row r="207" spans="16:16" x14ac:dyDescent="0.35">
      <c r="P207" s="9"/>
    </row>
    <row r="208" spans="16:16" x14ac:dyDescent="0.35">
      <c r="P208" s="9"/>
    </row>
    <row r="209" spans="16:16" x14ac:dyDescent="0.35">
      <c r="P209" s="9"/>
    </row>
    <row r="210" spans="16:16" x14ac:dyDescent="0.35">
      <c r="P210" s="9"/>
    </row>
    <row r="211" spans="16:16" x14ac:dyDescent="0.35">
      <c r="P211" s="9"/>
    </row>
    <row r="212" spans="16:16" x14ac:dyDescent="0.35">
      <c r="P212" s="9"/>
    </row>
    <row r="213" spans="16:16" x14ac:dyDescent="0.35">
      <c r="P213" s="9"/>
    </row>
    <row r="214" spans="16:16" x14ac:dyDescent="0.35">
      <c r="P214" s="9"/>
    </row>
  </sheetData>
  <mergeCells count="11">
    <mergeCell ref="F24:G28"/>
    <mergeCell ref="F29:G33"/>
    <mergeCell ref="H30:H31"/>
    <mergeCell ref="Q3:U3"/>
    <mergeCell ref="A1:I16"/>
    <mergeCell ref="F19:F20"/>
    <mergeCell ref="V41:W47"/>
    <mergeCell ref="V2:AC22"/>
    <mergeCell ref="V28:V30"/>
    <mergeCell ref="V35:W35"/>
    <mergeCell ref="V36:W38"/>
  </mergeCells>
  <conditionalFormatting sqref="B19:B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:R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zoomScale="71" zoomScaleNormal="71" workbookViewId="0">
      <selection activeCell="H23" sqref="H23"/>
    </sheetView>
  </sheetViews>
  <sheetFormatPr defaultRowHeight="14.5" x14ac:dyDescent="0.35"/>
  <cols>
    <col min="1" max="1" width="17.453125" customWidth="1"/>
    <col min="2" max="2" width="17.1796875" customWidth="1"/>
    <col min="3" max="3" width="10.453125" customWidth="1"/>
    <col min="4" max="4" width="10.81640625" customWidth="1"/>
    <col min="5" max="5" width="15.7265625" customWidth="1"/>
    <col min="6" max="6" width="18.26953125" customWidth="1"/>
    <col min="7" max="7" width="18.1796875" customWidth="1"/>
    <col min="8" max="8" width="20.7265625" customWidth="1"/>
    <col min="9" max="9" width="11.453125" customWidth="1"/>
    <col min="10" max="10" width="19.7265625" customWidth="1"/>
    <col min="11" max="11" width="50.26953125" customWidth="1"/>
  </cols>
  <sheetData>
    <row r="1" spans="1:11" ht="41" customHeight="1" x14ac:dyDescent="0.35">
      <c r="A1" s="8" t="s">
        <v>3</v>
      </c>
      <c r="B1" s="8" t="s">
        <v>4</v>
      </c>
      <c r="C1" s="9" t="s">
        <v>0</v>
      </c>
      <c r="D1" s="10" t="s">
        <v>8</v>
      </c>
      <c r="E1" s="9" t="s">
        <v>5</v>
      </c>
      <c r="F1" s="9" t="s">
        <v>6</v>
      </c>
      <c r="G1" s="9" t="s">
        <v>1</v>
      </c>
      <c r="H1" s="9" t="s">
        <v>2</v>
      </c>
      <c r="I1" s="9" t="s">
        <v>7</v>
      </c>
      <c r="J1" s="9" t="s">
        <v>19</v>
      </c>
      <c r="K1" t="s">
        <v>24</v>
      </c>
    </row>
    <row r="2" spans="1:11" x14ac:dyDescent="0.35">
      <c r="A2" s="160">
        <v>7</v>
      </c>
      <c r="B2" s="160">
        <v>10</v>
      </c>
      <c r="C2" s="3">
        <f>A2^2</f>
        <v>49</v>
      </c>
      <c r="D2">
        <f t="shared" ref="D2:D31" si="0">B2^2</f>
        <v>100</v>
      </c>
      <c r="E2" s="2">
        <f>AVERAGE(A2:A100)</f>
        <v>8.7142857142857135</v>
      </c>
      <c r="F2" s="2">
        <f>AVERAGE(B2:B100)</f>
        <v>9.2222222222222214</v>
      </c>
      <c r="G2" s="2">
        <f>COUNT(A2:A100)</f>
        <v>14</v>
      </c>
      <c r="H2" s="2">
        <f>COUNT(B2:B100)</f>
        <v>9</v>
      </c>
      <c r="I2" s="2">
        <f>SUM(G2:H2)</f>
        <v>23</v>
      </c>
      <c r="J2">
        <f>G2*H2</f>
        <v>126</v>
      </c>
      <c r="K2">
        <f>SUM(F15:G15)/F18</f>
        <v>1.8291761148904015</v>
      </c>
    </row>
    <row r="3" spans="1:11" x14ac:dyDescent="0.35">
      <c r="A3" s="160">
        <v>9</v>
      </c>
      <c r="B3" s="160">
        <v>10</v>
      </c>
      <c r="C3" s="3">
        <f t="shared" ref="C3:C34" si="1">A3^2</f>
        <v>81</v>
      </c>
      <c r="D3">
        <f t="shared" si="0"/>
        <v>100</v>
      </c>
    </row>
    <row r="4" spans="1:11" x14ac:dyDescent="0.35">
      <c r="A4" s="160">
        <v>8</v>
      </c>
      <c r="B4" s="160">
        <v>11</v>
      </c>
      <c r="C4" s="3">
        <f t="shared" si="1"/>
        <v>64</v>
      </c>
      <c r="D4">
        <f t="shared" si="0"/>
        <v>121</v>
      </c>
      <c r="E4" s="11" t="s">
        <v>18</v>
      </c>
      <c r="J4" t="s">
        <v>20</v>
      </c>
    </row>
    <row r="5" spans="1:11" x14ac:dyDescent="0.35">
      <c r="A5" s="160">
        <v>10</v>
      </c>
      <c r="B5" s="160">
        <v>7</v>
      </c>
      <c r="C5" s="3">
        <f t="shared" si="1"/>
        <v>100</v>
      </c>
      <c r="D5">
        <f t="shared" si="0"/>
        <v>49</v>
      </c>
      <c r="E5" s="11">
        <f>ABS(E2-F2)</f>
        <v>0.50793650793650791</v>
      </c>
      <c r="J5">
        <f>I2/J2</f>
        <v>0.18253968253968253</v>
      </c>
    </row>
    <row r="6" spans="1:11" x14ac:dyDescent="0.35">
      <c r="A6" s="160">
        <v>10</v>
      </c>
      <c r="B6" s="160">
        <v>7</v>
      </c>
      <c r="C6" s="3">
        <f t="shared" si="1"/>
        <v>100</v>
      </c>
      <c r="D6">
        <f t="shared" si="0"/>
        <v>49</v>
      </c>
    </row>
    <row r="7" spans="1:11" x14ac:dyDescent="0.35">
      <c r="A7" s="160">
        <v>8</v>
      </c>
      <c r="B7" s="160">
        <v>11</v>
      </c>
      <c r="C7" s="3">
        <f t="shared" si="1"/>
        <v>64</v>
      </c>
      <c r="D7">
        <f t="shared" si="0"/>
        <v>121</v>
      </c>
      <c r="K7" t="s">
        <v>21</v>
      </c>
    </row>
    <row r="8" spans="1:11" ht="23.5" customHeight="1" x14ac:dyDescent="0.35">
      <c r="A8" s="160">
        <v>11</v>
      </c>
      <c r="B8" s="160">
        <v>10</v>
      </c>
      <c r="C8" s="3">
        <f t="shared" si="1"/>
        <v>121</v>
      </c>
      <c r="D8">
        <f t="shared" si="0"/>
        <v>100</v>
      </c>
      <c r="F8" s="12" t="s">
        <v>12</v>
      </c>
      <c r="G8" s="12" t="s">
        <v>11</v>
      </c>
      <c r="H8" s="12" t="s">
        <v>13</v>
      </c>
      <c r="I8" s="12" t="s">
        <v>14</v>
      </c>
      <c r="K8">
        <f>K2*J5</f>
        <v>0.33389722732126376</v>
      </c>
    </row>
    <row r="9" spans="1:11" x14ac:dyDescent="0.35">
      <c r="A9" s="160">
        <v>8</v>
      </c>
      <c r="B9" s="160">
        <v>9</v>
      </c>
      <c r="C9" s="3">
        <f t="shared" si="1"/>
        <v>64</v>
      </c>
      <c r="D9">
        <f t="shared" si="0"/>
        <v>81</v>
      </c>
      <c r="F9" s="13">
        <f>SUM(A2:A1000)</f>
        <v>122</v>
      </c>
      <c r="G9" s="13">
        <f>SUM(B2:B1000)</f>
        <v>83</v>
      </c>
      <c r="H9" s="13">
        <f>SUM(C2:C1000)</f>
        <v>1082</v>
      </c>
      <c r="I9" s="14">
        <f>SUM(D2:D1000)</f>
        <v>785</v>
      </c>
    </row>
    <row r="10" spans="1:11" x14ac:dyDescent="0.35">
      <c r="A10" s="160">
        <v>9</v>
      </c>
      <c r="B10" s="160">
        <v>8</v>
      </c>
      <c r="C10" s="3">
        <f t="shared" si="1"/>
        <v>81</v>
      </c>
      <c r="D10">
        <f t="shared" si="0"/>
        <v>64</v>
      </c>
      <c r="K10" t="s">
        <v>22</v>
      </c>
    </row>
    <row r="11" spans="1:11" ht="16.5" x14ac:dyDescent="0.35">
      <c r="A11" s="160">
        <v>7</v>
      </c>
      <c r="B11" s="160"/>
      <c r="C11" s="3">
        <f t="shared" si="1"/>
        <v>49</v>
      </c>
      <c r="D11">
        <f t="shared" si="0"/>
        <v>0</v>
      </c>
      <c r="F11" t="s">
        <v>9</v>
      </c>
      <c r="G11" t="s">
        <v>15</v>
      </c>
      <c r="K11">
        <f>SQRT(K8)</f>
        <v>0.57783840935097397</v>
      </c>
    </row>
    <row r="12" spans="1:11" x14ac:dyDescent="0.35">
      <c r="A12" s="160">
        <v>9</v>
      </c>
      <c r="B12" s="160"/>
      <c r="C12" s="3">
        <f t="shared" si="1"/>
        <v>81</v>
      </c>
      <c r="D12">
        <f t="shared" si="0"/>
        <v>0</v>
      </c>
      <c r="F12">
        <f>F9^2</f>
        <v>14884</v>
      </c>
      <c r="G12">
        <f>G9^2</f>
        <v>6889</v>
      </c>
    </row>
    <row r="13" spans="1:11" x14ac:dyDescent="0.35">
      <c r="A13" s="160">
        <v>8</v>
      </c>
      <c r="B13" s="160"/>
      <c r="C13" s="3">
        <f t="shared" si="1"/>
        <v>64</v>
      </c>
      <c r="D13">
        <f t="shared" si="0"/>
        <v>0</v>
      </c>
      <c r="K13" t="s">
        <v>23</v>
      </c>
    </row>
    <row r="14" spans="1:11" ht="16.5" x14ac:dyDescent="0.35">
      <c r="A14" s="160">
        <v>8</v>
      </c>
      <c r="B14" s="160"/>
      <c r="C14" s="3">
        <f t="shared" si="1"/>
        <v>64</v>
      </c>
      <c r="D14">
        <f t="shared" si="0"/>
        <v>0</v>
      </c>
      <c r="F14" t="s">
        <v>10</v>
      </c>
      <c r="G14" t="s">
        <v>16</v>
      </c>
      <c r="K14">
        <f>E5/K11</f>
        <v>0.87902863450531155</v>
      </c>
    </row>
    <row r="15" spans="1:11" x14ac:dyDescent="0.35">
      <c r="A15" s="160">
        <v>10</v>
      </c>
      <c r="B15" s="160"/>
      <c r="C15" s="3">
        <f t="shared" si="1"/>
        <v>100</v>
      </c>
      <c r="D15">
        <f t="shared" si="0"/>
        <v>0</v>
      </c>
      <c r="F15">
        <f>H9-F12/G2</f>
        <v>18.85714285714289</v>
      </c>
      <c r="G15">
        <f>I9-G12/H2</f>
        <v>19.555555555555543</v>
      </c>
    </row>
    <row r="16" spans="1:11" x14ac:dyDescent="0.35">
      <c r="A16" s="3"/>
      <c r="B16" s="3"/>
      <c r="C16" s="3">
        <f t="shared" si="1"/>
        <v>0</v>
      </c>
      <c r="D16">
        <f t="shared" si="0"/>
        <v>0</v>
      </c>
    </row>
    <row r="17" spans="1:6" x14ac:dyDescent="0.35">
      <c r="A17" s="3"/>
      <c r="B17" s="3"/>
      <c r="C17" s="3">
        <f t="shared" si="1"/>
        <v>0</v>
      </c>
      <c r="D17">
        <f t="shared" si="0"/>
        <v>0</v>
      </c>
      <c r="F17" t="s">
        <v>17</v>
      </c>
    </row>
    <row r="18" spans="1:6" x14ac:dyDescent="0.35">
      <c r="A18" s="3"/>
      <c r="B18" s="3"/>
      <c r="C18" s="3">
        <f t="shared" si="1"/>
        <v>0</v>
      </c>
      <c r="D18">
        <f t="shared" si="0"/>
        <v>0</v>
      </c>
      <c r="F18">
        <f>SUM(G2:H2)-2</f>
        <v>21</v>
      </c>
    </row>
    <row r="19" spans="1:6" x14ac:dyDescent="0.35">
      <c r="A19" s="3"/>
      <c r="B19" s="3"/>
      <c r="C19" s="3">
        <f t="shared" si="1"/>
        <v>0</v>
      </c>
      <c r="D19">
        <f t="shared" si="0"/>
        <v>0</v>
      </c>
    </row>
    <row r="20" spans="1:6" x14ac:dyDescent="0.35">
      <c r="A20" s="3"/>
      <c r="B20" s="3"/>
      <c r="C20" s="3">
        <f t="shared" si="1"/>
        <v>0</v>
      </c>
      <c r="D20">
        <f t="shared" si="0"/>
        <v>0</v>
      </c>
    </row>
    <row r="21" spans="1:6" x14ac:dyDescent="0.35">
      <c r="A21" s="3"/>
      <c r="B21" s="3"/>
      <c r="C21" s="3">
        <f t="shared" si="1"/>
        <v>0</v>
      </c>
      <c r="D21">
        <f t="shared" si="0"/>
        <v>0</v>
      </c>
    </row>
    <row r="22" spans="1:6" x14ac:dyDescent="0.35">
      <c r="A22" s="3"/>
      <c r="B22" s="3"/>
      <c r="C22" s="3">
        <f t="shared" si="1"/>
        <v>0</v>
      </c>
      <c r="D22">
        <f t="shared" si="0"/>
        <v>0</v>
      </c>
    </row>
    <row r="23" spans="1:6" x14ac:dyDescent="0.35">
      <c r="A23" s="3"/>
      <c r="B23" s="3"/>
      <c r="C23" s="3">
        <f t="shared" si="1"/>
        <v>0</v>
      </c>
      <c r="D23">
        <f t="shared" si="0"/>
        <v>0</v>
      </c>
    </row>
    <row r="24" spans="1:6" x14ac:dyDescent="0.35">
      <c r="A24" s="3"/>
      <c r="B24" s="3"/>
      <c r="C24" s="3">
        <f t="shared" si="1"/>
        <v>0</v>
      </c>
      <c r="D24">
        <f t="shared" si="0"/>
        <v>0</v>
      </c>
    </row>
    <row r="25" spans="1:6" x14ac:dyDescent="0.35">
      <c r="A25" s="3"/>
      <c r="B25" s="3"/>
      <c r="C25" s="3">
        <f t="shared" si="1"/>
        <v>0</v>
      </c>
      <c r="D25">
        <f t="shared" si="0"/>
        <v>0</v>
      </c>
    </row>
    <row r="26" spans="1:6" x14ac:dyDescent="0.35">
      <c r="A26" s="3"/>
      <c r="B26" s="3"/>
      <c r="C26" s="3">
        <f t="shared" si="1"/>
        <v>0</v>
      </c>
      <c r="D26">
        <f t="shared" si="0"/>
        <v>0</v>
      </c>
      <c r="E26" s="159"/>
    </row>
    <row r="27" spans="1:6" x14ac:dyDescent="0.35">
      <c r="A27" s="3"/>
      <c r="B27" s="3"/>
      <c r="C27" s="3">
        <f t="shared" si="1"/>
        <v>0</v>
      </c>
      <c r="D27">
        <f t="shared" si="0"/>
        <v>0</v>
      </c>
    </row>
    <row r="28" spans="1:6" x14ac:dyDescent="0.35">
      <c r="A28" s="3"/>
      <c r="B28" s="3"/>
      <c r="C28" s="3">
        <f t="shared" si="1"/>
        <v>0</v>
      </c>
      <c r="D28">
        <f t="shared" si="0"/>
        <v>0</v>
      </c>
    </row>
    <row r="29" spans="1:6" x14ac:dyDescent="0.35">
      <c r="A29" s="3"/>
      <c r="B29" s="3"/>
      <c r="C29" s="3">
        <f t="shared" si="1"/>
        <v>0</v>
      </c>
      <c r="D29">
        <f t="shared" si="0"/>
        <v>0</v>
      </c>
    </row>
    <row r="30" spans="1:6" x14ac:dyDescent="0.35">
      <c r="A30" s="3"/>
      <c r="B30" s="3"/>
      <c r="C30" s="3">
        <f t="shared" si="1"/>
        <v>0</v>
      </c>
      <c r="D30">
        <f t="shared" si="0"/>
        <v>0</v>
      </c>
    </row>
    <row r="31" spans="1:6" x14ac:dyDescent="0.35">
      <c r="A31" s="3"/>
      <c r="C31" s="3">
        <f t="shared" si="1"/>
        <v>0</v>
      </c>
      <c r="D31">
        <f t="shared" si="0"/>
        <v>0</v>
      </c>
    </row>
    <row r="32" spans="1:6" x14ac:dyDescent="0.35">
      <c r="A32" s="3"/>
      <c r="C32" s="3">
        <f t="shared" si="1"/>
        <v>0</v>
      </c>
    </row>
    <row r="33" spans="1:3" x14ac:dyDescent="0.35">
      <c r="A33" s="3"/>
      <c r="C33" s="3">
        <f t="shared" si="1"/>
        <v>0</v>
      </c>
    </row>
    <row r="34" spans="1:3" x14ac:dyDescent="0.35">
      <c r="A34" s="3"/>
      <c r="C34" s="3">
        <f t="shared" si="1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5BFF-82F7-4004-BE1E-976C54DFFCD4}">
  <dimension ref="A1:K34"/>
  <sheetViews>
    <sheetView topLeftCell="B1" workbookViewId="0">
      <selection activeCell="C10" sqref="C10"/>
    </sheetView>
  </sheetViews>
  <sheetFormatPr defaultRowHeight="14.5" x14ac:dyDescent="0.35"/>
  <cols>
    <col min="5" max="5" width="10.90625" customWidth="1"/>
    <col min="6" max="6" width="10.6328125" customWidth="1"/>
    <col min="7" max="7" width="10.54296875" customWidth="1"/>
    <col min="8" max="8" width="12.6328125" customWidth="1"/>
    <col min="9" max="9" width="14.90625" customWidth="1"/>
    <col min="10" max="10" width="12.36328125" customWidth="1"/>
    <col min="11" max="11" width="26.08984375" customWidth="1"/>
    <col min="12" max="12" width="11.6328125" customWidth="1"/>
    <col min="13" max="13" width="11" customWidth="1"/>
  </cols>
  <sheetData>
    <row r="1" spans="1:11" ht="45.5" customHeight="1" x14ac:dyDescent="0.35">
      <c r="A1" s="15" t="s">
        <v>25</v>
      </c>
      <c r="B1" s="15" t="s">
        <v>26</v>
      </c>
      <c r="C1" s="16" t="s">
        <v>27</v>
      </c>
      <c r="D1" s="15" t="s">
        <v>28</v>
      </c>
      <c r="E1" s="17" t="s">
        <v>29</v>
      </c>
      <c r="F1" s="17" t="s">
        <v>30</v>
      </c>
      <c r="G1" s="17" t="s">
        <v>32</v>
      </c>
      <c r="H1" s="17" t="s">
        <v>34</v>
      </c>
      <c r="I1" s="7" t="s">
        <v>40</v>
      </c>
      <c r="J1" s="4" t="s">
        <v>36</v>
      </c>
      <c r="K1" s="18" t="s">
        <v>39</v>
      </c>
    </row>
    <row r="2" spans="1:11" x14ac:dyDescent="0.35">
      <c r="A2">
        <v>228.5438066465257</v>
      </c>
      <c r="B2">
        <v>582.07250755287009</v>
      </c>
      <c r="C2">
        <f>A2-B2</f>
        <v>-353.5287009063444</v>
      </c>
      <c r="D2">
        <f>C2^2</f>
        <v>124982.54236452752</v>
      </c>
      <c r="E2" s="5">
        <f>AVERAGE(A2:A1000)</f>
        <v>233.62977204064819</v>
      </c>
      <c r="F2">
        <f>AVERAGE(B2:B1000)</f>
        <v>529.73756294058421</v>
      </c>
      <c r="G2">
        <f>SUM(C2:C1000)</f>
        <v>-8182.344410876135</v>
      </c>
      <c r="H2">
        <f>SUM(D2:D1000)</f>
        <v>3644459.1403145296</v>
      </c>
      <c r="I2">
        <f>H2-H5/F5</f>
        <v>1519038.1860860875</v>
      </c>
      <c r="J2">
        <f>F5*SUM(F5-1)</f>
        <v>960.75</v>
      </c>
      <c r="K2" s="19">
        <f>I2/J2</f>
        <v>1581.0962124237185</v>
      </c>
    </row>
    <row r="3" spans="1:11" x14ac:dyDescent="0.35">
      <c r="A3">
        <v>160.69486404833839</v>
      </c>
      <c r="B3">
        <v>476.13293051359517</v>
      </c>
      <c r="C3">
        <f t="shared" ref="C3:C34" si="0">A3-B3</f>
        <v>-315.43806646525678</v>
      </c>
      <c r="D3">
        <f t="shared" ref="D3:D34" si="1">C3^2</f>
        <v>99501.173775339761</v>
      </c>
    </row>
    <row r="4" spans="1:11" ht="16.5" x14ac:dyDescent="0.35">
      <c r="A4">
        <v>197.59516616314201</v>
      </c>
      <c r="B4">
        <v>399.95166163141994</v>
      </c>
      <c r="C4">
        <f t="shared" si="0"/>
        <v>-202.35649546827793</v>
      </c>
      <c r="D4">
        <f t="shared" si="1"/>
        <v>40948.151258203186</v>
      </c>
      <c r="E4" s="6" t="s">
        <v>31</v>
      </c>
      <c r="F4" s="20" t="s">
        <v>33</v>
      </c>
      <c r="H4" t="s">
        <v>35</v>
      </c>
      <c r="K4" t="s">
        <v>37</v>
      </c>
    </row>
    <row r="5" spans="1:11" x14ac:dyDescent="0.35">
      <c r="A5">
        <v>253.54078549848944</v>
      </c>
      <c r="B5">
        <v>1073.6797583081573</v>
      </c>
      <c r="C5">
        <f t="shared" si="0"/>
        <v>-820.13897280966785</v>
      </c>
      <c r="D5">
        <f t="shared" si="1"/>
        <v>672627.93472129712</v>
      </c>
      <c r="E5">
        <f>ABS(E2-F2)</f>
        <v>296.10779089993605</v>
      </c>
      <c r="F5" s="19">
        <f>COUNT(A2:B2000)/2</f>
        <v>31.5</v>
      </c>
      <c r="H5">
        <f>G2^2</f>
        <v>66950760.058195926</v>
      </c>
      <c r="K5">
        <f>SQRT(K2)</f>
        <v>39.763000546031712</v>
      </c>
    </row>
    <row r="6" spans="1:11" x14ac:dyDescent="0.35">
      <c r="A6">
        <v>216.64048338368582</v>
      </c>
      <c r="B6">
        <v>501.12990936555894</v>
      </c>
      <c r="C6">
        <f t="shared" si="0"/>
        <v>-284.48942598187313</v>
      </c>
      <c r="D6">
        <f t="shared" si="1"/>
        <v>80934.233495495675</v>
      </c>
    </row>
    <row r="7" spans="1:11" x14ac:dyDescent="0.35">
      <c r="A7">
        <v>242.82779456193356</v>
      </c>
      <c r="B7">
        <v>728.48338368580062</v>
      </c>
      <c r="C7">
        <f t="shared" si="0"/>
        <v>-485.65558912386706</v>
      </c>
      <c r="D7">
        <f t="shared" si="1"/>
        <v>235861.35124725039</v>
      </c>
      <c r="K7" t="s">
        <v>38</v>
      </c>
    </row>
    <row r="8" spans="1:11" x14ac:dyDescent="0.35">
      <c r="A8">
        <v>213.06948640483384</v>
      </c>
      <c r="B8">
        <v>389.23867069486408</v>
      </c>
      <c r="C8">
        <f t="shared" si="0"/>
        <v>-176.16918429003024</v>
      </c>
      <c r="D8">
        <f t="shared" si="1"/>
        <v>31035.58149341464</v>
      </c>
      <c r="K8">
        <f>E5/K5</f>
        <v>7.4468170619354117</v>
      </c>
    </row>
    <row r="9" spans="1:11" x14ac:dyDescent="0.35">
      <c r="A9">
        <v>244.01812688821755</v>
      </c>
      <c r="B9">
        <v>530.88821752265869</v>
      </c>
      <c r="C9">
        <f>A9-B9</f>
        <v>-286.87009063444111</v>
      </c>
      <c r="D9">
        <f t="shared" si="1"/>
        <v>82294.448900612464</v>
      </c>
      <c r="F9" s="1"/>
    </row>
    <row r="10" spans="1:11" x14ac:dyDescent="0.35">
      <c r="A10">
        <v>308.29607250755288</v>
      </c>
      <c r="B10">
        <v>724.91238670694872</v>
      </c>
      <c r="C10">
        <f t="shared" si="0"/>
        <v>-416.61631419939584</v>
      </c>
      <c r="D10">
        <f t="shared" si="1"/>
        <v>173569.15325708973</v>
      </c>
    </row>
    <row r="11" spans="1:11" x14ac:dyDescent="0.35">
      <c r="A11">
        <v>215.45015105740183</v>
      </c>
      <c r="B11">
        <v>1058.2054380664654</v>
      </c>
      <c r="C11">
        <f t="shared" si="0"/>
        <v>-842.75528700906352</v>
      </c>
      <c r="D11">
        <f t="shared" si="1"/>
        <v>710236.473781729</v>
      </c>
    </row>
    <row r="12" spans="1:11" x14ac:dyDescent="0.35">
      <c r="A12">
        <v>195.21450151057402</v>
      </c>
      <c r="B12">
        <v>384.47734138972811</v>
      </c>
      <c r="C12">
        <f t="shared" si="0"/>
        <v>-189.26283987915409</v>
      </c>
      <c r="D12">
        <f t="shared" si="1"/>
        <v>35820.422559122315</v>
      </c>
    </row>
    <row r="13" spans="1:11" x14ac:dyDescent="0.35">
      <c r="A13">
        <v>239.25679758308158</v>
      </c>
      <c r="B13">
        <v>543.98187311178253</v>
      </c>
      <c r="C13">
        <f t="shared" si="0"/>
        <v>-304.72507552870093</v>
      </c>
      <c r="D13">
        <f t="shared" si="1"/>
        <v>92857.371655972485</v>
      </c>
    </row>
    <row r="14" spans="1:11" x14ac:dyDescent="0.35">
      <c r="A14">
        <v>220.21148036253777</v>
      </c>
      <c r="B14">
        <v>426.13897280966768</v>
      </c>
      <c r="C14">
        <f t="shared" si="0"/>
        <v>-205.92749244712991</v>
      </c>
      <c r="D14">
        <f t="shared" si="1"/>
        <v>42406.132145562748</v>
      </c>
    </row>
    <row r="15" spans="1:11" x14ac:dyDescent="0.35">
      <c r="A15">
        <v>216.64048338368582</v>
      </c>
      <c r="B15">
        <v>405.90332326283993</v>
      </c>
      <c r="C15">
        <f t="shared" si="0"/>
        <v>-189.26283987915411</v>
      </c>
      <c r="D15">
        <f t="shared" si="1"/>
        <v>35820.422559122329</v>
      </c>
    </row>
    <row r="16" spans="1:11" x14ac:dyDescent="0.35">
      <c r="A16">
        <v>238.06646525679758</v>
      </c>
      <c r="B16">
        <v>477.32326283987919</v>
      </c>
      <c r="C16">
        <f t="shared" si="0"/>
        <v>-239.25679758308161</v>
      </c>
      <c r="D16">
        <f t="shared" si="1"/>
        <v>57243.815189711684</v>
      </c>
    </row>
    <row r="17" spans="1:4" x14ac:dyDescent="0.35">
      <c r="A17">
        <v>221.40181268882176</v>
      </c>
      <c r="B17">
        <v>448.75528700906347</v>
      </c>
      <c r="C17">
        <f t="shared" si="0"/>
        <v>-227.3534743202417</v>
      </c>
      <c r="D17">
        <f t="shared" si="1"/>
        <v>51689.602285484805</v>
      </c>
    </row>
    <row r="18" spans="1:4" x14ac:dyDescent="0.35">
      <c r="A18">
        <v>228.5438066465257</v>
      </c>
      <c r="B18">
        <v>458.27794561933536</v>
      </c>
      <c r="C18">
        <f t="shared" si="0"/>
        <v>-229.73413897280966</v>
      </c>
      <c r="D18">
        <f t="shared" si="1"/>
        <v>52777.77460957822</v>
      </c>
    </row>
    <row r="19" spans="1:4" x14ac:dyDescent="0.35">
      <c r="A19">
        <v>176.16918429003022</v>
      </c>
      <c r="B19">
        <v>458.27794561933536</v>
      </c>
      <c r="C19">
        <f t="shared" si="0"/>
        <v>-282.10876132930514</v>
      </c>
      <c r="D19">
        <f t="shared" si="1"/>
        <v>79585.353218754855</v>
      </c>
    </row>
    <row r="20" spans="1:4" x14ac:dyDescent="0.35">
      <c r="A20">
        <v>180.93051359516619</v>
      </c>
      <c r="B20">
        <v>216.64048338368582</v>
      </c>
      <c r="C20">
        <f t="shared" si="0"/>
        <v>-35.709969788519629</v>
      </c>
      <c r="D20">
        <f t="shared" si="1"/>
        <v>1275.2019422969847</v>
      </c>
    </row>
    <row r="21" spans="1:4" x14ac:dyDescent="0.35">
      <c r="A21">
        <v>238.06646525679758</v>
      </c>
      <c r="B21">
        <v>205.92749244712994</v>
      </c>
      <c r="C21">
        <f t="shared" si="0"/>
        <v>32.138972809667649</v>
      </c>
      <c r="D21">
        <f t="shared" si="1"/>
        <v>1032.9135732605564</v>
      </c>
    </row>
    <row r="22" spans="1:4" x14ac:dyDescent="0.35">
      <c r="A22">
        <v>302.34441087613294</v>
      </c>
      <c r="B22">
        <v>509.46223564954687</v>
      </c>
      <c r="C22">
        <f t="shared" si="0"/>
        <v>-207.11782477341393</v>
      </c>
      <c r="D22">
        <f t="shared" si="1"/>
        <v>42897.793338870593</v>
      </c>
    </row>
    <row r="23" spans="1:4" x14ac:dyDescent="0.35">
      <c r="A23">
        <v>302.34441087613294</v>
      </c>
      <c r="B23">
        <v>580.88217522658613</v>
      </c>
      <c r="C23">
        <f t="shared" si="0"/>
        <v>-278.53776435045319</v>
      </c>
      <c r="D23">
        <f t="shared" si="1"/>
        <v>77583.28616934859</v>
      </c>
    </row>
    <row r="24" spans="1:4" x14ac:dyDescent="0.35">
      <c r="A24">
        <v>196.40483383685802</v>
      </c>
      <c r="B24">
        <v>572.54984894259826</v>
      </c>
      <c r="C24">
        <f t="shared" si="0"/>
        <v>-376.14501510574024</v>
      </c>
      <c r="D24">
        <f t="shared" si="1"/>
        <v>141485.07238889756</v>
      </c>
    </row>
    <row r="25" spans="1:4" x14ac:dyDescent="0.35">
      <c r="A25">
        <v>273.77643504531721</v>
      </c>
      <c r="B25">
        <v>549.93353474320247</v>
      </c>
      <c r="C25">
        <f t="shared" si="0"/>
        <v>-276.15709969788526</v>
      </c>
      <c r="D25">
        <f t="shared" si="1"/>
        <v>76262.743713547738</v>
      </c>
    </row>
    <row r="26" spans="1:4" x14ac:dyDescent="0.35">
      <c r="A26">
        <v>338.05438066465257</v>
      </c>
      <c r="B26">
        <v>542.79154078549857</v>
      </c>
      <c r="C26">
        <f t="shared" si="0"/>
        <v>-204.737160120846</v>
      </c>
      <c r="D26">
        <f t="shared" si="1"/>
        <v>41917.304734348931</v>
      </c>
    </row>
    <row r="27" spans="1:4" x14ac:dyDescent="0.35">
      <c r="A27">
        <v>297.58308157099702</v>
      </c>
      <c r="B27">
        <v>528.50755287009065</v>
      </c>
      <c r="C27">
        <f t="shared" si="0"/>
        <v>-230.92447129909363</v>
      </c>
      <c r="D27">
        <f t="shared" si="1"/>
        <v>53326.111444765913</v>
      </c>
    </row>
    <row r="28" spans="1:4" x14ac:dyDescent="0.35">
      <c r="A28">
        <v>248.7794561933535</v>
      </c>
      <c r="B28">
        <v>398.76132930513597</v>
      </c>
      <c r="C28">
        <f t="shared" si="0"/>
        <v>-149.98187311178248</v>
      </c>
      <c r="D28">
        <f t="shared" si="1"/>
        <v>22494.562262118819</v>
      </c>
    </row>
    <row r="29" spans="1:4" x14ac:dyDescent="0.35">
      <c r="A29">
        <v>209.49848942598189</v>
      </c>
      <c r="B29">
        <v>428.51963746223566</v>
      </c>
      <c r="C29">
        <f t="shared" si="0"/>
        <v>-219.02114803625378</v>
      </c>
      <c r="D29">
        <f t="shared" si="1"/>
        <v>47970.263287118592</v>
      </c>
    </row>
    <row r="30" spans="1:4" x14ac:dyDescent="0.35">
      <c r="A30">
        <v>257.11178247734142</v>
      </c>
      <c r="B30">
        <v>546.36253776435046</v>
      </c>
      <c r="C30">
        <f t="shared" si="0"/>
        <v>-289.25075528700904</v>
      </c>
      <c r="D30">
        <f t="shared" si="1"/>
        <v>83665.999434105193</v>
      </c>
    </row>
    <row r="31" spans="1:4" x14ac:dyDescent="0.35">
      <c r="A31">
        <v>258.30211480362539</v>
      </c>
      <c r="B31">
        <v>743.9577039274925</v>
      </c>
      <c r="C31">
        <f t="shared" si="0"/>
        <v>-485.65558912386712</v>
      </c>
      <c r="D31">
        <f t="shared" si="1"/>
        <v>235861.35124725042</v>
      </c>
    </row>
    <row r="32" spans="1:4" x14ac:dyDescent="0.35">
      <c r="A32">
        <v>163.07552870090635</v>
      </c>
      <c r="C32">
        <f t="shared" si="0"/>
        <v>163.07552870090635</v>
      </c>
      <c r="D32">
        <f t="shared" si="1"/>
        <v>26593.62806108013</v>
      </c>
    </row>
    <row r="33" spans="1:4" x14ac:dyDescent="0.35">
      <c r="A33">
        <v>196.40483383685802</v>
      </c>
      <c r="C33">
        <f t="shared" si="0"/>
        <v>196.40483383685802</v>
      </c>
      <c r="D33">
        <f t="shared" si="1"/>
        <v>38574.858754483808</v>
      </c>
    </row>
    <row r="34" spans="1:4" x14ac:dyDescent="0.35">
      <c r="A34">
        <v>230.92447129909368</v>
      </c>
      <c r="C34">
        <f t="shared" si="0"/>
        <v>230.92447129909368</v>
      </c>
      <c r="D34">
        <f t="shared" si="1"/>
        <v>53326.111444765942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1C4D9-41C3-4512-8C4B-46853049C882}">
  <dimension ref="A1:N23"/>
  <sheetViews>
    <sheetView topLeftCell="A3" workbookViewId="0">
      <selection activeCell="F8" sqref="F8"/>
    </sheetView>
  </sheetViews>
  <sheetFormatPr defaultRowHeight="14.5" x14ac:dyDescent="0.35"/>
  <cols>
    <col min="3" max="3" width="17.6328125" customWidth="1"/>
    <col min="4" max="4" width="8.984375E-2" customWidth="1"/>
    <col min="5" max="5" width="8.7265625" hidden="1" customWidth="1"/>
    <col min="6" max="6" width="17.81640625" customWidth="1"/>
    <col min="10" max="10" width="9.54296875" customWidth="1"/>
    <col min="13" max="13" width="15.08984375" customWidth="1"/>
  </cols>
  <sheetData>
    <row r="1" spans="1:14" x14ac:dyDescent="0.35">
      <c r="A1" s="161"/>
      <c r="B1" s="161"/>
    </row>
    <row r="2" spans="1:14" ht="104" x14ac:dyDescent="0.35">
      <c r="A2" s="29" t="s">
        <v>76</v>
      </c>
      <c r="B2" s="30" t="s">
        <v>77</v>
      </c>
    </row>
    <row r="3" spans="1:14" ht="15" thickBot="1" x14ac:dyDescent="0.4">
      <c r="A3" s="19" t="s">
        <v>78</v>
      </c>
      <c r="B3" s="31">
        <v>20</v>
      </c>
      <c r="C3" s="25" t="s">
        <v>80</v>
      </c>
      <c r="D3" s="25"/>
      <c r="E3" s="25"/>
      <c r="F3" s="25"/>
      <c r="G3" s="25"/>
      <c r="M3" t="s">
        <v>578</v>
      </c>
    </row>
    <row r="4" spans="1:14" ht="15" thickBot="1" x14ac:dyDescent="0.4">
      <c r="A4" s="19" t="s">
        <v>78</v>
      </c>
      <c r="B4" s="31">
        <v>24</v>
      </c>
      <c r="C4" s="174" t="s">
        <v>81</v>
      </c>
      <c r="D4" s="174"/>
      <c r="F4" s="121" t="s">
        <v>82</v>
      </c>
      <c r="G4" s="87" t="s">
        <v>83</v>
      </c>
      <c r="H4" s="122" t="s">
        <v>87</v>
      </c>
      <c r="J4" s="125" t="s">
        <v>84</v>
      </c>
      <c r="K4" s="100">
        <f>COUNT(C5:C100)</f>
        <v>11</v>
      </c>
      <c r="M4" s="124" t="s">
        <v>92</v>
      </c>
      <c r="N4" s="8">
        <f>SUM(G5:G100)</f>
        <v>111</v>
      </c>
    </row>
    <row r="5" spans="1:14" x14ac:dyDescent="0.35">
      <c r="A5" s="19" t="s">
        <v>78</v>
      </c>
      <c r="B5" s="31">
        <v>16</v>
      </c>
      <c r="C5" s="19">
        <v>20</v>
      </c>
      <c r="F5">
        <v>33</v>
      </c>
      <c r="G5">
        <f>_xlfn.RANK.AVG(C5,$C$5:$F$100,1)</f>
        <v>4</v>
      </c>
      <c r="H5">
        <f>_xlfn.RANK.AVG(F5,$C$5:$F$100,1)</f>
        <v>15</v>
      </c>
      <c r="J5" s="77" t="s">
        <v>85</v>
      </c>
      <c r="K5">
        <f>COUNT(F5:F100)</f>
        <v>9</v>
      </c>
      <c r="M5" s="8" t="s">
        <v>93</v>
      </c>
      <c r="N5" s="8">
        <f>SUM(H5:H100)</f>
        <v>99</v>
      </c>
    </row>
    <row r="6" spans="1:14" x14ac:dyDescent="0.35">
      <c r="A6" s="19" t="s">
        <v>78</v>
      </c>
      <c r="B6" s="31">
        <v>25</v>
      </c>
      <c r="C6" s="19">
        <v>24</v>
      </c>
      <c r="F6">
        <v>21</v>
      </c>
      <c r="G6">
        <f t="shared" ref="G6:G15" si="0">_xlfn.RANK.AVG(C6,$C$5:$F$100,1)</f>
        <v>7</v>
      </c>
      <c r="H6">
        <f t="shared" ref="H6:H13" si="1">_xlfn.RANK.AVG(F6,$C$5:$F$100,1)</f>
        <v>5</v>
      </c>
      <c r="J6" s="123" t="s">
        <v>86</v>
      </c>
      <c r="K6">
        <f>K4*K5</f>
        <v>99</v>
      </c>
    </row>
    <row r="7" spans="1:14" x14ac:dyDescent="0.35">
      <c r="A7" s="19" t="s">
        <v>78</v>
      </c>
      <c r="B7" s="31">
        <v>25</v>
      </c>
      <c r="C7" s="19">
        <v>16</v>
      </c>
      <c r="F7">
        <v>25</v>
      </c>
      <c r="G7">
        <f t="shared" si="0"/>
        <v>2</v>
      </c>
      <c r="H7">
        <f t="shared" si="1"/>
        <v>8.5</v>
      </c>
      <c r="J7" s="77" t="s">
        <v>88</v>
      </c>
      <c r="K7">
        <f>K4-1</f>
        <v>10</v>
      </c>
    </row>
    <row r="8" spans="1:14" x14ac:dyDescent="0.35">
      <c r="A8" s="19" t="s">
        <v>78</v>
      </c>
      <c r="B8" s="31">
        <v>26</v>
      </c>
      <c r="C8" s="19">
        <v>25</v>
      </c>
      <c r="F8">
        <v>27</v>
      </c>
      <c r="G8">
        <f t="shared" si="0"/>
        <v>8.5</v>
      </c>
      <c r="H8">
        <f t="shared" si="1"/>
        <v>11</v>
      </c>
      <c r="J8" s="77" t="s">
        <v>89</v>
      </c>
      <c r="K8">
        <f>K5-1</f>
        <v>8</v>
      </c>
    </row>
    <row r="9" spans="1:14" x14ac:dyDescent="0.35">
      <c r="A9" s="19" t="s">
        <v>78</v>
      </c>
      <c r="B9" s="31">
        <v>28</v>
      </c>
      <c r="C9" s="19">
        <v>26</v>
      </c>
      <c r="F9">
        <v>18</v>
      </c>
      <c r="G9">
        <f t="shared" si="0"/>
        <v>10</v>
      </c>
      <c r="H9">
        <f t="shared" si="1"/>
        <v>3</v>
      </c>
      <c r="J9" s="77"/>
    </row>
    <row r="10" spans="1:14" x14ac:dyDescent="0.35">
      <c r="A10" s="19" t="s">
        <v>78</v>
      </c>
      <c r="B10" s="31">
        <v>30</v>
      </c>
      <c r="C10" s="19">
        <v>28</v>
      </c>
      <c r="F10">
        <v>32</v>
      </c>
      <c r="G10">
        <f t="shared" si="0"/>
        <v>12</v>
      </c>
      <c r="H10">
        <f t="shared" si="1"/>
        <v>14</v>
      </c>
      <c r="J10" s="77" t="s">
        <v>90</v>
      </c>
      <c r="K10">
        <f>K4*K7/2</f>
        <v>55</v>
      </c>
    </row>
    <row r="11" spans="1:14" ht="15" thickBot="1" x14ac:dyDescent="0.4">
      <c r="A11" s="19" t="s">
        <v>78</v>
      </c>
      <c r="B11" s="31">
        <v>10</v>
      </c>
      <c r="C11" s="19">
        <v>30</v>
      </c>
      <c r="F11">
        <v>35</v>
      </c>
      <c r="G11">
        <f t="shared" si="0"/>
        <v>13</v>
      </c>
      <c r="H11">
        <f t="shared" si="1"/>
        <v>16.5</v>
      </c>
      <c r="J11" s="78" t="s">
        <v>91</v>
      </c>
      <c r="K11">
        <f>K5*K8/2</f>
        <v>36</v>
      </c>
    </row>
    <row r="12" spans="1:14" x14ac:dyDescent="0.35">
      <c r="A12" s="19" t="s">
        <v>78</v>
      </c>
      <c r="B12" s="31">
        <v>35</v>
      </c>
      <c r="C12" s="19">
        <v>10</v>
      </c>
      <c r="F12">
        <v>40</v>
      </c>
      <c r="G12">
        <f t="shared" si="0"/>
        <v>1</v>
      </c>
      <c r="H12">
        <f t="shared" si="1"/>
        <v>20</v>
      </c>
    </row>
    <row r="13" spans="1:14" x14ac:dyDescent="0.35">
      <c r="A13" s="19" t="s">
        <v>78</v>
      </c>
      <c r="B13" s="32">
        <v>37</v>
      </c>
      <c r="C13" s="19">
        <v>35</v>
      </c>
      <c r="F13">
        <v>22</v>
      </c>
      <c r="G13">
        <f t="shared" si="0"/>
        <v>16.5</v>
      </c>
      <c r="H13">
        <f t="shared" si="1"/>
        <v>6</v>
      </c>
    </row>
    <row r="14" spans="1:14" x14ac:dyDescent="0.35">
      <c r="A14" s="19" t="s">
        <v>78</v>
      </c>
      <c r="B14" s="31">
        <v>38</v>
      </c>
      <c r="C14" s="19">
        <v>37</v>
      </c>
      <c r="G14">
        <f t="shared" si="0"/>
        <v>18</v>
      </c>
      <c r="J14" t="s">
        <v>94</v>
      </c>
      <c r="K14">
        <f>K6+K10-N4</f>
        <v>43</v>
      </c>
    </row>
    <row r="15" spans="1:14" x14ac:dyDescent="0.35">
      <c r="A15" s="19" t="s">
        <v>79</v>
      </c>
      <c r="B15" s="31">
        <v>33</v>
      </c>
      <c r="C15" s="19">
        <v>38</v>
      </c>
      <c r="G15">
        <f t="shared" si="0"/>
        <v>19</v>
      </c>
      <c r="J15" t="s">
        <v>95</v>
      </c>
      <c r="K15" s="28">
        <f>K6+K11-N5</f>
        <v>36</v>
      </c>
    </row>
    <row r="16" spans="1:14" x14ac:dyDescent="0.35">
      <c r="A16" s="19" t="s">
        <v>79</v>
      </c>
      <c r="B16" s="31">
        <v>21</v>
      </c>
    </row>
    <row r="17" spans="1:11" ht="15.5" x14ac:dyDescent="0.35">
      <c r="A17" s="19" t="s">
        <v>79</v>
      </c>
      <c r="B17" s="31">
        <v>25</v>
      </c>
      <c r="J17" s="175" t="s">
        <v>156</v>
      </c>
      <c r="K17" s="175"/>
    </row>
    <row r="18" spans="1:11" ht="18.5" x14ac:dyDescent="0.45">
      <c r="A18" s="19" t="s">
        <v>79</v>
      </c>
      <c r="B18" s="31">
        <v>27</v>
      </c>
      <c r="J18" s="176">
        <f>MIN(K14:K15)</f>
        <v>36</v>
      </c>
      <c r="K18" s="176"/>
    </row>
    <row r="19" spans="1:11" x14ac:dyDescent="0.35">
      <c r="A19" s="19" t="s">
        <v>79</v>
      </c>
      <c r="B19" s="31">
        <v>18</v>
      </c>
    </row>
    <row r="20" spans="1:11" x14ac:dyDescent="0.35">
      <c r="A20" s="19" t="s">
        <v>79</v>
      </c>
      <c r="B20" s="31">
        <v>32</v>
      </c>
    </row>
    <row r="21" spans="1:11" x14ac:dyDescent="0.35">
      <c r="A21" s="19" t="s">
        <v>79</v>
      </c>
      <c r="B21" s="31">
        <v>35</v>
      </c>
    </row>
    <row r="22" spans="1:11" x14ac:dyDescent="0.35">
      <c r="A22" s="19" t="s">
        <v>79</v>
      </c>
      <c r="B22" s="31">
        <v>40</v>
      </c>
    </row>
    <row r="23" spans="1:11" x14ac:dyDescent="0.35">
      <c r="A23" s="19" t="s">
        <v>79</v>
      </c>
      <c r="B23" s="31">
        <v>22</v>
      </c>
    </row>
  </sheetData>
  <sortState xmlns:xlrd2="http://schemas.microsoft.com/office/spreadsheetml/2017/richdata2" ref="A3:B21">
    <sortCondition ref="A3:A21"/>
  </sortState>
  <mergeCells count="4">
    <mergeCell ref="A1:B1"/>
    <mergeCell ref="C4:D4"/>
    <mergeCell ref="J17:K17"/>
    <mergeCell ref="J18:K18"/>
  </mergeCells>
  <conditionalFormatting sqref="K4:K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93F5-7A81-448C-8E91-8897C10BDE30}">
  <dimension ref="A1:K22"/>
  <sheetViews>
    <sheetView workbookViewId="0">
      <selection activeCell="I18" sqref="I18"/>
    </sheetView>
  </sheetViews>
  <sheetFormatPr defaultRowHeight="14.5" x14ac:dyDescent="0.35"/>
  <cols>
    <col min="3" max="3" width="13" bestFit="1" customWidth="1"/>
    <col min="4" max="4" width="11.453125" customWidth="1"/>
    <col min="5" max="5" width="12" customWidth="1"/>
    <col min="7" max="7" width="14.08984375" customWidth="1"/>
    <col min="8" max="8" width="14.36328125" customWidth="1"/>
    <col min="9" max="9" width="12.6328125" customWidth="1"/>
    <col min="10" max="10" width="14.453125" customWidth="1"/>
    <col min="11" max="11" width="16" customWidth="1"/>
  </cols>
  <sheetData>
    <row r="1" spans="1:11" ht="15.5" x14ac:dyDescent="0.35">
      <c r="F1" s="177" t="s">
        <v>96</v>
      </c>
      <c r="G1" s="161"/>
      <c r="H1" s="161"/>
      <c r="I1" s="161"/>
      <c r="J1" s="161"/>
      <c r="K1" s="161"/>
    </row>
    <row r="2" spans="1:11" ht="15" thickBot="1" x14ac:dyDescent="0.4"/>
    <row r="3" spans="1:11" ht="19" thickBot="1" x14ac:dyDescent="0.5">
      <c r="A3" s="127" t="s">
        <v>97</v>
      </c>
      <c r="B3" s="128" t="s">
        <v>98</v>
      </c>
      <c r="C3" s="126" t="s">
        <v>99</v>
      </c>
      <c r="D3" s="129" t="s">
        <v>100</v>
      </c>
      <c r="E3" s="129" t="s">
        <v>103</v>
      </c>
      <c r="F3" s="126" t="s">
        <v>101</v>
      </c>
      <c r="G3" s="130" t="s">
        <v>102</v>
      </c>
      <c r="J3" s="120" t="s">
        <v>579</v>
      </c>
    </row>
    <row r="4" spans="1:11" x14ac:dyDescent="0.35">
      <c r="A4">
        <v>700</v>
      </c>
      <c r="B4">
        <v>640</v>
      </c>
      <c r="C4">
        <f>A4-B4</f>
        <v>60</v>
      </c>
      <c r="D4">
        <f>IF(C4&gt;0,1,-1)</f>
        <v>1</v>
      </c>
      <c r="E4">
        <f>ABS(C4)</f>
        <v>60</v>
      </c>
      <c r="F4">
        <f>RANK(E4,$E$4:$E$100,1)</f>
        <v>4</v>
      </c>
      <c r="G4">
        <f>F4*D4</f>
        <v>4</v>
      </c>
      <c r="H4" s="37" t="s">
        <v>580</v>
      </c>
      <c r="I4">
        <f>SUMIF(G4:G100,"&gt;0",G4:G100)</f>
        <v>46</v>
      </c>
      <c r="J4">
        <f>ABS(I4)</f>
        <v>46</v>
      </c>
    </row>
    <row r="5" spans="1:11" x14ac:dyDescent="0.35">
      <c r="A5">
        <v>530</v>
      </c>
      <c r="B5">
        <v>500</v>
      </c>
      <c r="C5">
        <f t="shared" ref="C5:C18" si="0">A5-B5</f>
        <v>30</v>
      </c>
      <c r="D5">
        <f t="shared" ref="D5:D18" si="1">IF(C5&gt;0,1,-1)</f>
        <v>1</v>
      </c>
      <c r="E5">
        <f t="shared" ref="E5:E18" si="2">ABS(C5)</f>
        <v>30</v>
      </c>
      <c r="F5">
        <f t="shared" ref="F5:F18" si="3">RANK(E5,$E$4:$E$100,1)</f>
        <v>2</v>
      </c>
      <c r="G5">
        <f t="shared" ref="G5:G18" si="4">F5*D5</f>
        <v>2</v>
      </c>
      <c r="H5" s="106" t="s">
        <v>581</v>
      </c>
      <c r="I5">
        <f>SUMIF(G4:G100,"&lt;0",G4:G100)</f>
        <v>-73</v>
      </c>
      <c r="J5" s="2">
        <f>ABS(I5)</f>
        <v>73</v>
      </c>
    </row>
    <row r="6" spans="1:11" x14ac:dyDescent="0.35">
      <c r="A6">
        <v>440</v>
      </c>
      <c r="B6">
        <v>476</v>
      </c>
      <c r="C6">
        <f t="shared" si="0"/>
        <v>-36</v>
      </c>
      <c r="D6">
        <f t="shared" si="1"/>
        <v>-1</v>
      </c>
      <c r="E6">
        <f t="shared" si="2"/>
        <v>36</v>
      </c>
      <c r="F6">
        <f t="shared" si="3"/>
        <v>3</v>
      </c>
      <c r="G6">
        <f t="shared" si="4"/>
        <v>-3</v>
      </c>
    </row>
    <row r="7" spans="1:11" ht="16" thickBot="1" x14ac:dyDescent="0.4">
      <c r="A7">
        <v>372</v>
      </c>
      <c r="B7">
        <v>462</v>
      </c>
      <c r="C7">
        <f t="shared" si="0"/>
        <v>-90</v>
      </c>
      <c r="D7">
        <f t="shared" si="1"/>
        <v>-1</v>
      </c>
      <c r="E7">
        <f t="shared" si="2"/>
        <v>90</v>
      </c>
      <c r="F7">
        <f t="shared" si="3"/>
        <v>5</v>
      </c>
      <c r="G7">
        <f t="shared" si="4"/>
        <v>-5</v>
      </c>
      <c r="H7" s="91" t="s">
        <v>569</v>
      </c>
      <c r="I7" s="131">
        <f>COUNT(A4:A100)</f>
        <v>15</v>
      </c>
    </row>
    <row r="8" spans="1:11" ht="15" thickBot="1" x14ac:dyDescent="0.4">
      <c r="A8">
        <v>810</v>
      </c>
      <c r="B8">
        <v>920</v>
      </c>
      <c r="C8">
        <f t="shared" si="0"/>
        <v>-110</v>
      </c>
      <c r="D8">
        <f t="shared" si="1"/>
        <v>-1</v>
      </c>
      <c r="E8">
        <f t="shared" si="2"/>
        <v>110</v>
      </c>
      <c r="F8">
        <f t="shared" si="3"/>
        <v>8</v>
      </c>
      <c r="G8">
        <f t="shared" si="4"/>
        <v>-8</v>
      </c>
      <c r="H8" s="132" t="s">
        <v>582</v>
      </c>
      <c r="I8" s="100">
        <f>MIN(J4:J5)</f>
        <v>46</v>
      </c>
    </row>
    <row r="9" spans="1:11" x14ac:dyDescent="0.35">
      <c r="A9">
        <v>188</v>
      </c>
      <c r="B9">
        <v>688</v>
      </c>
      <c r="C9">
        <f t="shared" si="0"/>
        <v>-500</v>
      </c>
      <c r="D9">
        <f t="shared" si="1"/>
        <v>-1</v>
      </c>
      <c r="E9">
        <f t="shared" si="2"/>
        <v>500</v>
      </c>
      <c r="F9">
        <f t="shared" si="3"/>
        <v>13</v>
      </c>
      <c r="G9">
        <f t="shared" si="4"/>
        <v>-13</v>
      </c>
    </row>
    <row r="10" spans="1:11" x14ac:dyDescent="0.35">
      <c r="A10">
        <v>672</v>
      </c>
      <c r="B10">
        <v>762</v>
      </c>
      <c r="C10">
        <f t="shared" si="0"/>
        <v>-90</v>
      </c>
      <c r="D10">
        <f t="shared" si="1"/>
        <v>-1</v>
      </c>
      <c r="E10">
        <f t="shared" si="2"/>
        <v>90</v>
      </c>
      <c r="F10">
        <f t="shared" si="3"/>
        <v>5</v>
      </c>
      <c r="G10">
        <f t="shared" si="4"/>
        <v>-5</v>
      </c>
    </row>
    <row r="11" spans="1:11" x14ac:dyDescent="0.35">
      <c r="A11">
        <v>432</v>
      </c>
      <c r="B11">
        <v>995</v>
      </c>
      <c r="C11">
        <f t="shared" si="0"/>
        <v>-563</v>
      </c>
      <c r="D11">
        <f t="shared" si="1"/>
        <v>-1</v>
      </c>
      <c r="E11">
        <f t="shared" si="2"/>
        <v>563</v>
      </c>
      <c r="F11">
        <f t="shared" si="3"/>
        <v>15</v>
      </c>
      <c r="G11">
        <f t="shared" si="4"/>
        <v>-15</v>
      </c>
    </row>
    <row r="12" spans="1:11" x14ac:dyDescent="0.35">
      <c r="A12">
        <v>664</v>
      </c>
      <c r="B12">
        <v>644</v>
      </c>
      <c r="C12">
        <f t="shared" si="0"/>
        <v>20</v>
      </c>
      <c r="D12">
        <f t="shared" si="1"/>
        <v>1</v>
      </c>
      <c r="E12">
        <f t="shared" si="2"/>
        <v>20</v>
      </c>
      <c r="F12">
        <f t="shared" si="3"/>
        <v>1</v>
      </c>
      <c r="G12">
        <f t="shared" si="4"/>
        <v>1</v>
      </c>
    </row>
    <row r="13" spans="1:11" x14ac:dyDescent="0.35">
      <c r="A13">
        <v>343</v>
      </c>
      <c r="B13">
        <v>222</v>
      </c>
      <c r="C13">
        <f t="shared" si="0"/>
        <v>121</v>
      </c>
      <c r="D13">
        <f t="shared" si="1"/>
        <v>1</v>
      </c>
      <c r="E13">
        <f t="shared" si="2"/>
        <v>121</v>
      </c>
      <c r="F13">
        <f t="shared" si="3"/>
        <v>9</v>
      </c>
      <c r="G13">
        <f t="shared" si="4"/>
        <v>9</v>
      </c>
    </row>
    <row r="14" spans="1:11" x14ac:dyDescent="0.35">
      <c r="A14">
        <v>654</v>
      </c>
      <c r="B14">
        <v>333</v>
      </c>
      <c r="C14">
        <f t="shared" si="0"/>
        <v>321</v>
      </c>
      <c r="D14">
        <f t="shared" si="1"/>
        <v>1</v>
      </c>
      <c r="E14">
        <f t="shared" si="2"/>
        <v>321</v>
      </c>
      <c r="F14">
        <f>RANK(E14,$E$4:$E$100,1)</f>
        <v>12</v>
      </c>
      <c r="G14">
        <f t="shared" si="4"/>
        <v>12</v>
      </c>
    </row>
    <row r="15" spans="1:11" x14ac:dyDescent="0.35">
      <c r="A15">
        <v>222</v>
      </c>
      <c r="B15">
        <v>123</v>
      </c>
      <c r="C15">
        <f t="shared" si="0"/>
        <v>99</v>
      </c>
      <c r="D15">
        <f t="shared" si="1"/>
        <v>1</v>
      </c>
      <c r="E15">
        <f t="shared" si="2"/>
        <v>99</v>
      </c>
      <c r="F15">
        <f t="shared" si="3"/>
        <v>7</v>
      </c>
      <c r="G15">
        <f t="shared" si="4"/>
        <v>7</v>
      </c>
    </row>
    <row r="16" spans="1:11" x14ac:dyDescent="0.35">
      <c r="A16">
        <v>200</v>
      </c>
      <c r="B16">
        <v>754</v>
      </c>
      <c r="C16">
        <f t="shared" si="0"/>
        <v>-554</v>
      </c>
      <c r="D16">
        <f t="shared" si="1"/>
        <v>-1</v>
      </c>
      <c r="E16">
        <f t="shared" si="2"/>
        <v>554</v>
      </c>
      <c r="F16">
        <f t="shared" si="3"/>
        <v>14</v>
      </c>
      <c r="G16">
        <f t="shared" si="4"/>
        <v>-14</v>
      </c>
    </row>
    <row r="17" spans="1:9" x14ac:dyDescent="0.35">
      <c r="A17">
        <v>486</v>
      </c>
      <c r="B17">
        <v>286</v>
      </c>
      <c r="C17">
        <f t="shared" si="0"/>
        <v>200</v>
      </c>
      <c r="D17">
        <f t="shared" si="1"/>
        <v>1</v>
      </c>
      <c r="E17">
        <f t="shared" si="2"/>
        <v>200</v>
      </c>
      <c r="F17">
        <f t="shared" si="3"/>
        <v>11</v>
      </c>
      <c r="G17">
        <f t="shared" si="4"/>
        <v>11</v>
      </c>
    </row>
    <row r="18" spans="1:9" x14ac:dyDescent="0.35">
      <c r="A18">
        <v>305</v>
      </c>
      <c r="B18">
        <v>444</v>
      </c>
      <c r="C18">
        <f t="shared" si="0"/>
        <v>-139</v>
      </c>
      <c r="D18">
        <f t="shared" si="1"/>
        <v>-1</v>
      </c>
      <c r="E18">
        <f t="shared" si="2"/>
        <v>139</v>
      </c>
      <c r="F18">
        <f t="shared" si="3"/>
        <v>10</v>
      </c>
      <c r="G18">
        <f t="shared" si="4"/>
        <v>-10</v>
      </c>
    </row>
    <row r="22" spans="1:9" x14ac:dyDescent="0.35">
      <c r="I22" s="19"/>
    </row>
  </sheetData>
  <scenarios current="0" show="0">
    <scenario name="WILCOXON" locked="1" count="1" user="44785" comment="Created by 44785 on 11/06/2019_x000a_Modified by 44785 on 11/06/2019">
      <inputCells r="I6" val="7"/>
    </scenario>
  </scenarios>
  <mergeCells count="1">
    <mergeCell ref="F1:K1"/>
  </mergeCells>
  <conditionalFormatting sqref="G4:G18">
    <cfRule type="cellIs" dxfId="1" priority="8" operator="greaterThan">
      <formula>-1.5</formula>
    </cfRule>
  </conditionalFormatting>
  <conditionalFormatting sqref="H4:H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{85687C53-D7FC-4B7A-932F-9A258BE9C308}</x14:id>
        </ext>
      </extLst>
    </cfRule>
  </conditionalFormatting>
  <conditionalFormatting sqref="I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{4B844A50-20F5-4811-9208-F1097A123CBA}</x14:id>
        </ext>
      </extLst>
    </cfRule>
  </conditionalFormatting>
  <conditionalFormatting sqref="J4:J5">
    <cfRule type="colorScale" priority="6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687C53-D7FC-4B7A-932F-9A258BE9C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I4:I5</xm:sqref>
        </x14:conditionalFormatting>
        <x14:conditionalFormatting xmlns:xm="http://schemas.microsoft.com/office/excel/2006/main">
          <x14:cfRule type="dataBar" id="{4B844A50-20F5-4811-9208-F1097A123C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iconSet" priority="1" id="{C893EE33-7017-4C2C-B5EA-97575996B6D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J4:J5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o F P M T q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K B T z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U 8 x O 1 R E i 6 h k B A A D P A g A A E w A c A E Z v c m 1 1 b G F z L 1 N l Y 3 R p b 2 4 x L m 0 g o h g A K K A U A A A A A A A A A A A A A A A A A A A A A A A A A A A A d Z H P a 8 I w F I D v h f 4 P I V 4 U Q l l q a 9 2 k p 7 r B L o N R P a 0 7 d P V N A 2 0 i y e u m i P / 7 I k U 2 Y S + X J N / 3 8 n 4 Q B w 0 q o 1 k 5 7 H I R B m H g d r W F D R v x 8 h s A k K l u b y x y l r M W M A y Y X 6 X p b Q O e F O 4 r W p q m 7 0 D j + E m 1 E B V G o 7 + 4 M S 8 e q r U D 6 6 o k y e Z p d Q 1 z 1 U 3 e C A / I J + J t C a 3 q F I L N u e C C F a b t O + 1 y m Q n 2 q B u z U X q b y z i N B X v t D U K J x x b y 3 2 P 0 Y j S 8 T 8 T Q 3 4 g X u 1 p v / R S r 4 x 4 u r a / q D x + 0 s r V 2 n 8 Z 2 Q / q L d O N h G H E 6 8 Y F K X / 5 Z 4 y y J L v 4 s 2 F X E X q B H D O G A f / i U 4 A n B U 4 L P C J 4 R f E 4 1 e k 8 8 k H e U k J S I q R p y S p q E N C l p Z q T J b s 1 5 E g Z K / / v N i x 9 Q S w E C L Q A U A A I A C A C g U 8 x O r i a 1 Y a g A A A D 5 A A A A E g A A A A A A A A A A A A A A A A A A A A A A Q 2 9 u Z m l n L 1 B h Y 2 t h Z 2 U u e G 1 s U E s B A i 0 A F A A C A A g A o F P M T g / K 6 a u k A A A A 6 Q A A A B M A A A A A A A A A A A A A A A A A 9 A A A A F t D b 2 5 0 Z W 5 0 X 1 R 5 c G V z X S 5 4 b W x Q S w E C L Q A U A A I A C A C g U 8 x O 1 R E i 6 h k B A A D P A g A A E w A A A A A A A A A A A A A A A A D l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E Q A A A A A A A O k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2 V l Z X Q l M j B p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2 V l Z X R f a W 1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E y V D A 5 O j I 5 O j A x L j g 1 M T U 5 M T J a I i A v P j x F b n R y e S B U e X B l P S J G a W x s Q 2 9 s d W 1 u V H l w Z X M i I F Z h b H V l P S J z Q X d Z R 0 J n W U d C Z 0 1 H Q m d Z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3 Z W V l d C B p b X B v c n Q v Q 2 h h b m d l Z C B U e X B l L n t D b 2 x 1 b W 4 x L D B 9 J n F 1 b 3 Q 7 L C Z x d W 9 0 O 1 N l Y 3 R p b 2 4 x L 1 N 3 Z W V l d C B p b X B v c n Q v Q 2 h h b m d l Z C B U e X B l L n t D b 2 x 1 b W 4 y L D F 9 J n F 1 b 3 Q 7 L C Z x d W 9 0 O 1 N l Y 3 R p b 2 4 x L 1 N 3 Z W V l d C B p b X B v c n Q v Q 2 h h b m d l Z C B U e X B l L n t D b 2 x 1 b W 4 z L D J 9 J n F 1 b 3 Q 7 L C Z x d W 9 0 O 1 N l Y 3 R p b 2 4 x L 1 N 3 Z W V l d C B p b X B v c n Q v Q 2 h h b m d l Z C B U e X B l L n t D b 2 x 1 b W 4 0 L D N 9 J n F 1 b 3 Q 7 L C Z x d W 9 0 O 1 N l Y 3 R p b 2 4 x L 1 N 3 Z W V l d C B p b X B v c n Q v Q 2 h h b m d l Z C B U e X B l L n t D b 2 x 1 b W 4 1 L D R 9 J n F 1 b 3 Q 7 L C Z x d W 9 0 O 1 N l Y 3 R p b 2 4 x L 1 N 3 Z W V l d C B p b X B v c n Q v Q 2 h h b m d l Z C B U e X B l L n t D b 2 x 1 b W 4 2 L D V 9 J n F 1 b 3 Q 7 L C Z x d W 9 0 O 1 N l Y 3 R p b 2 4 x L 1 N 3 Z W V l d C B p b X B v c n Q v Q 2 h h b m d l Z C B U e X B l L n t D b 2 x 1 b W 4 3 L D Z 9 J n F 1 b 3 Q 7 L C Z x d W 9 0 O 1 N l Y 3 R p b 2 4 x L 1 N 3 Z W V l d C B p b X B v c n Q v Q 2 h h b m d l Z C B U e X B l L n t D b 2 x 1 b W 4 4 L D d 9 J n F 1 b 3 Q 7 L C Z x d W 9 0 O 1 N l Y 3 R p b 2 4 x L 1 N 3 Z W V l d C B p b X B v c n Q v Q 2 h h b m d l Z C B U e X B l L n t D b 2 x 1 b W 4 5 L D h 9 J n F 1 b 3 Q 7 L C Z x d W 9 0 O 1 N l Y 3 R p b 2 4 x L 1 N 3 Z W V l d C B p b X B v c n Q v Q 2 h h b m d l Z C B U e X B l L n t D b 2 x 1 b W 4 x M C w 5 f S Z x d W 9 0 O y w m c X V v d D t T Z W N 0 a W 9 u M S 9 T d 2 V l Z X Q g a W 1 w b 3 J 0 L 0 N o Y W 5 n Z W Q g V H l w Z S 5 7 Q 2 9 s d W 1 u M T E s M T B 9 J n F 1 b 3 Q 7 L C Z x d W 9 0 O 1 N l Y 3 R p b 2 4 x L 1 N 3 Z W V l d C B p b X B v c n Q v Q 2 h h b m d l Z C B U e X B l L n t D b 2 x 1 b W 4 x M i w x M X 0 m c X V v d D s s J n F 1 b 3 Q 7 U 2 V j d G l v b j E v U 3 d l Z W V 0 I G l t c G 9 y d C 9 D a G F u Z 2 V k I F R 5 c G U u e 0 N v b H V t b j E z L D E y f S Z x d W 9 0 O y w m c X V v d D t T Z W N 0 a W 9 u M S 9 T d 2 V l Z X Q g a W 1 w b 3 J 0 L 0 N o Y W 5 n Z W Q g V H l w Z S 5 7 Q 2 9 s d W 1 u M T Q s M T N 9 J n F 1 b 3 Q 7 L C Z x d W 9 0 O 1 N l Y 3 R p b 2 4 x L 1 N 3 Z W V l d C B p b X B v c n Q v Q 2 h h b m d l Z C B U e X B l L n t D b 2 x 1 b W 4 x N S w x N H 0 m c X V v d D s s J n F 1 b 3 Q 7 U 2 V j d G l v b j E v U 3 d l Z W V 0 I G l t c G 9 y d C 9 D a G F u Z 2 V k I F R 5 c G U u e 0 N v b H V t b j E 2 L D E 1 f S Z x d W 9 0 O y w m c X V v d D t T Z W N 0 a W 9 u M S 9 T d 2 V l Z X Q g a W 1 w b 3 J 0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d 2 V l Z X Q g a W 1 w b 3 J 0 L 0 N o Y W 5 n Z W Q g V H l w Z S 5 7 Q 2 9 s d W 1 u M S w w f S Z x d W 9 0 O y w m c X V v d D t T Z W N 0 a W 9 u M S 9 T d 2 V l Z X Q g a W 1 w b 3 J 0 L 0 N o Y W 5 n Z W Q g V H l w Z S 5 7 Q 2 9 s d W 1 u M i w x f S Z x d W 9 0 O y w m c X V v d D t T Z W N 0 a W 9 u M S 9 T d 2 V l Z X Q g a W 1 w b 3 J 0 L 0 N o Y W 5 n Z W Q g V H l w Z S 5 7 Q 2 9 s d W 1 u M y w y f S Z x d W 9 0 O y w m c X V v d D t T Z W N 0 a W 9 u M S 9 T d 2 V l Z X Q g a W 1 w b 3 J 0 L 0 N o Y W 5 n Z W Q g V H l w Z S 5 7 Q 2 9 s d W 1 u N C w z f S Z x d W 9 0 O y w m c X V v d D t T Z W N 0 a W 9 u M S 9 T d 2 V l Z X Q g a W 1 w b 3 J 0 L 0 N o Y W 5 n Z W Q g V H l w Z S 5 7 Q 2 9 s d W 1 u N S w 0 f S Z x d W 9 0 O y w m c X V v d D t T Z W N 0 a W 9 u M S 9 T d 2 V l Z X Q g a W 1 w b 3 J 0 L 0 N o Y W 5 n Z W Q g V H l w Z S 5 7 Q 2 9 s d W 1 u N i w 1 f S Z x d W 9 0 O y w m c X V v d D t T Z W N 0 a W 9 u M S 9 T d 2 V l Z X Q g a W 1 w b 3 J 0 L 0 N o Y W 5 n Z W Q g V H l w Z S 5 7 Q 2 9 s d W 1 u N y w 2 f S Z x d W 9 0 O y w m c X V v d D t T Z W N 0 a W 9 u M S 9 T d 2 V l Z X Q g a W 1 w b 3 J 0 L 0 N o Y W 5 n Z W Q g V H l w Z S 5 7 Q 2 9 s d W 1 u O C w 3 f S Z x d W 9 0 O y w m c X V v d D t T Z W N 0 a W 9 u M S 9 T d 2 V l Z X Q g a W 1 w b 3 J 0 L 0 N o Y W 5 n Z W Q g V H l w Z S 5 7 Q 2 9 s d W 1 u O S w 4 f S Z x d W 9 0 O y w m c X V v d D t T Z W N 0 a W 9 u M S 9 T d 2 V l Z X Q g a W 1 w b 3 J 0 L 0 N o Y W 5 n Z W Q g V H l w Z S 5 7 Q 2 9 s d W 1 u M T A s O X 0 m c X V v d D s s J n F 1 b 3 Q 7 U 2 V j d G l v b j E v U 3 d l Z W V 0 I G l t c G 9 y d C 9 D a G F u Z 2 V k I F R 5 c G U u e 0 N v b H V t b j E x L D E w f S Z x d W 9 0 O y w m c X V v d D t T Z W N 0 a W 9 u M S 9 T d 2 V l Z X Q g a W 1 w b 3 J 0 L 0 N o Y W 5 n Z W Q g V H l w Z S 5 7 Q 2 9 s d W 1 u M T I s M T F 9 J n F 1 b 3 Q 7 L C Z x d W 9 0 O 1 N l Y 3 R p b 2 4 x L 1 N 3 Z W V l d C B p b X B v c n Q v Q 2 h h b m d l Z C B U e X B l L n t D b 2 x 1 b W 4 x M y w x M n 0 m c X V v d D s s J n F 1 b 3 Q 7 U 2 V j d G l v b j E v U 3 d l Z W V 0 I G l t c G 9 y d C 9 D a G F u Z 2 V k I F R 5 c G U u e 0 N v b H V t b j E 0 L D E z f S Z x d W 9 0 O y w m c X V v d D t T Z W N 0 a W 9 u M S 9 T d 2 V l Z X Q g a W 1 w b 3 J 0 L 0 N o Y W 5 n Z W Q g V H l w Z S 5 7 Q 2 9 s d W 1 u M T U s M T R 9 J n F 1 b 3 Q 7 L C Z x d W 9 0 O 1 N l Y 3 R p b 2 4 x L 1 N 3 Z W V l d C B p b X B v c n Q v Q 2 h h b m d l Z C B U e X B l L n t D b 2 x 1 b W 4 x N i w x N X 0 m c X V v d D s s J n F 1 b 3 Q 7 U 2 V j d G l v b j E v U 3 d l Z W V 0 I G l t c G 9 y d C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d l Z W V 0 J T I w a W 1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Z W V l d C U y M G l t c G 9 y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J C o u I O X n T J r g R 0 r R p q n B A A A A A A I A A A A A A B B m A A A A A Q A A I A A A A K v 3 / M v u a M K e s N i 0 b 1 4 z l R m o v Q C z 7 J 2 8 o m M S M a b J e g F C A A A A A A 6 A A A A A A g A A I A A A A A A y F h f s A C w L o c b v C K D Q q r m b 7 J 7 k X t m I 4 Q n l I i m 1 Y 3 u 5 U A A A A D 0 Q w C 4 C 8 R Q 0 w 0 C g m o Z l s n K j E X w s N g 7 r c b W c E 1 l I G e U n 2 Z m t h K P T Y F 8 5 + h E X 1 4 I M L o X n R E 7 X T S 8 P n g h O d C 1 f 3 v / 5 5 0 z m G 2 n 7 0 v C g p i Q + i n O v Q A A A A M x Q 1 j 5 i 4 h 4 / 6 j p C y 6 C h q 5 e F j m x d e u k Z + Q 9 / j 2 q C r K X f d 3 y O / P y K K N k a / 7 d O C 1 R Z + Y i 5 n l 7 j 5 T a 2 g b 7 k p c Q 9 A t o = < / D a t a M a s h u p > 
</file>

<file path=customXml/itemProps1.xml><?xml version="1.0" encoding="utf-8"?>
<ds:datastoreItem xmlns:ds="http://schemas.openxmlformats.org/officeDocument/2006/customXml" ds:itemID="{7EFA219A-2614-49A4-97C9-A1C3D44581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imported Data</vt:lpstr>
      <vt:lpstr>Scenario Summary </vt:lpstr>
      <vt:lpstr>Spearman's</vt:lpstr>
      <vt:lpstr>Pearsons</vt:lpstr>
      <vt:lpstr>Test of Population Proportion</vt:lpstr>
      <vt:lpstr>UNPAIRED T TEST CALCULATOR</vt:lpstr>
      <vt:lpstr>PAIRED T TEST CALCULATOR</vt:lpstr>
      <vt:lpstr>Mann Whitney</vt:lpstr>
      <vt:lpstr>Wilcoxon</vt:lpstr>
      <vt:lpstr>sign</vt:lpstr>
      <vt:lpstr>chi square</vt:lpstr>
      <vt:lpstr>Complex chi square</vt:lpstr>
      <vt:lpstr>Chi_value</vt:lpstr>
      <vt:lpstr>Critical_Value</vt:lpstr>
      <vt:lpstr>Decision_rule</vt:lpstr>
      <vt:lpstr>DF</vt:lpstr>
      <vt:lpstr>Female_Against</vt:lpstr>
      <vt:lpstr>Female_Oppose</vt:lpstr>
      <vt:lpstr>Male_Against</vt:lpstr>
      <vt:lpstr>Male_oppose</vt:lpstr>
      <vt:lpstr>One_or_twotailed</vt:lpstr>
      <vt:lpstr>SignificanceLevel</vt:lpstr>
      <vt:lpstr>Significant_0r_Not</vt:lpstr>
    </vt:vector>
  </TitlesOfParts>
  <Company>City of Bristol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Elmi</dc:creator>
  <cp:lastModifiedBy>Rilwan A</cp:lastModifiedBy>
  <cp:lastPrinted>2019-06-11T10:25:57Z</cp:lastPrinted>
  <dcterms:created xsi:type="dcterms:W3CDTF">2019-01-17T12:49:30Z</dcterms:created>
  <dcterms:modified xsi:type="dcterms:W3CDTF">2023-07-16T20:11:36Z</dcterms:modified>
</cp:coreProperties>
</file>