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ctrlProps/ctrlProp1.xml" ContentType="application/vnd.ms-excel.controlproperties+xml"/>
  <Override PartName="/xl/slicers/slicer1.xml" ContentType="application/vnd.ms-excel.slicer+xml"/>
  <Override PartName="/xl/charts/chart8.xml" ContentType="application/vnd.openxmlformats-officedocument.drawingml.chart+xml"/>
  <Override PartName="/xl/charts/chart9.xml" ContentType="application/vnd.openxmlformats-officedocument.drawingml.chart+xml"/>
  <Override PartName="/xl/drawings/drawing7.xml" ContentType="application/vnd.openxmlformats-officedocument.drawing+xml"/>
  <Override PartName="/xl/slicers/slicer2.xml" ContentType="application/vnd.ms-excel.slicer+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pivotTables/pivotTable7.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4.xml" ContentType="application/vnd.openxmlformats-officedocument.spreadsheetml.table+xml"/>
  <Override PartName="/xl/pivotTables/pivotTable13.xml" ContentType="application/vnd.openxmlformats-officedocument.spreadsheetml.pivotTable+xml"/>
  <Override PartName="/xl/drawings/drawing8.xml" ContentType="application/vnd.openxmlformats-officedocument.drawing+xml"/>
  <Override PartName="/xl/slicers/slicer3.xml" ContentType="application/vnd.ms-excel.slicer+xml"/>
  <Override PartName="/xl/charts/chart15.xml" ContentType="application/vnd.openxmlformats-officedocument.drawingml.chart+xml"/>
  <Override PartName="/xl/drawings/drawing9.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405" yWindow="-210" windowWidth="19200" windowHeight="10095" tabRatio="868" firstSheet="6" activeTab="14"/>
  </bookViews>
  <sheets>
    <sheet name="IRL+BRL" sheetId="9" state="hidden" r:id="rId1"/>
    <sheet name="Metric" sheetId="8" state="hidden" r:id="rId2"/>
    <sheet name="Waste to Landfill comparison" sheetId="11" state="hidden" r:id="rId3"/>
    <sheet name="IRL+BRL Test" sheetId="12" state="hidden" r:id="rId4"/>
    <sheet name="Dashboard" sheetId="18" r:id="rId5"/>
    <sheet name="Emissions" sheetId="20" r:id="rId6"/>
    <sheet name="Labour" sheetId="22" r:id="rId7"/>
    <sheet name="EHS National Report Chart" sheetId="15" r:id="rId8"/>
    <sheet name="Link to Chart" sheetId="13" r:id="rId9"/>
    <sheet name="Top Incident Types Data" sheetId="23" r:id="rId10"/>
    <sheet name="Data" sheetId="24" r:id="rId11"/>
    <sheet name="IR by Job Function" sheetId="25" r:id="rId12"/>
    <sheet name="Spills - Internal" sheetId="26" r:id="rId13"/>
    <sheet name="Spills - Internal Graph" sheetId="27" r:id="rId14"/>
    <sheet name="Spills - External" sheetId="28" r:id="rId15"/>
    <sheet name="Sheet1" sheetId="31" r:id="rId16"/>
  </sheets>
  <externalReferences>
    <externalReference r:id="rId17"/>
    <externalReference r:id="rId18"/>
    <externalReference r:id="rId19"/>
  </externalReferences>
  <definedNames>
    <definedName name="Belleville">OFFSET(cat,0,37)</definedName>
    <definedName name="BellevilleRolling">OFFSET(cat,0,38)</definedName>
    <definedName name="BRL">OFFSET(cat,0,64)</definedName>
    <definedName name="BRLRolling">OFFSET(cat,0,65)</definedName>
    <definedName name="cat">OFFSET('[1]Biohazardus Data - Labs'!$C$21,COUNTA('[1]Biohazardus Data - Labs'!$C$1:$C$65536)-1,0,-MIN(length,COUNTA('[1]Biohazardus Data - Labs'!$C$1:$C$65536)-1),1)</definedName>
    <definedName name="chtcat" localSheetId="5">OFFSET(#REF!,COUNTA(#REF!)-1,0,-MIN([0]!chtlen,COUNTA(#REF!)-1),1)</definedName>
    <definedName name="chtcat" localSheetId="6">OFFSET(#REF!,COUNTA(#REF!)-1,0,-MIN([0]!chtlen,COUNTA(#REF!)-1),1)</definedName>
    <definedName name="chtcat">OFFSET(#REF!,COUNTA(#REF!)-1,0,-MIN(chtlen,COUNTA(#REF!)-1),1)</definedName>
    <definedName name="chtlen">'[1]Biohazardus Data - Labs'!$A$2</definedName>
    <definedName name="IRL">OFFSET(cat,0,3)</definedName>
    <definedName name="IRLRolling">OFFSET(cat,0,4)</definedName>
    <definedName name="Kamloops">OFFSET(cat,0,59)</definedName>
    <definedName name="Kimberley">OFFSET(cat,0,47)</definedName>
    <definedName name="Kingston">OFFSET(cat,0,52)</definedName>
    <definedName name="length">'[1]Biohazardus Data - Labs'!$A$2</definedName>
    <definedName name="London">OFFSET(cat,0,31)</definedName>
    <definedName name="LondonRolling">OFFSET(cat,0,32)</definedName>
    <definedName name="Montreal">OFFSET(cat,0,59)</definedName>
    <definedName name="Omineca">OFFSET(cat,0,43)</definedName>
    <definedName name="Ottawa">OFFSET(cat,0,43)</definedName>
    <definedName name="OttawaRolling">OFFSET(cat,0,44)</definedName>
    <definedName name="PGeorge">OFFSET(cat,0,55)</definedName>
    <definedName name="Schmon">OFFSET(cat,0,21)</definedName>
    <definedName name="SchmonRolling">OFFSET(cat,0,22)</definedName>
    <definedName name="Slicer_Category">#N/A</definedName>
    <definedName name="Slicer_City">#N/A</definedName>
    <definedName name="Slicer_Corrective_Actions">#N/A</definedName>
    <definedName name="Slicer_Incident_Classification">#N/A</definedName>
    <definedName name="Slicer_Location">#N/A</definedName>
    <definedName name="Slicer_Month">#N/A</definedName>
    <definedName name="Slicer_Month1">#N/A</definedName>
    <definedName name="Slicer_Month2">#N/A</definedName>
    <definedName name="Slicer_Province">#N/A</definedName>
    <definedName name="Slicer_Province1">#N/A</definedName>
    <definedName name="Slicer_Province2">#N/A</definedName>
    <definedName name="Slicer_Root_Cause">#N/A</definedName>
    <definedName name="Slicer_Year">#N/A</definedName>
    <definedName name="Slicer_Year1">#N/A</definedName>
    <definedName name="Slicer_Year2">#N/A</definedName>
    <definedName name="Sudbury">OFFSET(cat,0,9)</definedName>
    <definedName name="SudburyRolling">OFFSET(cat,0,10)</definedName>
    <definedName name="TBay">OFFSET(cat,0,15)</definedName>
    <definedName name="TBayRolling">OFFSET(cat,0,16)</definedName>
    <definedName name="VRL">OFFSET(cat,0,70)</definedName>
    <definedName name="VRLRolling">OFFSET(cat,0,71)</definedName>
  </definedNames>
  <calcPr calcId="145621"/>
  <pivotCaches>
    <pivotCache cacheId="3" r:id="rId20"/>
    <pivotCache cacheId="4" r:id="rId21"/>
    <pivotCache cacheId="5" r:id="rId22"/>
    <pivotCache cacheId="6" r:id="rId23"/>
    <pivotCache cacheId="7" r:id="rId24"/>
    <pivotCache cacheId="8" r:id="rId25"/>
    <pivotCache cacheId="10" r:id="rId26"/>
    <pivotCache cacheId="17"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0" i="28" l="1"/>
  <c r="V9" i="28"/>
  <c r="V8" i="28"/>
  <c r="V7" i="28"/>
  <c r="U10" i="28"/>
  <c r="U9" i="28"/>
  <c r="U8" i="28"/>
  <c r="U7" i="28"/>
  <c r="D19" i="26"/>
  <c r="E19" i="26"/>
  <c r="D18" i="26"/>
  <c r="E18" i="26"/>
  <c r="D17" i="26"/>
  <c r="E17" i="26"/>
  <c r="D16" i="26"/>
  <c r="E16" i="26"/>
  <c r="D15" i="26"/>
  <c r="E15" i="26"/>
  <c r="CI91" i="23" l="1"/>
  <c r="CH91" i="23"/>
  <c r="CG91" i="23"/>
  <c r="CG42" i="23" s="1"/>
  <c r="CF91" i="23"/>
  <c r="CE91" i="23"/>
  <c r="CD91" i="23"/>
  <c r="CC91" i="23"/>
  <c r="CC42" i="23" s="1"/>
  <c r="CB91" i="23"/>
  <c r="CA91" i="23"/>
  <c r="BZ91" i="23"/>
  <c r="BZ42" i="23" s="1"/>
  <c r="BY91" i="23"/>
  <c r="BY42" i="23" s="1"/>
  <c r="BX91" i="23"/>
  <c r="BW91" i="23"/>
  <c r="BO91" i="23"/>
  <c r="BN91" i="23"/>
  <c r="BN42" i="23" s="1"/>
  <c r="BN55" i="23" s="1"/>
  <c r="BM91" i="23"/>
  <c r="BL91" i="23"/>
  <c r="CG89" i="23"/>
  <c r="CF89" i="23"/>
  <c r="CE89" i="23"/>
  <c r="CE42" i="23" s="1"/>
  <c r="CD89" i="23"/>
  <c r="CC89" i="23"/>
  <c r="CB89" i="23"/>
  <c r="CA89" i="23"/>
  <c r="CA42" i="23" s="1"/>
  <c r="BZ89" i="23"/>
  <c r="BY89" i="23"/>
  <c r="BX89" i="23"/>
  <c r="BW89" i="23"/>
  <c r="BW42" i="23" s="1"/>
  <c r="BV89" i="23"/>
  <c r="BU89" i="23"/>
  <c r="BT89" i="23"/>
  <c r="BT42" i="23" s="1"/>
  <c r="BT51" i="23" s="1"/>
  <c r="BS89" i="23"/>
  <c r="BS42" i="23" s="1"/>
  <c r="BR89" i="23"/>
  <c r="BQ89" i="23"/>
  <c r="BQ42" i="23" s="1"/>
  <c r="BP89" i="23"/>
  <c r="BP42" i="23" s="1"/>
  <c r="BP51" i="23" s="1"/>
  <c r="BO89" i="23"/>
  <c r="BN89" i="23"/>
  <c r="BM89" i="23"/>
  <c r="BL89" i="23"/>
  <c r="BL42" i="23" s="1"/>
  <c r="CA87" i="23"/>
  <c r="CG86" i="23"/>
  <c r="CF86" i="23"/>
  <c r="CF22" i="23" s="1"/>
  <c r="CE86" i="23"/>
  <c r="CE22" i="23" s="1"/>
  <c r="CD86" i="23"/>
  <c r="CC86" i="23"/>
  <c r="CB86" i="23"/>
  <c r="CA86" i="23"/>
  <c r="CA22" i="23" s="1"/>
  <c r="BZ86" i="23"/>
  <c r="BY86" i="23"/>
  <c r="BX86" i="23"/>
  <c r="BW86" i="23"/>
  <c r="BW22" i="23" s="1"/>
  <c r="BV86" i="23"/>
  <c r="BU86" i="23"/>
  <c r="BT86" i="23"/>
  <c r="BT22" i="23" s="1"/>
  <c r="BS86" i="23"/>
  <c r="BS22" i="23" s="1"/>
  <c r="BR86" i="23"/>
  <c r="BQ86" i="23"/>
  <c r="BP86" i="23"/>
  <c r="BO86" i="23"/>
  <c r="BO22" i="23" s="1"/>
  <c r="BN86" i="23"/>
  <c r="BM86" i="23"/>
  <c r="BL86" i="23"/>
  <c r="BL22" i="23" s="1"/>
  <c r="CA85" i="23"/>
  <c r="CG84" i="23"/>
  <c r="CG22" i="23" s="1"/>
  <c r="CF84" i="23"/>
  <c r="CE84" i="23"/>
  <c r="CD84" i="23"/>
  <c r="CC84" i="23"/>
  <c r="CC22" i="23" s="1"/>
  <c r="CC35" i="23" s="1"/>
  <c r="CB84" i="23"/>
  <c r="CA84" i="23"/>
  <c r="BZ84" i="23"/>
  <c r="BY84" i="23"/>
  <c r="BY22" i="23" s="1"/>
  <c r="BX84" i="23"/>
  <c r="BW84" i="23"/>
  <c r="BV84" i="23"/>
  <c r="BU84" i="23"/>
  <c r="BU22" i="23" s="1"/>
  <c r="BT84" i="23"/>
  <c r="BS84" i="23"/>
  <c r="BR84" i="23"/>
  <c r="BQ84" i="23"/>
  <c r="BQ22" i="23" s="1"/>
  <c r="BQ28" i="23" s="1"/>
  <c r="BP84" i="23"/>
  <c r="BO84" i="23"/>
  <c r="BN84" i="23"/>
  <c r="BM84" i="23"/>
  <c r="BM22" i="23" s="1"/>
  <c r="BM35" i="23" s="1"/>
  <c r="BL84" i="23"/>
  <c r="CJ79" i="23"/>
  <c r="CI79" i="23"/>
  <c r="CH79" i="23"/>
  <c r="CG79" i="23"/>
  <c r="CF79" i="23"/>
  <c r="CE79" i="23"/>
  <c r="CD79" i="23"/>
  <c r="CC79" i="23"/>
  <c r="CB79" i="23"/>
  <c r="CA79" i="23"/>
  <c r="BZ79" i="23"/>
  <c r="BY79" i="23"/>
  <c r="BX79" i="23"/>
  <c r="BW79" i="23"/>
  <c r="BV79" i="23"/>
  <c r="BU79" i="23"/>
  <c r="BT79" i="23"/>
  <c r="BS79" i="23"/>
  <c r="BR79" i="23"/>
  <c r="BQ79" i="23"/>
  <c r="BP79" i="23"/>
  <c r="BO79" i="23"/>
  <c r="BN79" i="23"/>
  <c r="BM79" i="23"/>
  <c r="BL79" i="23"/>
  <c r="BK79" i="23"/>
  <c r="BJ79" i="23"/>
  <c r="BI79" i="23"/>
  <c r="BH79" i="23"/>
  <c r="BG79" i="23"/>
  <c r="BF79" i="23"/>
  <c r="BE79" i="23"/>
  <c r="BD79" i="23"/>
  <c r="BC79" i="23"/>
  <c r="BB79" i="23"/>
  <c r="BA79" i="23"/>
  <c r="AZ79" i="23"/>
  <c r="AY79" i="23"/>
  <c r="K78" i="23"/>
  <c r="J78" i="23"/>
  <c r="I78" i="23"/>
  <c r="H78" i="23"/>
  <c r="G78" i="23"/>
  <c r="F78" i="23"/>
  <c r="E78" i="23"/>
  <c r="D78" i="23"/>
  <c r="C78" i="23"/>
  <c r="B78" i="23"/>
  <c r="CJ76" i="23"/>
  <c r="CI76" i="23"/>
  <c r="CH76" i="23"/>
  <c r="CG76" i="23"/>
  <c r="CF76" i="23"/>
  <c r="CE76" i="23"/>
  <c r="CD76" i="23"/>
  <c r="CC76" i="23"/>
  <c r="CB76" i="23"/>
  <c r="CA76" i="23"/>
  <c r="BZ76" i="23"/>
  <c r="BY76" i="23"/>
  <c r="BX76" i="23"/>
  <c r="BW76" i="23"/>
  <c r="BV76" i="23"/>
  <c r="BU76" i="23"/>
  <c r="BT76" i="23"/>
  <c r="BS76" i="23"/>
  <c r="BR76" i="23"/>
  <c r="BQ76" i="23"/>
  <c r="BP76" i="23"/>
  <c r="BO76" i="23"/>
  <c r="BN76" i="23"/>
  <c r="BM76" i="23"/>
  <c r="BL76" i="23"/>
  <c r="BK76" i="23"/>
  <c r="BJ76" i="23"/>
  <c r="BI76" i="23"/>
  <c r="BH76" i="23"/>
  <c r="BG76" i="23"/>
  <c r="BF76" i="23"/>
  <c r="BE76" i="23"/>
  <c r="BD76" i="23"/>
  <c r="BC76" i="23"/>
  <c r="BB76" i="23"/>
  <c r="BA76" i="23"/>
  <c r="AZ76" i="23"/>
  <c r="AY76" i="23"/>
  <c r="AX76" i="23"/>
  <c r="AW76" i="23"/>
  <c r="AV76" i="23"/>
  <c r="AU76" i="23"/>
  <c r="AT76" i="23"/>
  <c r="AS76" i="23"/>
  <c r="AR76" i="23"/>
  <c r="AQ76" i="23"/>
  <c r="AP76" i="23"/>
  <c r="AO76" i="23"/>
  <c r="AN76" i="23"/>
  <c r="AM76" i="23"/>
  <c r="AL76" i="23"/>
  <c r="AK76" i="23"/>
  <c r="AJ76" i="23"/>
  <c r="AI76" i="23"/>
  <c r="AH76" i="23"/>
  <c r="AG76" i="23"/>
  <c r="AF76" i="23"/>
  <c r="AE76" i="23"/>
  <c r="AD76" i="23"/>
  <c r="AC76" i="23"/>
  <c r="AB76" i="23"/>
  <c r="AA76" i="23"/>
  <c r="Z76" i="23"/>
  <c r="Y76" i="23"/>
  <c r="X76" i="23"/>
  <c r="W76" i="23"/>
  <c r="V76" i="23"/>
  <c r="U76" i="23"/>
  <c r="T76" i="23"/>
  <c r="S76" i="23"/>
  <c r="R76" i="23"/>
  <c r="Q76" i="23"/>
  <c r="P76" i="23"/>
  <c r="O76" i="23"/>
  <c r="N76" i="23"/>
  <c r="CJ75" i="23"/>
  <c r="CI75" i="23"/>
  <c r="CH75" i="23"/>
  <c r="CG75" i="23"/>
  <c r="CF75" i="23"/>
  <c r="CE75" i="23"/>
  <c r="CD75" i="23"/>
  <c r="CC75" i="23"/>
  <c r="CB75" i="23"/>
  <c r="CA75" i="23"/>
  <c r="BZ75" i="23"/>
  <c r="BY75" i="23"/>
  <c r="BX75" i="23"/>
  <c r="BW75" i="23"/>
  <c r="BV75" i="23"/>
  <c r="BU75" i="23"/>
  <c r="BT75" i="23"/>
  <c r="BS75" i="23"/>
  <c r="BR75" i="23"/>
  <c r="BQ75" i="23"/>
  <c r="BP75" i="23"/>
  <c r="BO75" i="23"/>
  <c r="BN75" i="23"/>
  <c r="BM75" i="23"/>
  <c r="BL75" i="23"/>
  <c r="BK75" i="23"/>
  <c r="BJ75" i="23"/>
  <c r="BI75" i="23"/>
  <c r="BH75" i="23"/>
  <c r="BG75" i="23"/>
  <c r="BF75" i="23"/>
  <c r="BE75" i="23"/>
  <c r="BD75" i="23"/>
  <c r="BC75" i="23"/>
  <c r="BB75" i="23"/>
  <c r="BA75" i="23"/>
  <c r="AZ75" i="23"/>
  <c r="AY75" i="23"/>
  <c r="AX75" i="23"/>
  <c r="AW75" i="23"/>
  <c r="AV75" i="23"/>
  <c r="AU75" i="23"/>
  <c r="AT75" i="23"/>
  <c r="AS75" i="23"/>
  <c r="AR75" i="23"/>
  <c r="AQ75" i="23"/>
  <c r="AP75" i="23"/>
  <c r="AO75" i="23"/>
  <c r="AN75" i="23"/>
  <c r="AM75" i="23"/>
  <c r="AL75" i="23"/>
  <c r="AK75" i="23"/>
  <c r="AJ75" i="23"/>
  <c r="AI75" i="23"/>
  <c r="AH75" i="23"/>
  <c r="AG75" i="23"/>
  <c r="AF75" i="23"/>
  <c r="AE75" i="23"/>
  <c r="AD75" i="23"/>
  <c r="AC75" i="23"/>
  <c r="AB75" i="23"/>
  <c r="AA75" i="23"/>
  <c r="Z75" i="23"/>
  <c r="Y75" i="23"/>
  <c r="X75" i="23"/>
  <c r="W75" i="23"/>
  <c r="V75" i="23"/>
  <c r="U75" i="23"/>
  <c r="T75" i="23"/>
  <c r="S75" i="23"/>
  <c r="R75" i="23"/>
  <c r="Q75" i="23"/>
  <c r="P75" i="23"/>
  <c r="O75" i="23"/>
  <c r="K74" i="23"/>
  <c r="J74" i="23"/>
  <c r="I74" i="23"/>
  <c r="H74" i="23"/>
  <c r="G74" i="23"/>
  <c r="F74" i="23"/>
  <c r="E74" i="23"/>
  <c r="D74" i="23"/>
  <c r="C74" i="23"/>
  <c r="B74" i="23"/>
  <c r="CJ72" i="23"/>
  <c r="CI72" i="23"/>
  <c r="CH72" i="23"/>
  <c r="CG72" i="23"/>
  <c r="CF72" i="23"/>
  <c r="CE72" i="23"/>
  <c r="CD72" i="23"/>
  <c r="CC72" i="23"/>
  <c r="CB72" i="23"/>
  <c r="CA72" i="23"/>
  <c r="BZ72" i="23"/>
  <c r="BY72" i="23"/>
  <c r="BX72" i="23"/>
  <c r="BW72" i="23"/>
  <c r="BV72" i="23"/>
  <c r="BU72" i="23"/>
  <c r="BT72" i="23"/>
  <c r="BS72" i="23"/>
  <c r="BR72" i="23"/>
  <c r="BQ72" i="23"/>
  <c r="BP72" i="23"/>
  <c r="BO72" i="23"/>
  <c r="BN72" i="23"/>
  <c r="BM72" i="23"/>
  <c r="BL72" i="23"/>
  <c r="BK72" i="23"/>
  <c r="BJ72" i="23"/>
  <c r="BI72" i="23"/>
  <c r="BH72" i="23"/>
  <c r="BG72" i="23"/>
  <c r="BF72" i="23"/>
  <c r="BE72" i="23"/>
  <c r="BD72" i="23"/>
  <c r="BC72" i="23"/>
  <c r="BB72" i="23"/>
  <c r="BA72" i="23"/>
  <c r="AZ72" i="23"/>
  <c r="AY72" i="23"/>
  <c r="AX72" i="23"/>
  <c r="AW72" i="23"/>
  <c r="AV72" i="23"/>
  <c r="AU72" i="23"/>
  <c r="AT72" i="23"/>
  <c r="AS72" i="23"/>
  <c r="AR72" i="23"/>
  <c r="AQ72" i="23"/>
  <c r="AP72" i="23"/>
  <c r="AO72" i="23"/>
  <c r="AN72" i="23"/>
  <c r="AM72" i="23"/>
  <c r="AL72" i="23"/>
  <c r="AK72" i="23"/>
  <c r="AJ72" i="23"/>
  <c r="AI72" i="23"/>
  <c r="AH72" i="23"/>
  <c r="AG72" i="23"/>
  <c r="AF72" i="23"/>
  <c r="AE72" i="23"/>
  <c r="AD72" i="23"/>
  <c r="AC72" i="23"/>
  <c r="AB72" i="23"/>
  <c r="AA72" i="23"/>
  <c r="Z72" i="23"/>
  <c r="Y72" i="23"/>
  <c r="X72" i="23"/>
  <c r="W72" i="23"/>
  <c r="V72" i="23"/>
  <c r="U72" i="23"/>
  <c r="T72" i="23"/>
  <c r="S72" i="23"/>
  <c r="R72" i="23"/>
  <c r="Q72" i="23"/>
  <c r="P72" i="23"/>
  <c r="O72" i="23"/>
  <c r="N72" i="23"/>
  <c r="M71" i="23"/>
  <c r="L71" i="23"/>
  <c r="K71" i="23"/>
  <c r="J71" i="23"/>
  <c r="I71" i="23"/>
  <c r="H71" i="23"/>
  <c r="G71" i="23"/>
  <c r="F71" i="23"/>
  <c r="E71" i="23"/>
  <c r="D71" i="23"/>
  <c r="C71" i="23"/>
  <c r="B71" i="23"/>
  <c r="CJ69" i="23"/>
  <c r="CI69" i="23"/>
  <c r="CH69" i="23"/>
  <c r="CG69" i="23"/>
  <c r="CF69" i="23"/>
  <c r="CE69" i="23"/>
  <c r="CD69" i="23"/>
  <c r="CC69" i="23"/>
  <c r="CB69" i="23"/>
  <c r="CA69" i="23"/>
  <c r="BZ69" i="23"/>
  <c r="BY69" i="23"/>
  <c r="BX69" i="23"/>
  <c r="BW69" i="23"/>
  <c r="BV69" i="23"/>
  <c r="BU69" i="23"/>
  <c r="BT69" i="23"/>
  <c r="BS69" i="23"/>
  <c r="BR69" i="23"/>
  <c r="BQ69" i="23"/>
  <c r="BP69" i="23"/>
  <c r="BO69" i="23"/>
  <c r="BN69" i="23"/>
  <c r="BM69" i="23"/>
  <c r="BL69" i="23"/>
  <c r="BK69" i="23"/>
  <c r="BJ69" i="23"/>
  <c r="BI69" i="23"/>
  <c r="BH69" i="23"/>
  <c r="BG69" i="23"/>
  <c r="BF69" i="23"/>
  <c r="BE69" i="23"/>
  <c r="BD69" i="23"/>
  <c r="BC69" i="23"/>
  <c r="BB69" i="23"/>
  <c r="BA69" i="23"/>
  <c r="AZ69" i="23"/>
  <c r="AY69" i="23"/>
  <c r="AX69" i="23"/>
  <c r="AW69" i="23"/>
  <c r="AV69" i="23"/>
  <c r="AV70" i="23" s="1"/>
  <c r="AU69" i="23"/>
  <c r="AT69" i="23"/>
  <c r="AS69" i="23"/>
  <c r="AR69" i="23"/>
  <c r="AQ69" i="23"/>
  <c r="AP69" i="23"/>
  <c r="AO69" i="23"/>
  <c r="AN69" i="23"/>
  <c r="AN70" i="23" s="1"/>
  <c r="AM69" i="23"/>
  <c r="AM70" i="23" s="1"/>
  <c r="AL69" i="23"/>
  <c r="AK69" i="23"/>
  <c r="AJ69" i="23"/>
  <c r="AI69" i="23"/>
  <c r="AH69" i="23"/>
  <c r="AG69" i="23"/>
  <c r="AF69" i="23"/>
  <c r="AF70" i="23" s="1"/>
  <c r="AE69" i="23"/>
  <c r="AD69" i="23"/>
  <c r="AC69" i="23"/>
  <c r="AB69" i="23"/>
  <c r="AA69" i="23"/>
  <c r="Z69" i="23"/>
  <c r="Y69" i="23"/>
  <c r="X69" i="23"/>
  <c r="W69" i="23"/>
  <c r="W70" i="23" s="1"/>
  <c r="V69" i="23"/>
  <c r="U69" i="23"/>
  <c r="T69" i="23"/>
  <c r="S69" i="23"/>
  <c r="R69" i="23"/>
  <c r="Q69" i="23"/>
  <c r="P69" i="23"/>
  <c r="O69" i="23"/>
  <c r="O70" i="23" s="1"/>
  <c r="N69" i="23"/>
  <c r="K66" i="23"/>
  <c r="F66" i="23"/>
  <c r="E66" i="23"/>
  <c r="D66" i="23"/>
  <c r="C66" i="23"/>
  <c r="CJ64" i="23"/>
  <c r="CI64" i="23"/>
  <c r="CH64" i="23"/>
  <c r="CG64" i="23"/>
  <c r="CF64" i="23"/>
  <c r="CE64" i="23"/>
  <c r="CD64" i="23"/>
  <c r="CC64" i="23"/>
  <c r="CB64" i="23"/>
  <c r="CA64" i="23"/>
  <c r="BZ64" i="23"/>
  <c r="BY64" i="23"/>
  <c r="BX64" i="23"/>
  <c r="BW64" i="23"/>
  <c r="BV64" i="23"/>
  <c r="BU64" i="23"/>
  <c r="BT64" i="23"/>
  <c r="BS64" i="23"/>
  <c r="BR64" i="23"/>
  <c r="BQ64" i="23"/>
  <c r="BP64" i="23"/>
  <c r="BO64" i="23"/>
  <c r="BN64" i="23"/>
  <c r="BM64" i="23"/>
  <c r="BL64" i="23"/>
  <c r="BK64" i="23"/>
  <c r="BJ64" i="23"/>
  <c r="BI64" i="23"/>
  <c r="BH64" i="23"/>
  <c r="BG64" i="23"/>
  <c r="BF64" i="23"/>
  <c r="BE64" i="23"/>
  <c r="BD64" i="23"/>
  <c r="BC64" i="23"/>
  <c r="BB64" i="23"/>
  <c r="BA64" i="23"/>
  <c r="AZ64" i="23"/>
  <c r="AY64" i="23"/>
  <c r="AX64" i="23"/>
  <c r="AW64" i="23"/>
  <c r="AV64" i="23"/>
  <c r="AU64" i="23"/>
  <c r="AT64" i="23"/>
  <c r="AS64" i="23"/>
  <c r="AR64" i="23"/>
  <c r="AQ64" i="23"/>
  <c r="AP64" i="23"/>
  <c r="AO64" i="23"/>
  <c r="AN64" i="23"/>
  <c r="AM64" i="23"/>
  <c r="AL64" i="23"/>
  <c r="AK64" i="23"/>
  <c r="AJ64" i="23"/>
  <c r="AI64" i="23"/>
  <c r="AH64" i="23"/>
  <c r="AG64" i="23"/>
  <c r="AF64" i="23"/>
  <c r="AE64" i="23"/>
  <c r="AD64" i="23"/>
  <c r="AC64" i="23"/>
  <c r="AB64" i="23"/>
  <c r="AA64" i="23"/>
  <c r="Z64" i="23"/>
  <c r="Y64" i="23"/>
  <c r="X64" i="23"/>
  <c r="W64" i="23"/>
  <c r="V64" i="23"/>
  <c r="U64" i="23"/>
  <c r="T64" i="23"/>
  <c r="S64" i="23"/>
  <c r="R64" i="23"/>
  <c r="Q64" i="23"/>
  <c r="P64" i="23"/>
  <c r="O64" i="23"/>
  <c r="N64" i="23"/>
  <c r="CJ63" i="23"/>
  <c r="CI63" i="23"/>
  <c r="CH63" i="23"/>
  <c r="CG63" i="23"/>
  <c r="CF63" i="23"/>
  <c r="CE63" i="23"/>
  <c r="CD63" i="23"/>
  <c r="CC63" i="23"/>
  <c r="CB63" i="23"/>
  <c r="CA63" i="23"/>
  <c r="BZ63" i="23"/>
  <c r="BY63" i="23"/>
  <c r="BX63" i="23"/>
  <c r="BW63" i="23"/>
  <c r="BV63" i="23"/>
  <c r="BU63" i="23"/>
  <c r="BT63" i="23"/>
  <c r="BS63" i="23"/>
  <c r="BR63" i="23"/>
  <c r="BQ63" i="23"/>
  <c r="BP63" i="23"/>
  <c r="BO63" i="23"/>
  <c r="BN63" i="23"/>
  <c r="BM63" i="23"/>
  <c r="BL63" i="23"/>
  <c r="BK63" i="23"/>
  <c r="BJ63" i="23"/>
  <c r="BI63" i="23"/>
  <c r="BH63" i="23"/>
  <c r="BG63" i="23"/>
  <c r="BF63" i="23"/>
  <c r="BE63" i="23"/>
  <c r="BD63" i="23"/>
  <c r="BC63" i="23"/>
  <c r="BB63" i="23"/>
  <c r="BA63" i="23"/>
  <c r="AZ63" i="23"/>
  <c r="AY63" i="23"/>
  <c r="AX63" i="23"/>
  <c r="AW63" i="23"/>
  <c r="AV63" i="23"/>
  <c r="AU63" i="23"/>
  <c r="AT63" i="23"/>
  <c r="AS63" i="23"/>
  <c r="AR63" i="23"/>
  <c r="AQ63" i="23"/>
  <c r="AP63" i="23"/>
  <c r="AO63" i="23"/>
  <c r="AN63" i="23"/>
  <c r="AM63" i="23"/>
  <c r="AL63" i="23"/>
  <c r="AK63" i="23"/>
  <c r="AJ63" i="23"/>
  <c r="AI63" i="23"/>
  <c r="AH63" i="23"/>
  <c r="AG63" i="23"/>
  <c r="AF63" i="23"/>
  <c r="AE63" i="23"/>
  <c r="AD63" i="23"/>
  <c r="AC63" i="23"/>
  <c r="AB63" i="23"/>
  <c r="AA63" i="23"/>
  <c r="Z63" i="23"/>
  <c r="Y63" i="23"/>
  <c r="X63" i="23"/>
  <c r="W63" i="23"/>
  <c r="V63" i="23"/>
  <c r="U63" i="23"/>
  <c r="T63" i="23"/>
  <c r="S63" i="23"/>
  <c r="R63" i="23"/>
  <c r="Q63" i="23"/>
  <c r="P63" i="23"/>
  <c r="O63" i="23"/>
  <c r="N63" i="23"/>
  <c r="AW62" i="23"/>
  <c r="AV62" i="23"/>
  <c r="AU62" i="23"/>
  <c r="AT62" i="23"/>
  <c r="AS62" i="23"/>
  <c r="AR62" i="23"/>
  <c r="AQ62" i="23"/>
  <c r="AP62" i="23"/>
  <c r="AO62" i="23"/>
  <c r="AN62" i="23"/>
  <c r="AM62" i="23"/>
  <c r="AL62" i="23"/>
  <c r="AK62" i="23"/>
  <c r="AJ62" i="23"/>
  <c r="AI62" i="23"/>
  <c r="AH62" i="23"/>
  <c r="AG62" i="23"/>
  <c r="AF62" i="23"/>
  <c r="AE62" i="23"/>
  <c r="AD62" i="23"/>
  <c r="AC62" i="23"/>
  <c r="AA62" i="23"/>
  <c r="Z62" i="23"/>
  <c r="Z73" i="23" s="1"/>
  <c r="Y62" i="23"/>
  <c r="X62" i="23"/>
  <c r="W62" i="23"/>
  <c r="V62" i="23"/>
  <c r="V73" i="23" s="1"/>
  <c r="U62" i="23"/>
  <c r="T62" i="23"/>
  <c r="S62" i="23"/>
  <c r="R62" i="23"/>
  <c r="Q62" i="23"/>
  <c r="Q73" i="23" s="1"/>
  <c r="P62" i="23"/>
  <c r="O62" i="23"/>
  <c r="N62" i="23"/>
  <c r="M62" i="23"/>
  <c r="L62" i="23"/>
  <c r="K62" i="23"/>
  <c r="J62" i="23"/>
  <c r="I62" i="23"/>
  <c r="T71" i="23" s="1"/>
  <c r="H62" i="23"/>
  <c r="G62" i="23"/>
  <c r="F62" i="23"/>
  <c r="E62" i="23"/>
  <c r="D62" i="23"/>
  <c r="C62" i="23"/>
  <c r="B62" i="23"/>
  <c r="AW61" i="23"/>
  <c r="AV61" i="23"/>
  <c r="AU61" i="23"/>
  <c r="AT61" i="23"/>
  <c r="AS61" i="23"/>
  <c r="AR61" i="23"/>
  <c r="AQ61" i="23"/>
  <c r="AP61" i="23"/>
  <c r="AO61" i="23"/>
  <c r="AN61" i="23"/>
  <c r="AM61" i="23"/>
  <c r="AL61" i="23"/>
  <c r="AK61" i="23"/>
  <c r="AJ61" i="23"/>
  <c r="AI61" i="23"/>
  <c r="AH61" i="23"/>
  <c r="AG61" i="23"/>
  <c r="AF61" i="23"/>
  <c r="AE61" i="23"/>
  <c r="AD61" i="23"/>
  <c r="AC61" i="23"/>
  <c r="AB61" i="23"/>
  <c r="AA61" i="23"/>
  <c r="Z61" i="23"/>
  <c r="Y61" i="23"/>
  <c r="X61" i="23"/>
  <c r="W61" i="23"/>
  <c r="V61" i="23"/>
  <c r="V77" i="23" s="1"/>
  <c r="U61" i="23"/>
  <c r="T61" i="23"/>
  <c r="S61" i="23"/>
  <c r="R61" i="23"/>
  <c r="Q61" i="23"/>
  <c r="P61" i="23"/>
  <c r="O61" i="23"/>
  <c r="N61" i="23"/>
  <c r="M61" i="23"/>
  <c r="L61" i="23"/>
  <c r="K61" i="23"/>
  <c r="J61" i="23"/>
  <c r="I61" i="23"/>
  <c r="H61" i="23"/>
  <c r="G61" i="23"/>
  <c r="F61" i="23"/>
  <c r="E61" i="23"/>
  <c r="D61" i="23"/>
  <c r="C61" i="23"/>
  <c r="BK59" i="23"/>
  <c r="BJ59" i="23"/>
  <c r="BK58" i="23"/>
  <c r="BJ58" i="23"/>
  <c r="BI58" i="23"/>
  <c r="BH58" i="23"/>
  <c r="BG58" i="23"/>
  <c r="BF58" i="23"/>
  <c r="BE58" i="23"/>
  <c r="BD58" i="23"/>
  <c r="BC58" i="23"/>
  <c r="BB58" i="23"/>
  <c r="BA58" i="23"/>
  <c r="AZ58" i="23"/>
  <c r="AY58" i="23"/>
  <c r="BK56" i="23"/>
  <c r="BJ56" i="23"/>
  <c r="BI56" i="23"/>
  <c r="BH56" i="23"/>
  <c r="BG56" i="23"/>
  <c r="BF56" i="23"/>
  <c r="BE56" i="23"/>
  <c r="BD56" i="23"/>
  <c r="BC56" i="23"/>
  <c r="BB56" i="23"/>
  <c r="BA56" i="23"/>
  <c r="AZ56" i="23"/>
  <c r="AY56" i="23"/>
  <c r="AX56" i="23"/>
  <c r="AW56" i="23"/>
  <c r="AV56" i="23"/>
  <c r="AU56" i="23"/>
  <c r="AT56" i="23"/>
  <c r="AS56" i="23"/>
  <c r="AR56" i="23"/>
  <c r="AQ56" i="23"/>
  <c r="AP56" i="23"/>
  <c r="AO56" i="23"/>
  <c r="AN56" i="23"/>
  <c r="AA56" i="23"/>
  <c r="Z56" i="23"/>
  <c r="BK55" i="23"/>
  <c r="BJ55" i="23"/>
  <c r="BI55" i="23"/>
  <c r="BH55" i="23"/>
  <c r="BG55" i="23"/>
  <c r="BF55" i="23"/>
  <c r="BE55" i="23"/>
  <c r="BD55" i="23"/>
  <c r="BC55" i="23"/>
  <c r="BB55" i="23"/>
  <c r="BA55" i="23"/>
  <c r="AZ55" i="23"/>
  <c r="AY55" i="23"/>
  <c r="AX55" i="23"/>
  <c r="AW55" i="23"/>
  <c r="AV55" i="23"/>
  <c r="AU55" i="23"/>
  <c r="AT55" i="23"/>
  <c r="AS55" i="23"/>
  <c r="AR55" i="23"/>
  <c r="AQ55" i="23"/>
  <c r="AP55" i="23"/>
  <c r="AO55" i="23"/>
  <c r="AN55" i="23"/>
  <c r="AM55" i="23"/>
  <c r="AL55" i="23"/>
  <c r="AK55" i="23"/>
  <c r="AJ55" i="23"/>
  <c r="AI55" i="23"/>
  <c r="AH55" i="23"/>
  <c r="AG55" i="23"/>
  <c r="AF55" i="23"/>
  <c r="AE55" i="23"/>
  <c r="AD55" i="23"/>
  <c r="AC55" i="23"/>
  <c r="AA55" i="23"/>
  <c r="Z55" i="23"/>
  <c r="BK52" i="23"/>
  <c r="BJ52" i="23"/>
  <c r="BI52" i="23"/>
  <c r="BH52" i="23"/>
  <c r="BG52" i="23"/>
  <c r="BF52" i="23"/>
  <c r="BE52" i="23"/>
  <c r="BD52" i="23"/>
  <c r="BC52" i="23"/>
  <c r="BB52" i="23"/>
  <c r="BA52" i="23"/>
  <c r="AZ52" i="23"/>
  <c r="AY52" i="23"/>
  <c r="AX52" i="23"/>
  <c r="AW52" i="23"/>
  <c r="AV52" i="23"/>
  <c r="AU52" i="23"/>
  <c r="AT52" i="23"/>
  <c r="AS52" i="23"/>
  <c r="AR52" i="23"/>
  <c r="AQ52" i="23"/>
  <c r="AP52" i="23"/>
  <c r="AO52" i="23"/>
  <c r="AN52" i="23"/>
  <c r="AA52" i="23"/>
  <c r="Z52" i="23"/>
  <c r="BK51" i="23"/>
  <c r="BJ51" i="23"/>
  <c r="BI51" i="23"/>
  <c r="BH51" i="23"/>
  <c r="BG51" i="23"/>
  <c r="BF51" i="23"/>
  <c r="BE51" i="23"/>
  <c r="BD51" i="23"/>
  <c r="BC51" i="23"/>
  <c r="BB51" i="23"/>
  <c r="BA51" i="23"/>
  <c r="AZ51" i="23"/>
  <c r="AY51" i="23"/>
  <c r="AX51" i="23"/>
  <c r="AW51" i="23"/>
  <c r="AV51" i="23"/>
  <c r="AU51" i="23"/>
  <c r="AT51" i="23"/>
  <c r="AS51" i="23"/>
  <c r="AR51" i="23"/>
  <c r="AQ51" i="23"/>
  <c r="AP51" i="23"/>
  <c r="AO51" i="23"/>
  <c r="AN51" i="23"/>
  <c r="AM51" i="23"/>
  <c r="AL51" i="23"/>
  <c r="AK51" i="23"/>
  <c r="AJ51" i="23"/>
  <c r="AI51" i="23"/>
  <c r="AH51" i="23"/>
  <c r="AG51" i="23"/>
  <c r="AF51" i="23"/>
  <c r="AE51" i="23"/>
  <c r="AD51" i="23"/>
  <c r="AC51" i="23"/>
  <c r="AA51" i="23"/>
  <c r="Z51" i="23"/>
  <c r="BK49" i="23"/>
  <c r="BJ49" i="23"/>
  <c r="BI49" i="23"/>
  <c r="BH49" i="23"/>
  <c r="BG49" i="23"/>
  <c r="BF49" i="23"/>
  <c r="BE49" i="23"/>
  <c r="BD49" i="23"/>
  <c r="BC49" i="23"/>
  <c r="BB49" i="23"/>
  <c r="BA49" i="23"/>
  <c r="AZ49" i="23"/>
  <c r="AY49" i="23"/>
  <c r="AX49" i="23"/>
  <c r="AW49" i="23"/>
  <c r="AV49" i="23"/>
  <c r="AU49" i="23"/>
  <c r="AT49" i="23"/>
  <c r="AS49" i="23"/>
  <c r="AR49" i="23"/>
  <c r="AQ49" i="23"/>
  <c r="AP49" i="23"/>
  <c r="AO49" i="23"/>
  <c r="AN49" i="23"/>
  <c r="AA49" i="23"/>
  <c r="Z49" i="23"/>
  <c r="BK48" i="23"/>
  <c r="BJ48" i="23"/>
  <c r="BI48" i="23"/>
  <c r="BH48" i="23"/>
  <c r="BG48" i="23"/>
  <c r="BF48" i="23"/>
  <c r="BE48" i="23"/>
  <c r="BD48" i="23"/>
  <c r="BC48" i="23"/>
  <c r="BB48" i="23"/>
  <c r="BA48" i="23"/>
  <c r="AZ48" i="23"/>
  <c r="AY48" i="23"/>
  <c r="AX48" i="23"/>
  <c r="AW48" i="23"/>
  <c r="AV48" i="23"/>
  <c r="AU48" i="23"/>
  <c r="AT48" i="23"/>
  <c r="AS48" i="23"/>
  <c r="AR48" i="23"/>
  <c r="AQ48" i="23"/>
  <c r="AP48" i="23"/>
  <c r="AO48" i="23"/>
  <c r="AN48" i="23"/>
  <c r="AM48" i="23"/>
  <c r="AL48" i="23"/>
  <c r="AK48" i="23"/>
  <c r="AJ48" i="23"/>
  <c r="AI48" i="23"/>
  <c r="AH48" i="23"/>
  <c r="AG48" i="23"/>
  <c r="AF48" i="23"/>
  <c r="AE48" i="23"/>
  <c r="AD48" i="23"/>
  <c r="AC48" i="23"/>
  <c r="AA48" i="23"/>
  <c r="Z48" i="23"/>
  <c r="BK46" i="23"/>
  <c r="BJ46" i="23"/>
  <c r="BI46" i="23"/>
  <c r="BH46" i="23"/>
  <c r="BG46" i="23"/>
  <c r="BF46" i="23"/>
  <c r="BE46" i="23"/>
  <c r="BD46" i="23"/>
  <c r="BC46" i="23"/>
  <c r="BB46" i="23"/>
  <c r="BA46" i="23"/>
  <c r="AZ46" i="23"/>
  <c r="AY46" i="23"/>
  <c r="AX46" i="23"/>
  <c r="AW46" i="23"/>
  <c r="AV46" i="23"/>
  <c r="AU46" i="23"/>
  <c r="AT46" i="23"/>
  <c r="AS46" i="23"/>
  <c r="AR46" i="23"/>
  <c r="AQ46" i="23"/>
  <c r="AP46" i="23"/>
  <c r="AO46" i="23"/>
  <c r="AN46" i="23"/>
  <c r="AM46" i="23"/>
  <c r="AL46" i="23"/>
  <c r="AK46" i="23"/>
  <c r="AJ46" i="23"/>
  <c r="AI46" i="23"/>
  <c r="AH46" i="23"/>
  <c r="AG46" i="23"/>
  <c r="AF46" i="23"/>
  <c r="AE46" i="23"/>
  <c r="AD46" i="23"/>
  <c r="AC46" i="23"/>
  <c r="AB46" i="23"/>
  <c r="AA46" i="23"/>
  <c r="Z46" i="23"/>
  <c r="BK45" i="23"/>
  <c r="BJ45" i="23"/>
  <c r="BI45" i="23"/>
  <c r="BH45" i="23"/>
  <c r="BG45" i="23"/>
  <c r="BF45" i="23"/>
  <c r="BE45" i="23"/>
  <c r="BD45" i="23"/>
  <c r="BC45" i="23"/>
  <c r="BB45" i="23"/>
  <c r="BA45" i="23"/>
  <c r="AZ45" i="23"/>
  <c r="AY45" i="23"/>
  <c r="AX45" i="23"/>
  <c r="AW45" i="23"/>
  <c r="AV45" i="23"/>
  <c r="AU45" i="23"/>
  <c r="AT45" i="23"/>
  <c r="AS45" i="23"/>
  <c r="AR45" i="23"/>
  <c r="AQ45" i="23"/>
  <c r="AP45" i="23"/>
  <c r="AO45" i="23"/>
  <c r="AN45" i="23"/>
  <c r="AM45" i="23"/>
  <c r="AL45" i="23"/>
  <c r="AK45" i="23"/>
  <c r="AJ45" i="23"/>
  <c r="AI45" i="23"/>
  <c r="AH45" i="23"/>
  <c r="AG45" i="23"/>
  <c r="AF45" i="23"/>
  <c r="AE45" i="23"/>
  <c r="AD45" i="23"/>
  <c r="AC45" i="23"/>
  <c r="AB45" i="23"/>
  <c r="AA45" i="23"/>
  <c r="Z45" i="23"/>
  <c r="CJ42" i="23"/>
  <c r="CJ51" i="23" s="1"/>
  <c r="CI42" i="23"/>
  <c r="CI48" i="23" s="1"/>
  <c r="CH42" i="23"/>
  <c r="CH51" i="23" s="1"/>
  <c r="BV42" i="23"/>
  <c r="BV55" i="23" s="1"/>
  <c r="BU42" i="23"/>
  <c r="BR42" i="23"/>
  <c r="BR55" i="23" s="1"/>
  <c r="AB42" i="23"/>
  <c r="AM56" i="23" s="1"/>
  <c r="CJ41" i="23"/>
  <c r="CI41" i="23"/>
  <c r="CH41" i="23"/>
  <c r="CH45" i="23" s="1"/>
  <c r="CG41" i="23"/>
  <c r="CG45" i="23" s="1"/>
  <c r="CF41" i="23"/>
  <c r="CE41" i="23"/>
  <c r="CD41" i="23"/>
  <c r="CD45" i="23" s="1"/>
  <c r="CC41" i="23"/>
  <c r="CC45" i="23" s="1"/>
  <c r="CB41" i="23"/>
  <c r="CA41" i="23"/>
  <c r="BZ41" i="23"/>
  <c r="BZ45" i="23" s="1"/>
  <c r="BY41" i="23"/>
  <c r="BX41" i="23"/>
  <c r="BW41" i="23"/>
  <c r="BV41" i="23"/>
  <c r="BV45" i="23" s="1"/>
  <c r="BU41" i="23"/>
  <c r="BU45" i="23" s="1"/>
  <c r="BT41" i="23"/>
  <c r="BS41" i="23"/>
  <c r="BR41" i="23"/>
  <c r="BR45" i="23" s="1"/>
  <c r="BQ41" i="23"/>
  <c r="BQ45" i="23" s="1"/>
  <c r="BP41" i="23"/>
  <c r="BO41" i="23"/>
  <c r="BN41" i="23"/>
  <c r="BM41" i="23"/>
  <c r="BM45" i="23" s="1"/>
  <c r="BL41" i="23"/>
  <c r="AW36" i="23"/>
  <c r="AV36" i="23"/>
  <c r="AU36" i="23"/>
  <c r="AT36" i="23"/>
  <c r="AS36" i="23"/>
  <c r="AR36" i="23"/>
  <c r="AQ36" i="23"/>
  <c r="AP36" i="23"/>
  <c r="AO36" i="23"/>
  <c r="AN36" i="23"/>
  <c r="AA36" i="23"/>
  <c r="Z36" i="23"/>
  <c r="BQ35" i="23"/>
  <c r="AW35" i="23"/>
  <c r="AV35" i="23"/>
  <c r="AU35" i="23"/>
  <c r="AT35" i="23"/>
  <c r="AS35" i="23"/>
  <c r="AR35" i="23"/>
  <c r="AQ35" i="23"/>
  <c r="AP35" i="23"/>
  <c r="AO35" i="23"/>
  <c r="AN35" i="23"/>
  <c r="AM35" i="23"/>
  <c r="AL35" i="23"/>
  <c r="AK35" i="23"/>
  <c r="AJ35" i="23"/>
  <c r="AI35" i="23"/>
  <c r="AH35" i="23"/>
  <c r="AG35" i="23"/>
  <c r="AF35" i="23"/>
  <c r="AE35" i="23"/>
  <c r="AD35" i="23"/>
  <c r="AC35" i="23"/>
  <c r="AA35" i="23"/>
  <c r="Z35" i="23"/>
  <c r="AW32" i="23"/>
  <c r="AV32" i="23"/>
  <c r="AU32" i="23"/>
  <c r="AT32" i="23"/>
  <c r="AS32" i="23"/>
  <c r="AR32" i="23"/>
  <c r="AQ32" i="23"/>
  <c r="AP32" i="23"/>
  <c r="AO32" i="23"/>
  <c r="AN32" i="23"/>
  <c r="AA32" i="23"/>
  <c r="Z32" i="23"/>
  <c r="AW31" i="23"/>
  <c r="AV31" i="23"/>
  <c r="AU31" i="23"/>
  <c r="AT31" i="23"/>
  <c r="AS31" i="23"/>
  <c r="AR31" i="23"/>
  <c r="AQ31" i="23"/>
  <c r="AP31" i="23"/>
  <c r="AO31" i="23"/>
  <c r="AN31" i="23"/>
  <c r="AM31" i="23"/>
  <c r="AL31" i="23"/>
  <c r="AK31" i="23"/>
  <c r="AJ31" i="23"/>
  <c r="AI31" i="23"/>
  <c r="AH31" i="23"/>
  <c r="AG31" i="23"/>
  <c r="AF31" i="23"/>
  <c r="AE31" i="23"/>
  <c r="AD31" i="23"/>
  <c r="AC31" i="23"/>
  <c r="AA31" i="23"/>
  <c r="Z31" i="23"/>
  <c r="AW29" i="23"/>
  <c r="AV29" i="23"/>
  <c r="AU29" i="23"/>
  <c r="AT29" i="23"/>
  <c r="AS29" i="23"/>
  <c r="AR29" i="23"/>
  <c r="AQ29" i="23"/>
  <c r="AP29" i="23"/>
  <c r="AO29" i="23"/>
  <c r="AN29" i="23"/>
  <c r="AA29" i="23"/>
  <c r="Z29" i="23"/>
  <c r="AW28" i="23"/>
  <c r="AV28" i="23"/>
  <c r="AU28" i="23"/>
  <c r="AT28" i="23"/>
  <c r="AS28" i="23"/>
  <c r="AR28" i="23"/>
  <c r="AQ28" i="23"/>
  <c r="AP28" i="23"/>
  <c r="AO28" i="23"/>
  <c r="AN28" i="23"/>
  <c r="AM28" i="23"/>
  <c r="AL28" i="23"/>
  <c r="AK28" i="23"/>
  <c r="AJ28" i="23"/>
  <c r="AI28" i="23"/>
  <c r="AH28" i="23"/>
  <c r="AG28" i="23"/>
  <c r="AF28" i="23"/>
  <c r="AE28" i="23"/>
  <c r="AD28" i="23"/>
  <c r="AC28" i="23"/>
  <c r="AW26" i="23"/>
  <c r="AV26" i="23"/>
  <c r="AU26" i="23"/>
  <c r="AT26" i="23"/>
  <c r="AS26" i="23"/>
  <c r="AR26" i="23"/>
  <c r="AQ26" i="23"/>
  <c r="AP26" i="23"/>
  <c r="AO26" i="23"/>
  <c r="AN26" i="23"/>
  <c r="AM26" i="23"/>
  <c r="AL26" i="23"/>
  <c r="AK26" i="23"/>
  <c r="AJ26" i="23"/>
  <c r="AI26" i="23"/>
  <c r="AH26" i="23"/>
  <c r="AG26" i="23"/>
  <c r="AF26" i="23"/>
  <c r="AE26" i="23"/>
  <c r="AD26" i="23"/>
  <c r="AC26" i="23"/>
  <c r="AB26" i="23"/>
  <c r="AA26" i="23"/>
  <c r="Z26" i="23"/>
  <c r="BR25" i="23"/>
  <c r="BQ25" i="23"/>
  <c r="BF25" i="23"/>
  <c r="AW25" i="23"/>
  <c r="AV25" i="23"/>
  <c r="AU25" i="23"/>
  <c r="AT25" i="23"/>
  <c r="AS25" i="23"/>
  <c r="AR25" i="23"/>
  <c r="AQ25" i="23"/>
  <c r="AP25" i="23"/>
  <c r="AO25" i="23"/>
  <c r="AN25" i="23"/>
  <c r="AM25" i="23"/>
  <c r="AL25" i="23"/>
  <c r="AK25" i="23"/>
  <c r="AJ25" i="23"/>
  <c r="AI25" i="23"/>
  <c r="AH25" i="23"/>
  <c r="AG25" i="23"/>
  <c r="AF25" i="23"/>
  <c r="AE25" i="23"/>
  <c r="AD25" i="23"/>
  <c r="AC25" i="23"/>
  <c r="AB25" i="23"/>
  <c r="AA25" i="23"/>
  <c r="Z25" i="23"/>
  <c r="CJ22" i="23"/>
  <c r="CI22" i="23"/>
  <c r="CH22" i="23"/>
  <c r="CB22" i="23"/>
  <c r="BX22" i="23"/>
  <c r="BP22" i="23"/>
  <c r="BK22" i="23"/>
  <c r="BJ22" i="23"/>
  <c r="BI22" i="23"/>
  <c r="BI62" i="23" s="1"/>
  <c r="BH22" i="23"/>
  <c r="BG22" i="23"/>
  <c r="BF22" i="23"/>
  <c r="BE22" i="23"/>
  <c r="BE35" i="23" s="1"/>
  <c r="BD22" i="23"/>
  <c r="BC22" i="23"/>
  <c r="BB22" i="23"/>
  <c r="BB38" i="23" s="1"/>
  <c r="BA22" i="23"/>
  <c r="AZ22" i="23"/>
  <c r="AY22" i="23"/>
  <c r="AX22" i="23"/>
  <c r="AB22" i="23"/>
  <c r="AD29" i="23" s="1"/>
  <c r="CJ21" i="23"/>
  <c r="CJ25" i="23" s="1"/>
  <c r="CI21" i="23"/>
  <c r="CI25" i="23" s="1"/>
  <c r="CH21" i="23"/>
  <c r="CH25" i="23" s="1"/>
  <c r="CG21" i="23"/>
  <c r="CG25" i="23" s="1"/>
  <c r="CF21" i="23"/>
  <c r="CF25" i="23" s="1"/>
  <c r="CE21" i="23"/>
  <c r="CE25" i="23" s="1"/>
  <c r="CD21" i="23"/>
  <c r="CD25" i="23" s="1"/>
  <c r="CC21" i="23"/>
  <c r="CC25" i="23" s="1"/>
  <c r="CB21" i="23"/>
  <c r="CB25" i="23" s="1"/>
  <c r="BZ21" i="23"/>
  <c r="BZ25" i="23" s="1"/>
  <c r="BY21" i="23"/>
  <c r="BY25" i="23" s="1"/>
  <c r="BX21" i="23"/>
  <c r="BX25" i="23" s="1"/>
  <c r="BW21" i="23"/>
  <c r="BV21" i="23"/>
  <c r="BV25" i="23" s="1"/>
  <c r="BU21" i="23"/>
  <c r="BU25" i="23" s="1"/>
  <c r="BT21" i="23"/>
  <c r="BT25" i="23" s="1"/>
  <c r="BS21" i="23"/>
  <c r="BR21" i="23"/>
  <c r="BQ21" i="23"/>
  <c r="BP21" i="23"/>
  <c r="BP25" i="23" s="1"/>
  <c r="BO21" i="23"/>
  <c r="BN21" i="23"/>
  <c r="BN25" i="23" s="1"/>
  <c r="BM21" i="23"/>
  <c r="BM25" i="23" s="1"/>
  <c r="BL21" i="23"/>
  <c r="BL25" i="23" s="1"/>
  <c r="BK21" i="23"/>
  <c r="BJ21" i="23"/>
  <c r="BJ61" i="23" s="1"/>
  <c r="BI21" i="23"/>
  <c r="BI25" i="23" s="1"/>
  <c r="BH21" i="23"/>
  <c r="BH25" i="23" s="1"/>
  <c r="BG21" i="23"/>
  <c r="BF21" i="23"/>
  <c r="BF61" i="23" s="1"/>
  <c r="BE21" i="23"/>
  <c r="BE25" i="23" s="1"/>
  <c r="BD21" i="23"/>
  <c r="BC21" i="23"/>
  <c r="BB21" i="23"/>
  <c r="BB61" i="23" s="1"/>
  <c r="BA21" i="23"/>
  <c r="BA25" i="23" s="1"/>
  <c r="AZ21" i="23"/>
  <c r="AY21" i="23"/>
  <c r="AX21" i="23"/>
  <c r="AX61" i="23" s="1"/>
  <c r="AQ19" i="23"/>
  <c r="AP19" i="23"/>
  <c r="AO19" i="23"/>
  <c r="AN19" i="23"/>
  <c r="AH19" i="23"/>
  <c r="AA19" i="23"/>
  <c r="Z19" i="23"/>
  <c r="Y19" i="23"/>
  <c r="X19" i="23"/>
  <c r="W19" i="23"/>
  <c r="V19" i="23"/>
  <c r="U19" i="23"/>
  <c r="T19" i="23"/>
  <c r="S19" i="23"/>
  <c r="R19" i="23"/>
  <c r="Q19" i="23"/>
  <c r="P19" i="23"/>
  <c r="O19" i="23"/>
  <c r="N19" i="23"/>
  <c r="M19" i="23"/>
  <c r="L19" i="23"/>
  <c r="K19" i="23"/>
  <c r="J19" i="23"/>
  <c r="I19" i="23"/>
  <c r="H19" i="23"/>
  <c r="G19" i="23"/>
  <c r="F19" i="23"/>
  <c r="E19" i="23"/>
  <c r="D19" i="23"/>
  <c r="C19" i="23"/>
  <c r="B19" i="23"/>
  <c r="AQ18" i="23"/>
  <c r="AP18" i="23"/>
  <c r="AO18" i="23"/>
  <c r="AN18" i="23"/>
  <c r="AM18" i="23"/>
  <c r="AL18" i="23"/>
  <c r="AK18" i="23"/>
  <c r="AJ18" i="23"/>
  <c r="AI18" i="23"/>
  <c r="AH18" i="23"/>
  <c r="AG18" i="23"/>
  <c r="AF18" i="23"/>
  <c r="AE18" i="23"/>
  <c r="AD18" i="23"/>
  <c r="AC18" i="23"/>
  <c r="AA18" i="23"/>
  <c r="Z18" i="23"/>
  <c r="Y18" i="23"/>
  <c r="X18" i="23"/>
  <c r="W18" i="23"/>
  <c r="V18" i="23"/>
  <c r="U18" i="23"/>
  <c r="T18" i="23"/>
  <c r="S18" i="23"/>
  <c r="R18" i="23"/>
  <c r="Q18" i="23"/>
  <c r="P18" i="23"/>
  <c r="O18" i="23"/>
  <c r="N18" i="23"/>
  <c r="M18" i="23"/>
  <c r="L18" i="23"/>
  <c r="K18" i="23"/>
  <c r="J18" i="23"/>
  <c r="I18" i="23"/>
  <c r="H18" i="23"/>
  <c r="G18" i="23"/>
  <c r="F18" i="23"/>
  <c r="E18" i="23"/>
  <c r="D18" i="23"/>
  <c r="C18" i="23"/>
  <c r="B18" i="23"/>
  <c r="AQ15" i="23"/>
  <c r="AP15" i="23"/>
  <c r="AO15" i="23"/>
  <c r="AN15" i="23"/>
  <c r="AD15" i="23"/>
  <c r="AA15" i="23"/>
  <c r="Z15" i="23"/>
  <c r="Y15" i="23"/>
  <c r="X15" i="23"/>
  <c r="W15" i="23"/>
  <c r="V15" i="23"/>
  <c r="U15" i="23"/>
  <c r="T15" i="23"/>
  <c r="S15" i="23"/>
  <c r="R15" i="23"/>
  <c r="Q15" i="23"/>
  <c r="P15" i="23"/>
  <c r="O15" i="23"/>
  <c r="N15" i="23"/>
  <c r="M15" i="23"/>
  <c r="L15" i="23"/>
  <c r="K15" i="23"/>
  <c r="J15" i="23"/>
  <c r="I15" i="23"/>
  <c r="H15" i="23"/>
  <c r="G15" i="23"/>
  <c r="F15" i="23"/>
  <c r="E15" i="23"/>
  <c r="D15" i="23"/>
  <c r="C15" i="23"/>
  <c r="B15" i="23"/>
  <c r="AQ14" i="23"/>
  <c r="AP14" i="23"/>
  <c r="AO14" i="23"/>
  <c r="AN14" i="23"/>
  <c r="AM14" i="23"/>
  <c r="AL14" i="23"/>
  <c r="AK14" i="23"/>
  <c r="AJ14" i="23"/>
  <c r="AI14" i="23"/>
  <c r="AH14" i="23"/>
  <c r="AG14" i="23"/>
  <c r="AF14" i="23"/>
  <c r="AE14" i="23"/>
  <c r="AD14" i="23"/>
  <c r="AC14" i="23"/>
  <c r="AA14" i="23"/>
  <c r="Z14" i="23"/>
  <c r="Y14" i="23"/>
  <c r="X14" i="23"/>
  <c r="W14" i="23"/>
  <c r="V14" i="23"/>
  <c r="U14" i="23"/>
  <c r="T14" i="23"/>
  <c r="S14" i="23"/>
  <c r="R14" i="23"/>
  <c r="Q14" i="23"/>
  <c r="P14" i="23"/>
  <c r="O14" i="23"/>
  <c r="N14" i="23"/>
  <c r="M14" i="23"/>
  <c r="L14" i="23"/>
  <c r="K14" i="23"/>
  <c r="J14" i="23"/>
  <c r="I14" i="23"/>
  <c r="H14" i="23"/>
  <c r="G14" i="23"/>
  <c r="F14" i="23"/>
  <c r="E14" i="23"/>
  <c r="D14" i="23"/>
  <c r="C14" i="23"/>
  <c r="B14" i="23"/>
  <c r="AQ12" i="23"/>
  <c r="AP12" i="23"/>
  <c r="AO12" i="23"/>
  <c r="AN12" i="23"/>
  <c r="AK12" i="23"/>
  <c r="AA12" i="23"/>
  <c r="Z12" i="23"/>
  <c r="Y12" i="23"/>
  <c r="X12" i="23"/>
  <c r="W12" i="23"/>
  <c r="V12" i="23"/>
  <c r="U12" i="23"/>
  <c r="T12" i="23"/>
  <c r="S12" i="23"/>
  <c r="R12" i="23"/>
  <c r="Q12" i="23"/>
  <c r="P12" i="23"/>
  <c r="O12" i="23"/>
  <c r="N12" i="23"/>
  <c r="M12" i="23"/>
  <c r="L12" i="23"/>
  <c r="K12" i="23"/>
  <c r="J12" i="23"/>
  <c r="I12" i="23"/>
  <c r="H12" i="23"/>
  <c r="G12" i="23"/>
  <c r="F12" i="23"/>
  <c r="E12" i="23"/>
  <c r="D12" i="23"/>
  <c r="C12" i="23"/>
  <c r="B12" i="23"/>
  <c r="AQ11" i="23"/>
  <c r="AP11" i="23"/>
  <c r="AO11" i="23"/>
  <c r="AN11" i="23"/>
  <c r="AM11" i="23"/>
  <c r="AL11" i="23"/>
  <c r="AK11" i="23"/>
  <c r="AJ11" i="23"/>
  <c r="AI11" i="23"/>
  <c r="AH11" i="23"/>
  <c r="AG11" i="23"/>
  <c r="AF11" i="23"/>
  <c r="AE11" i="23"/>
  <c r="AD11" i="23"/>
  <c r="AC11" i="23"/>
  <c r="AA11" i="23"/>
  <c r="Z11" i="23"/>
  <c r="Y11" i="23"/>
  <c r="X11" i="23"/>
  <c r="W11" i="23"/>
  <c r="V11" i="23"/>
  <c r="U11" i="23"/>
  <c r="T11" i="23"/>
  <c r="S11" i="23"/>
  <c r="R11" i="23"/>
  <c r="Q11" i="23"/>
  <c r="P11" i="23"/>
  <c r="O11" i="23"/>
  <c r="N11" i="23"/>
  <c r="M11" i="23"/>
  <c r="L11" i="23"/>
  <c r="K11" i="23"/>
  <c r="J11" i="23"/>
  <c r="I11" i="23"/>
  <c r="H11" i="23"/>
  <c r="G11" i="23"/>
  <c r="F11" i="23"/>
  <c r="E11" i="23"/>
  <c r="D11" i="23"/>
  <c r="C11" i="23"/>
  <c r="B11" i="23"/>
  <c r="AQ9" i="23"/>
  <c r="AP9" i="23"/>
  <c r="AO9" i="23"/>
  <c r="AN9" i="23"/>
  <c r="AM9" i="23"/>
  <c r="AL9" i="23"/>
  <c r="AK9" i="23"/>
  <c r="AJ9" i="23"/>
  <c r="AI9" i="23"/>
  <c r="AH9" i="23"/>
  <c r="AG9" i="23"/>
  <c r="AF9" i="23"/>
  <c r="AE9" i="23"/>
  <c r="AD9" i="23"/>
  <c r="AC9" i="23"/>
  <c r="AB9" i="23"/>
  <c r="AA9" i="23"/>
  <c r="Z9" i="23"/>
  <c r="Y9" i="23"/>
  <c r="X9" i="23"/>
  <c r="W9" i="23"/>
  <c r="V9" i="23"/>
  <c r="U9" i="23"/>
  <c r="T9" i="23"/>
  <c r="S9" i="23"/>
  <c r="R9" i="23"/>
  <c r="Q9" i="23"/>
  <c r="P9" i="23"/>
  <c r="O9" i="23"/>
  <c r="N9" i="23"/>
  <c r="M9" i="23"/>
  <c r="L9" i="23"/>
  <c r="K9" i="23"/>
  <c r="J9" i="23"/>
  <c r="I9" i="23"/>
  <c r="H9" i="23"/>
  <c r="G9" i="23"/>
  <c r="F9" i="23"/>
  <c r="E9" i="23"/>
  <c r="D9" i="23"/>
  <c r="C9" i="23"/>
  <c r="B9" i="23"/>
  <c r="AL8" i="23"/>
  <c r="AK8" i="23"/>
  <c r="AJ8" i="23"/>
  <c r="AI8" i="23"/>
  <c r="AH8" i="23"/>
  <c r="AG8" i="23"/>
  <c r="AF8" i="23"/>
  <c r="AE8" i="23"/>
  <c r="AD8" i="23"/>
  <c r="AC8" i="23"/>
  <c r="AB8" i="23"/>
  <c r="AA8" i="23"/>
  <c r="Z8" i="23"/>
  <c r="Y8" i="23"/>
  <c r="X8" i="23"/>
  <c r="W8" i="23"/>
  <c r="V8" i="23"/>
  <c r="U8" i="23"/>
  <c r="T8" i="23"/>
  <c r="S8" i="23"/>
  <c r="R8" i="23"/>
  <c r="Q8" i="23"/>
  <c r="P8" i="23"/>
  <c r="O8" i="23"/>
  <c r="N8" i="23"/>
  <c r="M8" i="23"/>
  <c r="L8" i="23"/>
  <c r="K8" i="23"/>
  <c r="J8" i="23"/>
  <c r="I8" i="23"/>
  <c r="H8" i="23"/>
  <c r="G8" i="23"/>
  <c r="F8" i="23"/>
  <c r="E8" i="23"/>
  <c r="D8" i="23"/>
  <c r="C8" i="23"/>
  <c r="B8" i="23"/>
  <c r="AB5" i="23"/>
  <c r="AG15" i="23" s="1"/>
  <c r="ER64" i="24"/>
  <c r="EQ64" i="24"/>
  <c r="EP64" i="24"/>
  <c r="EO64" i="24"/>
  <c r="EN64" i="24"/>
  <c r="EM64" i="24"/>
  <c r="EL64" i="24"/>
  <c r="EK64" i="24"/>
  <c r="EJ64" i="24"/>
  <c r="EI64" i="24"/>
  <c r="EH64" i="24"/>
  <c r="EG64" i="24"/>
  <c r="EF64" i="24"/>
  <c r="EE64" i="24"/>
  <c r="ED64" i="24"/>
  <c r="EC64" i="24"/>
  <c r="ER62" i="24"/>
  <c r="EQ62" i="24"/>
  <c r="EP62" i="24"/>
  <c r="EO62" i="24"/>
  <c r="EN62" i="24"/>
  <c r="EM62" i="24"/>
  <c r="EL62" i="24"/>
  <c r="EK62" i="24"/>
  <c r="EJ62" i="24"/>
  <c r="EI62" i="24"/>
  <c r="EG62" i="24"/>
  <c r="EF62" i="24"/>
  <c r="EE62" i="24"/>
  <c r="ED62" i="24"/>
  <c r="EC62" i="24"/>
  <c r="K56" i="24"/>
  <c r="J56" i="24"/>
  <c r="I56" i="24"/>
  <c r="H56" i="24"/>
  <c r="G56" i="24"/>
  <c r="F56" i="24"/>
  <c r="E56" i="24"/>
  <c r="D56" i="24"/>
  <c r="C56" i="24"/>
  <c r="B56" i="24"/>
  <c r="K55" i="24"/>
  <c r="J55" i="24"/>
  <c r="I55" i="24"/>
  <c r="H55" i="24"/>
  <c r="G55" i="24"/>
  <c r="F55" i="24"/>
  <c r="E55" i="24"/>
  <c r="D55" i="24"/>
  <c r="C55" i="24"/>
  <c r="B55" i="24"/>
  <c r="ER53" i="24"/>
  <c r="EQ53" i="24"/>
  <c r="EP53" i="24"/>
  <c r="EO53" i="24"/>
  <c r="EN53" i="24"/>
  <c r="EM53" i="24"/>
  <c r="EL53" i="24"/>
  <c r="EK53" i="24"/>
  <c r="EJ53" i="24"/>
  <c r="EI53" i="24"/>
  <c r="EH53" i="24"/>
  <c r="EG53" i="24"/>
  <c r="EF53" i="24"/>
  <c r="EE53" i="24"/>
  <c r="ED53" i="24"/>
  <c r="EC53" i="24"/>
  <c r="EB53" i="24"/>
  <c r="EA53" i="24"/>
  <c r="DZ53" i="24"/>
  <c r="DY53" i="24"/>
  <c r="DX53" i="24"/>
  <c r="DW53" i="24"/>
  <c r="DV53" i="24"/>
  <c r="DU53" i="24"/>
  <c r="DT53" i="24"/>
  <c r="DS53" i="24"/>
  <c r="DR53" i="24"/>
  <c r="DQ53" i="24"/>
  <c r="DP53" i="24"/>
  <c r="DO53" i="24"/>
  <c r="DN53" i="24"/>
  <c r="DM53" i="24"/>
  <c r="DL53" i="24"/>
  <c r="DK53" i="24"/>
  <c r="DJ53" i="24"/>
  <c r="DI53" i="24"/>
  <c r="DH53" i="24"/>
  <c r="DG53" i="24"/>
  <c r="DF53" i="24"/>
  <c r="DE53" i="24"/>
  <c r="DD53" i="24"/>
  <c r="DC53" i="24"/>
  <c r="DB53" i="24"/>
  <c r="DA53" i="24"/>
  <c r="CZ53" i="24"/>
  <c r="CY53" i="24"/>
  <c r="CX53" i="24"/>
  <c r="CW53" i="24"/>
  <c r="CV53" i="24"/>
  <c r="CU53" i="24"/>
  <c r="CT53" i="24"/>
  <c r="CS53" i="24"/>
  <c r="CR53" i="24"/>
  <c r="CQ53" i="24"/>
  <c r="CP53" i="24"/>
  <c r="CO53" i="24"/>
  <c r="CN53" i="24"/>
  <c r="CM53" i="24"/>
  <c r="CL53" i="24"/>
  <c r="CK53" i="24"/>
  <c r="CJ53" i="24"/>
  <c r="CI53" i="24"/>
  <c r="CH53" i="24"/>
  <c r="CG53" i="24"/>
  <c r="CF53" i="24"/>
  <c r="CE53" i="24"/>
  <c r="CD53" i="24"/>
  <c r="CC53" i="24"/>
  <c r="CB53" i="24"/>
  <c r="CA53" i="24"/>
  <c r="BZ53" i="24"/>
  <c r="BY53" i="24"/>
  <c r="BX53" i="24"/>
  <c r="BW53" i="24"/>
  <c r="BV53" i="24"/>
  <c r="BU53" i="24"/>
  <c r="BT53" i="24"/>
  <c r="BS53" i="24"/>
  <c r="BR53" i="24"/>
  <c r="BQ53" i="24"/>
  <c r="BP53" i="24"/>
  <c r="BO53" i="24"/>
  <c r="BN53" i="24"/>
  <c r="BM53" i="24"/>
  <c r="BL53" i="24"/>
  <c r="BK53" i="24"/>
  <c r="BJ53" i="24"/>
  <c r="BI53" i="24"/>
  <c r="BH53" i="24"/>
  <c r="BG53" i="24"/>
  <c r="BF53" i="24"/>
  <c r="BE53" i="24"/>
  <c r="BD53" i="24"/>
  <c r="BC53" i="24"/>
  <c r="BB53" i="24"/>
  <c r="BA53" i="24"/>
  <c r="AZ53" i="24"/>
  <c r="AY53" i="24"/>
  <c r="AX53" i="24"/>
  <c r="AW53" i="24"/>
  <c r="AV53" i="24"/>
  <c r="AU53" i="24"/>
  <c r="AT53" i="24"/>
  <c r="AS53" i="24"/>
  <c r="AR53" i="24"/>
  <c r="AQ53" i="24"/>
  <c r="AP53" i="24"/>
  <c r="AO53" i="24"/>
  <c r="AN53" i="24"/>
  <c r="AM53" i="24"/>
  <c r="AL53" i="24"/>
  <c r="AK53" i="24"/>
  <c r="AJ53" i="24"/>
  <c r="AI53" i="24"/>
  <c r="AH53" i="24"/>
  <c r="AG53" i="24"/>
  <c r="AF53" i="24"/>
  <c r="AE53" i="24"/>
  <c r="AD53" i="24"/>
  <c r="AC53" i="24"/>
  <c r="AB53" i="24"/>
  <c r="AA53" i="24"/>
  <c r="Z53" i="24"/>
  <c r="Y53" i="24"/>
  <c r="X53" i="24"/>
  <c r="W53" i="24"/>
  <c r="V53" i="24"/>
  <c r="U53" i="24"/>
  <c r="T53" i="24"/>
  <c r="S53" i="24"/>
  <c r="R53" i="24"/>
  <c r="Q53" i="24"/>
  <c r="P53" i="24"/>
  <c r="O53" i="24"/>
  <c r="N53" i="24"/>
  <c r="M53" i="24"/>
  <c r="L53" i="24"/>
  <c r="K53" i="24"/>
  <c r="J53" i="24"/>
  <c r="I53" i="24"/>
  <c r="H53" i="24"/>
  <c r="G53" i="24"/>
  <c r="F53" i="24"/>
  <c r="E53" i="24"/>
  <c r="D53" i="24"/>
  <c r="C53" i="24"/>
  <c r="B53" i="24"/>
  <c r="CP52" i="24"/>
  <c r="CE52" i="24"/>
  <c r="CC52" i="24"/>
  <c r="CB52" i="24"/>
  <c r="CA52" i="24"/>
  <c r="BZ52" i="24"/>
  <c r="BY52" i="24"/>
  <c r="BX52" i="24"/>
  <c r="BW52" i="24"/>
  <c r="BV52" i="24"/>
  <c r="BU52" i="24"/>
  <c r="BT52" i="24"/>
  <c r="ER51" i="24"/>
  <c r="CG51" i="24"/>
  <c r="CF51" i="24"/>
  <c r="CE51" i="24"/>
  <c r="CC51" i="24"/>
  <c r="CB51" i="24"/>
  <c r="CA51" i="24"/>
  <c r="BZ51" i="24"/>
  <c r="BY51" i="24"/>
  <c r="BX51" i="24"/>
  <c r="BW51" i="24"/>
  <c r="BV51" i="24"/>
  <c r="BU51" i="24"/>
  <c r="BT51" i="24"/>
  <c r="BQ51" i="24"/>
  <c r="BP51" i="24"/>
  <c r="BO51" i="24"/>
  <c r="BN51" i="24"/>
  <c r="BM51" i="24"/>
  <c r="BL51" i="24"/>
  <c r="BK51" i="24"/>
  <c r="BJ51" i="24"/>
  <c r="BH51" i="24"/>
  <c r="BG51" i="24"/>
  <c r="BF51" i="24"/>
  <c r="BE51" i="24"/>
  <c r="BD51" i="24"/>
  <c r="BC51" i="24"/>
  <c r="BB51" i="24"/>
  <c r="BA51" i="24"/>
  <c r="AZ51" i="24"/>
  <c r="AX51" i="24"/>
  <c r="AW51" i="24"/>
  <c r="AV51" i="24"/>
  <c r="AU51" i="24"/>
  <c r="AT51" i="24"/>
  <c r="AS51" i="24"/>
  <c r="AR51" i="24"/>
  <c r="AQ51" i="24"/>
  <c r="AP51" i="24"/>
  <c r="AO51" i="24"/>
  <c r="AN51" i="24"/>
  <c r="AM51" i="24"/>
  <c r="AM54" i="24" s="1"/>
  <c r="AL51" i="24"/>
  <c r="AK51" i="24"/>
  <c r="AJ51" i="24"/>
  <c r="AI51" i="24"/>
  <c r="AH51" i="24"/>
  <c r="AG51" i="24"/>
  <c r="AF51" i="24"/>
  <c r="AE51" i="24"/>
  <c r="AD51" i="24"/>
  <c r="AC51" i="24"/>
  <c r="AB51" i="24"/>
  <c r="AA51" i="24"/>
  <c r="Z51" i="24"/>
  <c r="Y51" i="24"/>
  <c r="X51" i="24"/>
  <c r="W51" i="24"/>
  <c r="V51" i="24"/>
  <c r="U51" i="24"/>
  <c r="T51" i="24"/>
  <c r="S51" i="24"/>
  <c r="R51" i="24"/>
  <c r="Q51" i="24"/>
  <c r="P51" i="24"/>
  <c r="O51" i="24"/>
  <c r="N51" i="24"/>
  <c r="M51" i="24"/>
  <c r="L51" i="24"/>
  <c r="K51" i="24"/>
  <c r="J51" i="24"/>
  <c r="I51" i="24"/>
  <c r="H51" i="24"/>
  <c r="G51" i="24"/>
  <c r="F51" i="24"/>
  <c r="E51" i="24"/>
  <c r="D51" i="24"/>
  <c r="C51" i="24"/>
  <c r="B51" i="24"/>
  <c r="ER50" i="24"/>
  <c r="EQ50" i="24"/>
  <c r="EP50" i="24"/>
  <c r="EO50" i="24"/>
  <c r="EN50" i="24"/>
  <c r="EM50" i="24"/>
  <c r="EL50" i="24"/>
  <c r="EK50" i="24"/>
  <c r="EJ50" i="24"/>
  <c r="EI50" i="24"/>
  <c r="EH50" i="24"/>
  <c r="EG50" i="24"/>
  <c r="EF50" i="24"/>
  <c r="EE50" i="24"/>
  <c r="ED50" i="24"/>
  <c r="EC50" i="24"/>
  <c r="EB50" i="24"/>
  <c r="EA50" i="24"/>
  <c r="DZ50" i="24"/>
  <c r="DY50" i="24"/>
  <c r="DX50" i="24"/>
  <c r="DW50" i="24"/>
  <c r="DV50" i="24"/>
  <c r="DU50" i="24"/>
  <c r="DT50" i="24"/>
  <c r="DS50" i="24"/>
  <c r="DR50" i="24"/>
  <c r="DQ50" i="24"/>
  <c r="DP50" i="24"/>
  <c r="DO50" i="24"/>
  <c r="DN50" i="24"/>
  <c r="DM50" i="24"/>
  <c r="DL50" i="24"/>
  <c r="DK50" i="24"/>
  <c r="DJ50" i="24"/>
  <c r="DI50" i="24"/>
  <c r="DH50" i="24"/>
  <c r="DG50" i="24"/>
  <c r="DF50" i="24"/>
  <c r="DE50" i="24"/>
  <c r="DD50" i="24"/>
  <c r="DC50" i="24"/>
  <c r="DB50" i="24"/>
  <c r="DA50" i="24"/>
  <c r="CZ50" i="24"/>
  <c r="CY50" i="24"/>
  <c r="CX50" i="24"/>
  <c r="CW50" i="24"/>
  <c r="CV50" i="24"/>
  <c r="CU50" i="24"/>
  <c r="CT50" i="24"/>
  <c r="CS50" i="24"/>
  <c r="CR50" i="24"/>
  <c r="CQ50" i="24"/>
  <c r="CP50" i="24"/>
  <c r="CO50" i="24"/>
  <c r="CN50" i="24"/>
  <c r="CM50" i="24"/>
  <c r="CL50" i="24"/>
  <c r="CK50" i="24"/>
  <c r="CJ50" i="24"/>
  <c r="CI50" i="24"/>
  <c r="CH50" i="24"/>
  <c r="CG50" i="24"/>
  <c r="CF50" i="24"/>
  <c r="CE50" i="24"/>
  <c r="CD50" i="24"/>
  <c r="CC50" i="24"/>
  <c r="CB50" i="24"/>
  <c r="CA50" i="24"/>
  <c r="BZ50" i="24"/>
  <c r="BY50" i="24"/>
  <c r="BX50" i="24"/>
  <c r="BW50" i="24"/>
  <c r="BV50" i="24"/>
  <c r="BU50" i="24"/>
  <c r="BT50" i="24"/>
  <c r="BS50" i="24"/>
  <c r="BR50" i="24"/>
  <c r="BQ50" i="24"/>
  <c r="BP50" i="24"/>
  <c r="BO50" i="24"/>
  <c r="BN50" i="24"/>
  <c r="BM50" i="24"/>
  <c r="BL50" i="24"/>
  <c r="BK50" i="24"/>
  <c r="BJ50" i="24"/>
  <c r="BI50" i="24"/>
  <c r="BH50" i="24"/>
  <c r="BG50" i="24"/>
  <c r="BF50" i="24"/>
  <c r="BE50" i="24"/>
  <c r="BD50" i="24"/>
  <c r="BC50" i="24"/>
  <c r="BB50" i="24"/>
  <c r="BA50" i="24"/>
  <c r="AZ50" i="24"/>
  <c r="AY50" i="24"/>
  <c r="AX50" i="24"/>
  <c r="AW50" i="24"/>
  <c r="AV50" i="24"/>
  <c r="AU50" i="24"/>
  <c r="AT50" i="24"/>
  <c r="AS50" i="24"/>
  <c r="AR50" i="24"/>
  <c r="AQ50" i="24"/>
  <c r="AP50" i="24"/>
  <c r="AO50" i="24"/>
  <c r="AN50" i="24"/>
  <c r="AM50" i="24"/>
  <c r="AL50" i="24"/>
  <c r="AK50" i="24"/>
  <c r="AJ50" i="24"/>
  <c r="AI50" i="24"/>
  <c r="AH50" i="24"/>
  <c r="AG50" i="24"/>
  <c r="AF50" i="24"/>
  <c r="AE50" i="24"/>
  <c r="AD50" i="24"/>
  <c r="AC50" i="24"/>
  <c r="AB50" i="24"/>
  <c r="AA50" i="24"/>
  <c r="Z50" i="24"/>
  <c r="Y50" i="24"/>
  <c r="X50" i="24"/>
  <c r="W50" i="24"/>
  <c r="V50" i="24"/>
  <c r="U50" i="24"/>
  <c r="T50" i="24"/>
  <c r="S50" i="24"/>
  <c r="R50" i="24"/>
  <c r="Q50" i="24"/>
  <c r="P50" i="24"/>
  <c r="O50" i="24"/>
  <c r="N50" i="24"/>
  <c r="M50" i="24"/>
  <c r="L50" i="24"/>
  <c r="K50" i="24"/>
  <c r="J50" i="24"/>
  <c r="I50" i="24"/>
  <c r="H50" i="24"/>
  <c r="G50" i="24"/>
  <c r="F50" i="24"/>
  <c r="E50" i="24"/>
  <c r="D50" i="24"/>
  <c r="C50" i="24"/>
  <c r="B50" i="24"/>
  <c r="DE49" i="24"/>
  <c r="DD49" i="24"/>
  <c r="DC49" i="24"/>
  <c r="DB49" i="24"/>
  <c r="DA49" i="24"/>
  <c r="CZ49" i="24"/>
  <c r="CY49" i="24"/>
  <c r="CX49" i="24"/>
  <c r="CW49" i="24"/>
  <c r="CV49" i="24"/>
  <c r="CU49" i="24"/>
  <c r="CT49" i="24"/>
  <c r="CS49" i="24"/>
  <c r="CR49" i="24"/>
  <c r="CQ49" i="24"/>
  <c r="CP49" i="24"/>
  <c r="CO49" i="24"/>
  <c r="CN49" i="24"/>
  <c r="CM49" i="24"/>
  <c r="CL49" i="24"/>
  <c r="CK49" i="24"/>
  <c r="CJ49" i="24"/>
  <c r="CI49" i="24"/>
  <c r="CH49" i="24"/>
  <c r="CG49" i="24"/>
  <c r="CF49" i="24"/>
  <c r="CE49" i="24"/>
  <c r="CD49" i="24"/>
  <c r="CC49" i="24"/>
  <c r="CB49" i="24"/>
  <c r="CA49" i="24"/>
  <c r="BZ49" i="24"/>
  <c r="BY49" i="24"/>
  <c r="BX49" i="24"/>
  <c r="BW49" i="24"/>
  <c r="BV49" i="24"/>
  <c r="BU49" i="24"/>
  <c r="BT49" i="24"/>
  <c r="BS49" i="24"/>
  <c r="BR49" i="24"/>
  <c r="BQ49" i="24"/>
  <c r="BP49" i="24"/>
  <c r="BO49" i="24"/>
  <c r="BN49" i="24"/>
  <c r="BM49" i="24"/>
  <c r="BL49" i="24"/>
  <c r="BK49" i="24"/>
  <c r="BJ49" i="24"/>
  <c r="BI49" i="24"/>
  <c r="BH49" i="24"/>
  <c r="BG49" i="24"/>
  <c r="BF49" i="24"/>
  <c r="BE49" i="24"/>
  <c r="BD49" i="24"/>
  <c r="BC49" i="24"/>
  <c r="BB49" i="24"/>
  <c r="BA49" i="24"/>
  <c r="AZ49" i="24"/>
  <c r="AY49" i="24"/>
  <c r="AX49" i="24"/>
  <c r="AW49" i="24"/>
  <c r="AV49" i="24"/>
  <c r="AU49" i="24"/>
  <c r="AT49" i="24"/>
  <c r="AS49" i="24"/>
  <c r="AR49" i="24"/>
  <c r="AQ49" i="24"/>
  <c r="AP49" i="24"/>
  <c r="AO49" i="24"/>
  <c r="AN49" i="24"/>
  <c r="AM49" i="24"/>
  <c r="AL49" i="24"/>
  <c r="AK49" i="24"/>
  <c r="AJ49" i="24"/>
  <c r="AI49" i="24"/>
  <c r="AH49" i="24"/>
  <c r="AG49" i="24"/>
  <c r="AF49" i="24"/>
  <c r="AE49" i="24"/>
  <c r="AD49" i="24"/>
  <c r="AC49" i="24"/>
  <c r="AB49" i="24"/>
  <c r="AA49" i="24"/>
  <c r="Z49" i="24"/>
  <c r="Y49" i="24"/>
  <c r="X49" i="24"/>
  <c r="W49" i="24"/>
  <c r="V49" i="24"/>
  <c r="U49" i="24"/>
  <c r="T49" i="24"/>
  <c r="S49" i="24"/>
  <c r="R49" i="24"/>
  <c r="Q49" i="24"/>
  <c r="P49" i="24"/>
  <c r="O49" i="24"/>
  <c r="N49" i="24"/>
  <c r="M49" i="24"/>
  <c r="L49" i="24"/>
  <c r="K49" i="24"/>
  <c r="J49" i="24"/>
  <c r="I49" i="24"/>
  <c r="H49" i="24"/>
  <c r="G49" i="24"/>
  <c r="F49" i="24"/>
  <c r="E49" i="24"/>
  <c r="D49" i="24"/>
  <c r="C49" i="24"/>
  <c r="B49" i="24"/>
  <c r="BX47" i="24"/>
  <c r="BW47" i="24"/>
  <c r="BV47" i="24"/>
  <c r="BU47" i="24"/>
  <c r="CQ46" i="24"/>
  <c r="CP46" i="24"/>
  <c r="CO46" i="24"/>
  <c r="CN46" i="24"/>
  <c r="CM46" i="24"/>
  <c r="CL46" i="24"/>
  <c r="CK46" i="24"/>
  <c r="CJ46" i="24"/>
  <c r="CI46" i="24"/>
  <c r="CH46" i="24"/>
  <c r="CG46" i="24"/>
  <c r="CG45" i="24"/>
  <c r="CY44" i="24"/>
  <c r="CX44" i="24"/>
  <c r="CW44" i="24"/>
  <c r="CV44" i="24"/>
  <c r="CU44" i="24"/>
  <c r="CT44" i="24"/>
  <c r="CS44" i="24"/>
  <c r="CR44" i="24"/>
  <c r="CQ44" i="24"/>
  <c r="CP44" i="24"/>
  <c r="CO44" i="24"/>
  <c r="CN44" i="24"/>
  <c r="CM44" i="24"/>
  <c r="CL44" i="24"/>
  <c r="CK44" i="24"/>
  <c r="CY43" i="24"/>
  <c r="CX43" i="24"/>
  <c r="CW43" i="24"/>
  <c r="CV43" i="24"/>
  <c r="CS43" i="24"/>
  <c r="CS26" i="24" s="1"/>
  <c r="CQ43" i="24"/>
  <c r="CQ26" i="24" s="1"/>
  <c r="CP43" i="24"/>
  <c r="CP26" i="24" s="1"/>
  <c r="CO43" i="24"/>
  <c r="CN43" i="24"/>
  <c r="CN26" i="24" s="1"/>
  <c r="CM43" i="24"/>
  <c r="CL43" i="24"/>
  <c r="CL26" i="24" s="1"/>
  <c r="CK43" i="24"/>
  <c r="CK26" i="24" s="1"/>
  <c r="CJ43" i="24"/>
  <c r="CJ26" i="24" s="1"/>
  <c r="CI43" i="24"/>
  <c r="CH43" i="24"/>
  <c r="CY42" i="24"/>
  <c r="CX42" i="24"/>
  <c r="CW42" i="24"/>
  <c r="CV42" i="24"/>
  <c r="CU42" i="24"/>
  <c r="CT42" i="24"/>
  <c r="CS42" i="24"/>
  <c r="CR42" i="24"/>
  <c r="CQ42" i="24"/>
  <c r="CP42" i="24"/>
  <c r="CO42" i="24"/>
  <c r="CN42" i="24"/>
  <c r="CM42" i="24"/>
  <c r="CL42" i="24"/>
  <c r="CK42" i="24"/>
  <c r="CJ42" i="24"/>
  <c r="CI42" i="24"/>
  <c r="CH42" i="24"/>
  <c r="CG42" i="24"/>
  <c r="CF42" i="24"/>
  <c r="CD40" i="24"/>
  <c r="CC40" i="24"/>
  <c r="CB40" i="24"/>
  <c r="CA40" i="24"/>
  <c r="BZ40" i="24"/>
  <c r="BY40" i="24"/>
  <c r="BX40" i="24"/>
  <c r="BW40" i="24"/>
  <c r="BV40" i="24"/>
  <c r="BU40" i="24"/>
  <c r="CD39" i="24"/>
  <c r="CC39" i="24"/>
  <c r="CB39" i="24"/>
  <c r="CA39" i="24"/>
  <c r="BZ39" i="24"/>
  <c r="BY39" i="24"/>
  <c r="BX39" i="24"/>
  <c r="BC39" i="24"/>
  <c r="CD37" i="24"/>
  <c r="CC37" i="24"/>
  <c r="CB37" i="24"/>
  <c r="CA37" i="24"/>
  <c r="BZ37" i="24"/>
  <c r="ER36" i="24"/>
  <c r="EQ36" i="24"/>
  <c r="EP36" i="24"/>
  <c r="EO36" i="24"/>
  <c r="EN36" i="24"/>
  <c r="EM36" i="24"/>
  <c r="EL36" i="24"/>
  <c r="EK36" i="24"/>
  <c r="EJ36" i="24"/>
  <c r="EI36" i="24"/>
  <c r="EH36" i="24"/>
  <c r="EG36" i="24"/>
  <c r="EF36" i="24"/>
  <c r="EE36" i="24"/>
  <c r="ED36" i="24"/>
  <c r="EC36" i="24"/>
  <c r="EB36" i="24"/>
  <c r="EA36" i="24"/>
  <c r="DZ36" i="24"/>
  <c r="DY36" i="24"/>
  <c r="DX36" i="24"/>
  <c r="DW36" i="24"/>
  <c r="DV36" i="24"/>
  <c r="DU36" i="24"/>
  <c r="DT36" i="24"/>
  <c r="DS36" i="24"/>
  <c r="DR36" i="24"/>
  <c r="DQ36" i="24"/>
  <c r="DP36" i="24"/>
  <c r="DO36" i="24"/>
  <c r="DN36" i="24"/>
  <c r="DM36" i="24"/>
  <c r="DL36" i="24"/>
  <c r="DK36" i="24"/>
  <c r="DJ36" i="24"/>
  <c r="DI36" i="24"/>
  <c r="DH36" i="24"/>
  <c r="DG36" i="24"/>
  <c r="DF36" i="24"/>
  <c r="DE36" i="24"/>
  <c r="DD36" i="24"/>
  <c r="DC36" i="24"/>
  <c r="DB36" i="24"/>
  <c r="DA36" i="24"/>
  <c r="CZ36" i="24"/>
  <c r="CY36" i="24"/>
  <c r="CX36" i="24"/>
  <c r="CW36" i="24"/>
  <c r="CV36" i="24"/>
  <c r="CU36" i="24"/>
  <c r="CT36" i="24"/>
  <c r="CS36" i="24"/>
  <c r="CR36" i="24"/>
  <c r="CQ36" i="24"/>
  <c r="CP36" i="24"/>
  <c r="CO36" i="24"/>
  <c r="CN36" i="24"/>
  <c r="CM36" i="24"/>
  <c r="CL36" i="24"/>
  <c r="CK36" i="24"/>
  <c r="CK18" i="24" s="1"/>
  <c r="ER35" i="24"/>
  <c r="ER18" i="24" s="1"/>
  <c r="DO35" i="24"/>
  <c r="CU35" i="24"/>
  <c r="CU18" i="24" s="1"/>
  <c r="CS35" i="24"/>
  <c r="CP35" i="24"/>
  <c r="CO35" i="24"/>
  <c r="CN35" i="24"/>
  <c r="CM35" i="24"/>
  <c r="CM18" i="24" s="1"/>
  <c r="CK35" i="24"/>
  <c r="CJ35" i="24"/>
  <c r="CG35" i="24"/>
  <c r="CG18" i="24" s="1"/>
  <c r="CF35" i="24"/>
  <c r="CF18" i="24" s="1"/>
  <c r="CE35" i="24"/>
  <c r="DE34" i="24"/>
  <c r="DD34" i="24"/>
  <c r="DC34" i="24"/>
  <c r="DB34" i="24"/>
  <c r="DA34" i="24"/>
  <c r="CZ34" i="24"/>
  <c r="CY34" i="24"/>
  <c r="CX34" i="24"/>
  <c r="CW34" i="24"/>
  <c r="CV34" i="24"/>
  <c r="CU34" i="24"/>
  <c r="CT34" i="24"/>
  <c r="CS34" i="24"/>
  <c r="CR34" i="24"/>
  <c r="CQ34" i="24"/>
  <c r="CP34" i="24"/>
  <c r="CO34" i="24"/>
  <c r="CN34" i="24"/>
  <c r="CM34" i="24"/>
  <c r="CL34" i="24"/>
  <c r="CK34" i="24"/>
  <c r="CJ34" i="24"/>
  <c r="CI34" i="24"/>
  <c r="CH34" i="24"/>
  <c r="CG34" i="24"/>
  <c r="CF34" i="24"/>
  <c r="CE34" i="24"/>
  <c r="CD34" i="24"/>
  <c r="CC34" i="24"/>
  <c r="CB34" i="24"/>
  <c r="CA34" i="24"/>
  <c r="BZ34" i="24"/>
  <c r="BY34" i="24"/>
  <c r="BX34" i="24"/>
  <c r="CE32" i="24"/>
  <c r="CD32" i="24"/>
  <c r="CC32" i="24"/>
  <c r="CB32" i="24"/>
  <c r="CA32" i="24"/>
  <c r="BZ32" i="24"/>
  <c r="BY32" i="24"/>
  <c r="BX32" i="24"/>
  <c r="BW32" i="24"/>
  <c r="BV32" i="24"/>
  <c r="BU32" i="24"/>
  <c r="CI31" i="24"/>
  <c r="CH31" i="24"/>
  <c r="CG31" i="24"/>
  <c r="CF31" i="24"/>
  <c r="CE31" i="24"/>
  <c r="CD31" i="24"/>
  <c r="CC31" i="24"/>
  <c r="CB31" i="24"/>
  <c r="CA31" i="24"/>
  <c r="BZ31" i="24"/>
  <c r="BY31" i="24"/>
  <c r="BX31" i="24"/>
  <c r="BW31" i="24"/>
  <c r="BV31" i="24"/>
  <c r="BU31" i="24"/>
  <c r="CI30" i="24"/>
  <c r="CH30" i="24"/>
  <c r="CG30" i="24"/>
  <c r="CF30" i="24"/>
  <c r="CE30" i="24"/>
  <c r="CD30" i="24"/>
  <c r="CC30" i="24"/>
  <c r="CB30" i="24"/>
  <c r="CA30" i="24"/>
  <c r="BZ30" i="24"/>
  <c r="BY30" i="24"/>
  <c r="BX30" i="24"/>
  <c r="BW30" i="24"/>
  <c r="BV30" i="24"/>
  <c r="BU30" i="24"/>
  <c r="BT30" i="24"/>
  <c r="BS30" i="24"/>
  <c r="BR30" i="24"/>
  <c r="BQ30" i="24"/>
  <c r="BP30" i="24"/>
  <c r="BO30" i="24"/>
  <c r="BN30" i="24"/>
  <c r="BM30" i="24"/>
  <c r="BL30" i="24"/>
  <c r="BK30" i="24"/>
  <c r="BJ30" i="24"/>
  <c r="BI30" i="24"/>
  <c r="BH30" i="24"/>
  <c r="BG30" i="24"/>
  <c r="ER29" i="24"/>
  <c r="CI29" i="24"/>
  <c r="CH29" i="24"/>
  <c r="CG29" i="24"/>
  <c r="CF29" i="24"/>
  <c r="DS28" i="24"/>
  <c r="DR28" i="24"/>
  <c r="DQ28" i="24"/>
  <c r="DP28" i="24"/>
  <c r="DO28" i="24"/>
  <c r="DN28" i="24"/>
  <c r="DM28" i="24"/>
  <c r="DL28" i="24"/>
  <c r="DK28" i="24"/>
  <c r="DJ28" i="24"/>
  <c r="DI28" i="24"/>
  <c r="DH28" i="24"/>
  <c r="DG28" i="24"/>
  <c r="DF28" i="24"/>
  <c r="DE28" i="24"/>
  <c r="DD28" i="24"/>
  <c r="DC28" i="24"/>
  <c r="DB28" i="24"/>
  <c r="DA28" i="24"/>
  <c r="CZ28" i="24"/>
  <c r="CY28" i="24"/>
  <c r="CX28" i="24"/>
  <c r="CW28" i="24"/>
  <c r="CV28" i="24"/>
  <c r="CU28" i="24"/>
  <c r="CT28" i="24"/>
  <c r="CS28" i="24"/>
  <c r="CR28" i="24"/>
  <c r="CQ28" i="24"/>
  <c r="CP28" i="24"/>
  <c r="CO28" i="24"/>
  <c r="CN28" i="24"/>
  <c r="CM28" i="24"/>
  <c r="CL28" i="24"/>
  <c r="CK28" i="24"/>
  <c r="CJ28" i="24"/>
  <c r="CI28" i="24"/>
  <c r="CH28" i="24"/>
  <c r="CY26" i="24"/>
  <c r="CX26" i="24"/>
  <c r="CW26" i="24"/>
  <c r="CV26" i="24"/>
  <c r="CO26" i="24"/>
  <c r="CH26" i="24"/>
  <c r="CG26" i="24"/>
  <c r="CF26" i="24"/>
  <c r="CE26" i="24"/>
  <c r="CD26" i="24"/>
  <c r="CC26" i="24"/>
  <c r="CB26" i="24"/>
  <c r="CA26" i="24"/>
  <c r="BZ26" i="24"/>
  <c r="BY26" i="24"/>
  <c r="BX26" i="24"/>
  <c r="BW26" i="24"/>
  <c r="AY26" i="24"/>
  <c r="CY24" i="24"/>
  <c r="CX24" i="24"/>
  <c r="CW24" i="24"/>
  <c r="CV24" i="24"/>
  <c r="CU24" i="24"/>
  <c r="CT24" i="24"/>
  <c r="CS24" i="24"/>
  <c r="CR24" i="24"/>
  <c r="CQ24" i="24"/>
  <c r="CP24" i="24"/>
  <c r="CO24" i="24"/>
  <c r="CN24" i="24"/>
  <c r="CM24" i="24"/>
  <c r="CL24" i="24"/>
  <c r="CK24" i="24"/>
  <c r="CJ24" i="24"/>
  <c r="CI24" i="24"/>
  <c r="CH24" i="24"/>
  <c r="CG24" i="24"/>
  <c r="CF24" i="24"/>
  <c r="CE24" i="24"/>
  <c r="CD24" i="24"/>
  <c r="CC24" i="24"/>
  <c r="CB24" i="24"/>
  <c r="CA24" i="24"/>
  <c r="BZ24" i="24"/>
  <c r="BY24" i="24"/>
  <c r="BX24" i="24"/>
  <c r="BW24" i="24"/>
  <c r="BV24" i="24"/>
  <c r="BU24" i="24"/>
  <c r="BT24" i="24"/>
  <c r="BS24" i="24"/>
  <c r="AY24" i="24"/>
  <c r="CU22" i="24"/>
  <c r="CU43" i="24" s="1"/>
  <c r="CT22" i="24"/>
  <c r="CT43" i="24" s="1"/>
  <c r="CR22" i="24"/>
  <c r="DE19" i="24"/>
  <c r="DD19" i="24"/>
  <c r="DC19" i="24"/>
  <c r="DB19" i="24"/>
  <c r="DA19" i="24"/>
  <c r="CZ19" i="24"/>
  <c r="CY19" i="24"/>
  <c r="CX19" i="24"/>
  <c r="CW19" i="24"/>
  <c r="CV19" i="24"/>
  <c r="CU19" i="24"/>
  <c r="CT19" i="24"/>
  <c r="CS19" i="24"/>
  <c r="CR19" i="24"/>
  <c r="CQ19" i="24"/>
  <c r="CP19" i="24"/>
  <c r="CO19" i="24"/>
  <c r="CN19" i="24"/>
  <c r="CM19" i="24"/>
  <c r="CL19" i="24"/>
  <c r="CK19" i="24"/>
  <c r="CJ19" i="24"/>
  <c r="CI19" i="24"/>
  <c r="CH19" i="24"/>
  <c r="CG19" i="24"/>
  <c r="CF19" i="24"/>
  <c r="CE19" i="24"/>
  <c r="CD19" i="24"/>
  <c r="CC19" i="24"/>
  <c r="CB19" i="24"/>
  <c r="CA19" i="24"/>
  <c r="BZ19" i="24"/>
  <c r="BY19" i="24"/>
  <c r="BX19" i="24"/>
  <c r="BS19" i="24"/>
  <c r="BR19" i="24"/>
  <c r="BQ19" i="24"/>
  <c r="BP19" i="24"/>
  <c r="BO19" i="24"/>
  <c r="BN19" i="24"/>
  <c r="BM19" i="24"/>
  <c r="BL19" i="24"/>
  <c r="BK19" i="24"/>
  <c r="BJ19" i="24"/>
  <c r="BI19" i="24"/>
  <c r="BH19" i="24"/>
  <c r="BG19" i="24"/>
  <c r="BF19" i="24"/>
  <c r="BC19" i="24"/>
  <c r="BB19" i="24"/>
  <c r="BA19" i="24"/>
  <c r="AZ19" i="24"/>
  <c r="AY19" i="24"/>
  <c r="AX19" i="24"/>
  <c r="AW19" i="24"/>
  <c r="AV19" i="24"/>
  <c r="AU19" i="24"/>
  <c r="AT19" i="24"/>
  <c r="AS19" i="24"/>
  <c r="AR19" i="24"/>
  <c r="AQ19" i="24"/>
  <c r="AP19" i="24"/>
  <c r="AO19" i="24"/>
  <c r="AN19" i="24"/>
  <c r="AM19" i="24"/>
  <c r="AL19" i="24"/>
  <c r="AK19" i="24"/>
  <c r="AJ19" i="24"/>
  <c r="AI19" i="24"/>
  <c r="AH19" i="24"/>
  <c r="AG19" i="24"/>
  <c r="AF19" i="24"/>
  <c r="AE19" i="24"/>
  <c r="AD19" i="24"/>
  <c r="AC19" i="24"/>
  <c r="AB19" i="24"/>
  <c r="AA19" i="24"/>
  <c r="Z19" i="24"/>
  <c r="Y19" i="24"/>
  <c r="X19" i="24"/>
  <c r="W19" i="24"/>
  <c r="V19" i="24"/>
  <c r="U19" i="24"/>
  <c r="T19" i="24"/>
  <c r="S19" i="24"/>
  <c r="R19" i="24"/>
  <c r="Q19" i="24"/>
  <c r="P19" i="24"/>
  <c r="O19" i="24"/>
  <c r="N19" i="24"/>
  <c r="CJ18" i="24"/>
  <c r="CE18" i="24"/>
  <c r="CD18" i="24"/>
  <c r="CC18" i="24"/>
  <c r="CB18" i="24"/>
  <c r="CA18" i="24"/>
  <c r="BZ18" i="24"/>
  <c r="BY18" i="24"/>
  <c r="BX18" i="24"/>
  <c r="BQ18" i="24"/>
  <c r="BP18" i="24"/>
  <c r="BA18" i="24"/>
  <c r="AX18" i="24"/>
  <c r="AW18" i="24"/>
  <c r="AU18" i="24"/>
  <c r="AT18" i="24"/>
  <c r="AS18" i="24"/>
  <c r="AR18" i="24"/>
  <c r="AQ18" i="24"/>
  <c r="AP18" i="24"/>
  <c r="AK18" i="24"/>
  <c r="AJ18" i="24"/>
  <c r="AI18" i="24"/>
  <c r="AH18" i="24"/>
  <c r="AG18" i="24"/>
  <c r="AE18" i="24"/>
  <c r="AD18" i="24"/>
  <c r="AC18" i="24"/>
  <c r="AB18" i="24"/>
  <c r="Z18" i="24"/>
  <c r="Y18" i="24"/>
  <c r="X18" i="24"/>
  <c r="W18" i="24"/>
  <c r="V18" i="24"/>
  <c r="U18" i="24"/>
  <c r="T18" i="24"/>
  <c r="S18" i="24"/>
  <c r="R18" i="24"/>
  <c r="Q18" i="24"/>
  <c r="P18" i="24"/>
  <c r="O18" i="24"/>
  <c r="N18" i="24"/>
  <c r="M18" i="24"/>
  <c r="L18" i="24"/>
  <c r="K18" i="24"/>
  <c r="J18" i="24"/>
  <c r="I18" i="24"/>
  <c r="H18" i="24"/>
  <c r="G18" i="24"/>
  <c r="F18" i="24"/>
  <c r="E18" i="24"/>
  <c r="D18" i="24"/>
  <c r="C18" i="24"/>
  <c r="B18" i="24"/>
  <c r="DP16" i="24"/>
  <c r="DE16" i="24"/>
  <c r="DD16" i="24"/>
  <c r="DC16" i="24"/>
  <c r="DB16" i="24"/>
  <c r="DA16" i="24"/>
  <c r="CZ16" i="24"/>
  <c r="CY16" i="24"/>
  <c r="CX16" i="24"/>
  <c r="CW16" i="24"/>
  <c r="CV16" i="24"/>
  <c r="CU16" i="24"/>
  <c r="CT16" i="24"/>
  <c r="CS16" i="24"/>
  <c r="CR16" i="24"/>
  <c r="CQ16" i="24"/>
  <c r="CP16" i="24"/>
  <c r="CO16" i="24"/>
  <c r="CN16" i="24"/>
  <c r="CM16" i="24"/>
  <c r="CL16" i="24"/>
  <c r="CK16" i="24"/>
  <c r="CJ16" i="24"/>
  <c r="CI16" i="24"/>
  <c r="CH16" i="24"/>
  <c r="CG16" i="24"/>
  <c r="CF16" i="24"/>
  <c r="CE16" i="24"/>
  <c r="CD16" i="24"/>
  <c r="CC16" i="24"/>
  <c r="CB16" i="24"/>
  <c r="CA16" i="24"/>
  <c r="BZ16" i="24"/>
  <c r="BY16" i="24"/>
  <c r="BX16" i="24"/>
  <c r="BS16" i="24"/>
  <c r="BR16" i="24"/>
  <c r="BQ16" i="24"/>
  <c r="BP16" i="24"/>
  <c r="BO16" i="24"/>
  <c r="BN16" i="24"/>
  <c r="BM16" i="24"/>
  <c r="BL16" i="24"/>
  <c r="BK16" i="24"/>
  <c r="BJ16" i="24"/>
  <c r="BI16" i="24"/>
  <c r="BH16" i="24"/>
  <c r="BG16" i="24"/>
  <c r="BF16" i="24"/>
  <c r="BC16" i="24"/>
  <c r="BA16" i="24"/>
  <c r="AY16" i="24"/>
  <c r="AX16" i="24"/>
  <c r="AW16" i="24"/>
  <c r="AV16" i="24"/>
  <c r="AU16" i="24"/>
  <c r="AT16" i="24"/>
  <c r="AS16" i="24"/>
  <c r="AR16" i="24"/>
  <c r="AQ16" i="24"/>
  <c r="AP16" i="24"/>
  <c r="AO16" i="24"/>
  <c r="AN16" i="24"/>
  <c r="AM16" i="24"/>
  <c r="AL16" i="24"/>
  <c r="AK16" i="24"/>
  <c r="AJ16" i="24"/>
  <c r="AI16" i="24"/>
  <c r="AH16" i="24"/>
  <c r="AG16" i="24"/>
  <c r="AF16" i="24"/>
  <c r="AE16" i="24"/>
  <c r="AD16" i="24"/>
  <c r="AC16" i="24"/>
  <c r="AB16" i="24"/>
  <c r="AA16" i="24"/>
  <c r="Z16" i="24"/>
  <c r="Y16" i="24"/>
  <c r="X16" i="24"/>
  <c r="W16" i="24"/>
  <c r="V16" i="24"/>
  <c r="U16" i="24"/>
  <c r="T16" i="24"/>
  <c r="S16" i="24"/>
  <c r="R16" i="24"/>
  <c r="Q16" i="24"/>
  <c r="P16" i="24"/>
  <c r="O16" i="24"/>
  <c r="N16" i="24"/>
  <c r="M16" i="24"/>
  <c r="L16" i="24"/>
  <c r="K16" i="24"/>
  <c r="J16" i="24"/>
  <c r="I16" i="24"/>
  <c r="H16" i="24"/>
  <c r="G16" i="24"/>
  <c r="F16" i="24"/>
  <c r="E16" i="24"/>
  <c r="D16" i="24"/>
  <c r="C16" i="24"/>
  <c r="B16" i="24"/>
  <c r="ER15" i="24"/>
  <c r="EQ15" i="24"/>
  <c r="EQ19" i="24" s="1"/>
  <c r="EP15" i="24"/>
  <c r="EP19" i="24" s="1"/>
  <c r="EO15" i="24"/>
  <c r="EO16" i="24" s="1"/>
  <c r="EN15" i="24"/>
  <c r="EN19" i="24" s="1"/>
  <c r="EM15" i="24"/>
  <c r="EM19" i="24" s="1"/>
  <c r="EL15" i="24"/>
  <c r="EL19" i="24" s="1"/>
  <c r="EK15" i="24"/>
  <c r="EK16" i="24" s="1"/>
  <c r="EJ15" i="24"/>
  <c r="EJ19" i="24" s="1"/>
  <c r="EI15" i="24"/>
  <c r="EI19" i="24" s="1"/>
  <c r="EH15" i="24"/>
  <c r="EH16" i="24" s="1"/>
  <c r="EG15" i="24"/>
  <c r="EF15" i="24"/>
  <c r="EE15" i="24"/>
  <c r="EE16" i="24" s="1"/>
  <c r="ED15" i="24"/>
  <c r="ED19" i="24" s="1"/>
  <c r="EC15" i="24"/>
  <c r="EC16" i="24" s="1"/>
  <c r="EB15" i="24"/>
  <c r="EB19" i="24" s="1"/>
  <c r="EA15" i="24"/>
  <c r="DZ15" i="24"/>
  <c r="DZ16" i="24" s="1"/>
  <c r="DY15" i="24"/>
  <c r="DY19" i="24" s="1"/>
  <c r="DX15" i="24"/>
  <c r="DW15" i="24"/>
  <c r="DW19" i="24" s="1"/>
  <c r="DV15" i="24"/>
  <c r="DU15" i="24"/>
  <c r="DT15" i="24"/>
  <c r="DT16" i="24" s="1"/>
  <c r="DS15" i="24"/>
  <c r="DR15" i="24"/>
  <c r="DQ15" i="24"/>
  <c r="DQ19" i="24" s="1"/>
  <c r="DP15" i="24"/>
  <c r="DO15" i="24"/>
  <c r="DO16" i="24" s="1"/>
  <c r="DN15" i="24"/>
  <c r="DN16" i="24" s="1"/>
  <c r="DM15" i="24"/>
  <c r="DL15" i="24"/>
  <c r="DL16" i="24" s="1"/>
  <c r="DK15" i="24"/>
  <c r="DJ15" i="24"/>
  <c r="DJ16" i="24" s="1"/>
  <c r="DI15" i="24"/>
  <c r="DI19" i="24" s="1"/>
  <c r="DH15" i="24"/>
  <c r="DH16" i="24" s="1"/>
  <c r="DG15" i="24"/>
  <c r="DF15" i="24"/>
  <c r="EQ14" i="24"/>
  <c r="EQ35" i="24" s="1"/>
  <c r="EP14" i="24"/>
  <c r="EP35" i="24" s="1"/>
  <c r="EO14" i="24"/>
  <c r="EO35" i="24" s="1"/>
  <c r="EN14" i="24"/>
  <c r="EN35" i="24" s="1"/>
  <c r="EN18" i="24" s="1"/>
  <c r="EM14" i="24"/>
  <c r="EM35" i="24" s="1"/>
  <c r="EM18" i="24" s="1"/>
  <c r="EL14" i="24"/>
  <c r="EL35" i="24" s="1"/>
  <c r="EL18" i="24" s="1"/>
  <c r="EK14" i="24"/>
  <c r="EK35" i="24" s="1"/>
  <c r="EJ14" i="24"/>
  <c r="EJ35" i="24" s="1"/>
  <c r="EJ18" i="24" s="1"/>
  <c r="EI14" i="24"/>
  <c r="EI35" i="24" s="1"/>
  <c r="EH14" i="24"/>
  <c r="EH35" i="24" s="1"/>
  <c r="EG14" i="24"/>
  <c r="EF14" i="24"/>
  <c r="EE14" i="24"/>
  <c r="ED14" i="24"/>
  <c r="EC14" i="24"/>
  <c r="EB14" i="24"/>
  <c r="EA14" i="24"/>
  <c r="DZ14" i="24"/>
  <c r="DY14" i="24"/>
  <c r="DX14" i="24"/>
  <c r="DW14" i="24"/>
  <c r="DV14" i="24"/>
  <c r="DV35" i="24" s="1"/>
  <c r="DV18" i="24" s="1"/>
  <c r="DU14" i="24"/>
  <c r="DT14" i="24"/>
  <c r="DS14" i="24"/>
  <c r="DR14" i="24"/>
  <c r="DQ14" i="24"/>
  <c r="DP14" i="24"/>
  <c r="DP35" i="24" s="1"/>
  <c r="DN14" i="24"/>
  <c r="DN35" i="24" s="1"/>
  <c r="DM14" i="24"/>
  <c r="DL14" i="24"/>
  <c r="DK14" i="24"/>
  <c r="DJ14" i="24"/>
  <c r="DI14" i="24"/>
  <c r="DI35" i="24" s="1"/>
  <c r="DI18" i="24" s="1"/>
  <c r="DH14" i="24"/>
  <c r="DG14" i="24"/>
  <c r="DF14" i="24"/>
  <c r="DE14" i="24"/>
  <c r="DD14" i="24"/>
  <c r="DC14" i="24"/>
  <c r="DB14" i="24"/>
  <c r="DA14" i="24"/>
  <c r="CZ14" i="24"/>
  <c r="CZ35" i="24" s="1"/>
  <c r="CY14" i="24"/>
  <c r="CX14" i="24"/>
  <c r="CW14" i="24"/>
  <c r="CV14" i="24"/>
  <c r="CT14" i="24"/>
  <c r="CR14" i="24"/>
  <c r="CQ14" i="24"/>
  <c r="CQ35" i="24" s="1"/>
  <c r="CQ18" i="24" s="1"/>
  <c r="CL14" i="24"/>
  <c r="CI14" i="24"/>
  <c r="CH14" i="24"/>
  <c r="CD14" i="24"/>
  <c r="BS14" i="24"/>
  <c r="BR14" i="24"/>
  <c r="BI14" i="24"/>
  <c r="BI51" i="24" s="1"/>
  <c r="AY14" i="24"/>
  <c r="DS11" i="24"/>
  <c r="DR11" i="24"/>
  <c r="DQ11" i="24"/>
  <c r="DP11" i="24"/>
  <c r="DO11" i="24"/>
  <c r="DN11" i="24"/>
  <c r="DM11" i="24"/>
  <c r="DL11" i="24"/>
  <c r="DK11" i="24"/>
  <c r="DJ11" i="24"/>
  <c r="DI11" i="24"/>
  <c r="DH11" i="24"/>
  <c r="DG11" i="24"/>
  <c r="DF11" i="24"/>
  <c r="DE11" i="24"/>
  <c r="DD11" i="24"/>
  <c r="DC11" i="24"/>
  <c r="DB11" i="24"/>
  <c r="DA11" i="24"/>
  <c r="CZ11" i="24"/>
  <c r="CY11" i="24"/>
  <c r="CX11" i="24"/>
  <c r="CW11" i="24"/>
  <c r="CV11" i="24"/>
  <c r="CU11" i="24"/>
  <c r="CT11" i="24"/>
  <c r="CS11" i="24"/>
  <c r="CR11" i="24"/>
  <c r="CQ11" i="24"/>
  <c r="CP11" i="24"/>
  <c r="CO11" i="24"/>
  <c r="CN11" i="24"/>
  <c r="CM11" i="24"/>
  <c r="CL11" i="24"/>
  <c r="CK11" i="24"/>
  <c r="CJ11" i="24"/>
  <c r="CI11" i="24"/>
  <c r="CH11" i="24"/>
  <c r="CG11" i="24"/>
  <c r="CF11" i="24"/>
  <c r="CE11" i="24"/>
  <c r="CD11" i="24"/>
  <c r="CC11" i="24"/>
  <c r="CB11" i="24"/>
  <c r="CA11" i="24"/>
  <c r="BZ11" i="24"/>
  <c r="BY11" i="24"/>
  <c r="BX11" i="24"/>
  <c r="BS11" i="24"/>
  <c r="BR11" i="24"/>
  <c r="BQ11" i="24"/>
  <c r="BP11" i="24"/>
  <c r="BO11" i="24"/>
  <c r="BN11" i="24"/>
  <c r="BM11" i="24"/>
  <c r="BL11" i="24"/>
  <c r="BK11" i="24"/>
  <c r="BJ11" i="24"/>
  <c r="BI11" i="24"/>
  <c r="BH11" i="24"/>
  <c r="BG11" i="24"/>
  <c r="BF11" i="24"/>
  <c r="BC11" i="24"/>
  <c r="BB11" i="24"/>
  <c r="BA11" i="24"/>
  <c r="AZ11" i="24"/>
  <c r="AY11" i="24"/>
  <c r="AX11" i="24"/>
  <c r="AW11" i="24"/>
  <c r="AV11" i="24"/>
  <c r="AU11" i="24"/>
  <c r="AT11" i="24"/>
  <c r="AS11" i="24"/>
  <c r="AR11" i="24"/>
  <c r="AQ11" i="24"/>
  <c r="AP11" i="24"/>
  <c r="AO11" i="24"/>
  <c r="AN11" i="24"/>
  <c r="AM11" i="24"/>
  <c r="AL11" i="24"/>
  <c r="AK11" i="24"/>
  <c r="AJ11" i="24"/>
  <c r="AI11" i="24"/>
  <c r="AH11" i="24"/>
  <c r="AG11" i="24"/>
  <c r="AF11" i="24"/>
  <c r="AE11" i="24"/>
  <c r="AD11" i="24"/>
  <c r="AC11" i="24"/>
  <c r="AB11" i="24"/>
  <c r="AA11" i="24"/>
  <c r="Z11" i="24"/>
  <c r="Y11" i="24"/>
  <c r="X11" i="24"/>
  <c r="W11" i="24"/>
  <c r="V11" i="24"/>
  <c r="U11" i="24"/>
  <c r="T11" i="24"/>
  <c r="S11" i="24"/>
  <c r="R11" i="24"/>
  <c r="Q11" i="24"/>
  <c r="P11" i="24"/>
  <c r="O11" i="24"/>
  <c r="N11" i="24"/>
  <c r="ER10" i="24"/>
  <c r="EG10" i="24"/>
  <c r="DI10" i="24"/>
  <c r="CS10" i="24"/>
  <c r="CI10" i="24"/>
  <c r="CH10" i="24"/>
  <c r="CG10" i="24"/>
  <c r="CF10" i="24"/>
  <c r="CE10" i="24"/>
  <c r="CD10" i="24"/>
  <c r="CC10" i="24"/>
  <c r="CB10" i="24"/>
  <c r="CA10" i="24"/>
  <c r="BZ10" i="24"/>
  <c r="BY10" i="24"/>
  <c r="BX10" i="24"/>
  <c r="BS10" i="24"/>
  <c r="BP10" i="24"/>
  <c r="BO10" i="24"/>
  <c r="BN10" i="24"/>
  <c r="BM10" i="24"/>
  <c r="BL10" i="24"/>
  <c r="BK10" i="24"/>
  <c r="BJ10" i="24"/>
  <c r="BI10" i="24"/>
  <c r="BH10" i="24"/>
  <c r="BG10" i="24"/>
  <c r="BF10" i="24"/>
  <c r="BB10" i="24"/>
  <c r="AZ10" i="24"/>
  <c r="AY10" i="24"/>
  <c r="AW10" i="24"/>
  <c r="AV10" i="24"/>
  <c r="AU10" i="24"/>
  <c r="AS10" i="24"/>
  <c r="AR10" i="24"/>
  <c r="AQ10" i="24"/>
  <c r="AP10" i="24"/>
  <c r="AO10" i="24"/>
  <c r="AN10" i="24"/>
  <c r="AM10" i="24"/>
  <c r="AL10" i="24"/>
  <c r="AK10" i="24"/>
  <c r="AJ10" i="24"/>
  <c r="AI10" i="24"/>
  <c r="AH10" i="24"/>
  <c r="AG10" i="24"/>
  <c r="AF10" i="24"/>
  <c r="AE10" i="24"/>
  <c r="AD10" i="24"/>
  <c r="AC10" i="24"/>
  <c r="AB10" i="24"/>
  <c r="AA10" i="24"/>
  <c r="Z10" i="24"/>
  <c r="Y10" i="24"/>
  <c r="X10" i="24"/>
  <c r="W10" i="24"/>
  <c r="V10" i="24"/>
  <c r="U10" i="24"/>
  <c r="T10" i="24"/>
  <c r="S10" i="24"/>
  <c r="R10" i="24"/>
  <c r="Q10" i="24"/>
  <c r="P10" i="24"/>
  <c r="O10" i="24"/>
  <c r="N10" i="24"/>
  <c r="M10" i="24"/>
  <c r="L10" i="24"/>
  <c r="K10" i="24"/>
  <c r="J10" i="24"/>
  <c r="I10" i="24"/>
  <c r="H10" i="24"/>
  <c r="G10" i="24"/>
  <c r="F10" i="24"/>
  <c r="E10" i="24"/>
  <c r="D10" i="24"/>
  <c r="C10" i="24"/>
  <c r="B10" i="24"/>
  <c r="DS8" i="24"/>
  <c r="DR8" i="24"/>
  <c r="DQ8" i="24"/>
  <c r="DP8" i="24"/>
  <c r="DO8" i="24"/>
  <c r="DN8" i="24"/>
  <c r="DM8" i="24"/>
  <c r="DL8" i="24"/>
  <c r="DK8" i="24"/>
  <c r="DJ8" i="24"/>
  <c r="DI8" i="24"/>
  <c r="DH8" i="24"/>
  <c r="DG8" i="24"/>
  <c r="DF8" i="24"/>
  <c r="DE8" i="24"/>
  <c r="DD8" i="24"/>
  <c r="DC8" i="24"/>
  <c r="DB8" i="24"/>
  <c r="DA8" i="24"/>
  <c r="CZ8" i="24"/>
  <c r="CY8" i="24"/>
  <c r="CX8" i="24"/>
  <c r="CW8" i="24"/>
  <c r="CV8" i="24"/>
  <c r="CU8" i="24"/>
  <c r="CT8" i="24"/>
  <c r="CS8" i="24"/>
  <c r="CR8" i="24"/>
  <c r="CQ8" i="24"/>
  <c r="CP8" i="24"/>
  <c r="CO8" i="24"/>
  <c r="CN8" i="24"/>
  <c r="CM8" i="24"/>
  <c r="CL8" i="24"/>
  <c r="CK8" i="24"/>
  <c r="CJ8" i="24"/>
  <c r="CI8" i="24"/>
  <c r="CH8" i="24"/>
  <c r="CG8" i="24"/>
  <c r="CF8" i="24"/>
  <c r="CE8" i="24"/>
  <c r="CD8" i="24"/>
  <c r="CC8" i="24"/>
  <c r="CB8" i="24"/>
  <c r="CA8" i="24"/>
  <c r="BZ8" i="24"/>
  <c r="BY8" i="24"/>
  <c r="BS8" i="24"/>
  <c r="BR8" i="24"/>
  <c r="BQ8" i="24"/>
  <c r="BP8" i="24"/>
  <c r="BO8" i="24"/>
  <c r="BN8" i="24"/>
  <c r="BM8" i="24"/>
  <c r="BL8" i="24"/>
  <c r="BK8" i="24"/>
  <c r="BJ8" i="24"/>
  <c r="BI8" i="24"/>
  <c r="BH8" i="24"/>
  <c r="BG8" i="24"/>
  <c r="BF8" i="24"/>
  <c r="BC8" i="24"/>
  <c r="BB8" i="24"/>
  <c r="BA8" i="24"/>
  <c r="AZ8" i="24"/>
  <c r="AY8" i="24"/>
  <c r="AX8" i="24"/>
  <c r="AW8" i="24"/>
  <c r="AV8" i="24"/>
  <c r="AU8" i="24"/>
  <c r="AT8" i="24"/>
  <c r="AS8" i="24"/>
  <c r="AR8" i="24"/>
  <c r="AQ8" i="24"/>
  <c r="AP8" i="24"/>
  <c r="AO8" i="24"/>
  <c r="AN8" i="24"/>
  <c r="AM8" i="24"/>
  <c r="AL8" i="24"/>
  <c r="AK8" i="24"/>
  <c r="AJ8" i="24"/>
  <c r="AI8" i="24"/>
  <c r="AH8" i="24"/>
  <c r="AG8" i="24"/>
  <c r="AF8" i="24"/>
  <c r="AE8" i="24"/>
  <c r="AD8" i="24"/>
  <c r="AC8" i="24"/>
  <c r="AB8" i="24"/>
  <c r="AA8" i="24"/>
  <c r="Z8" i="24"/>
  <c r="Y8" i="24"/>
  <c r="X8" i="24"/>
  <c r="W8" i="24"/>
  <c r="V8" i="24"/>
  <c r="U8" i="24"/>
  <c r="T8" i="24"/>
  <c r="S8" i="24"/>
  <c r="R8" i="24"/>
  <c r="Q8" i="24"/>
  <c r="P8" i="24"/>
  <c r="O8" i="24"/>
  <c r="N8" i="24"/>
  <c r="M8" i="24"/>
  <c r="L8" i="24"/>
  <c r="K8" i="24"/>
  <c r="J8" i="24"/>
  <c r="I8" i="24"/>
  <c r="H8" i="24"/>
  <c r="G8" i="24"/>
  <c r="F8" i="24"/>
  <c r="E8" i="24"/>
  <c r="D8" i="24"/>
  <c r="C8" i="24"/>
  <c r="B8" i="24"/>
  <c r="ER7" i="24"/>
  <c r="EQ7" i="24"/>
  <c r="EQ49" i="24" s="1"/>
  <c r="EP7" i="24"/>
  <c r="EO7" i="24"/>
  <c r="EN7" i="24"/>
  <c r="EM7" i="24"/>
  <c r="EM49" i="24" s="1"/>
  <c r="EL7" i="24"/>
  <c r="EK7" i="24"/>
  <c r="EJ7" i="24"/>
  <c r="EI7" i="24"/>
  <c r="EH7" i="24"/>
  <c r="EG7" i="24"/>
  <c r="EF7" i="24"/>
  <c r="EE7" i="24"/>
  <c r="ED7" i="24"/>
  <c r="ED11" i="24" s="1"/>
  <c r="EC7" i="24"/>
  <c r="EB7" i="24"/>
  <c r="EA7" i="24"/>
  <c r="DZ7" i="24"/>
  <c r="DZ11" i="24" s="1"/>
  <c r="DY7" i="24"/>
  <c r="DX7" i="24"/>
  <c r="DW7" i="24"/>
  <c r="DV7" i="24"/>
  <c r="DU7" i="24"/>
  <c r="DT7" i="24"/>
  <c r="ER6" i="24"/>
  <c r="ER52" i="24" s="1"/>
  <c r="CQ6" i="24"/>
  <c r="CI6" i="24"/>
  <c r="CH6" i="24"/>
  <c r="CG6" i="24"/>
  <c r="CF6" i="24"/>
  <c r="EQ5" i="24"/>
  <c r="EQ51" i="24" s="1"/>
  <c r="EP5" i="24"/>
  <c r="EO5" i="24"/>
  <c r="EO6" i="24" s="1"/>
  <c r="EN5" i="24"/>
  <c r="EM5" i="24"/>
  <c r="EM51" i="24" s="1"/>
  <c r="EL5" i="24"/>
  <c r="EL6" i="24" s="1"/>
  <c r="EL52" i="24" s="1"/>
  <c r="EK5" i="24"/>
  <c r="EJ5" i="24"/>
  <c r="EJ6" i="24" s="1"/>
  <c r="EI5" i="24"/>
  <c r="EI51" i="24" s="1"/>
  <c r="EH5" i="24"/>
  <c r="EG5" i="24"/>
  <c r="EG6" i="24" s="1"/>
  <c r="EF5" i="24"/>
  <c r="EF10" i="24" s="1"/>
  <c r="EE5" i="24"/>
  <c r="ED5" i="24"/>
  <c r="ED6" i="24" s="1"/>
  <c r="EC5" i="24"/>
  <c r="EC10" i="24" s="1"/>
  <c r="EB5" i="24"/>
  <c r="EB10" i="24" s="1"/>
  <c r="EA5" i="24"/>
  <c r="DZ5" i="24"/>
  <c r="DY5" i="24"/>
  <c r="DX5" i="24"/>
  <c r="DW5" i="24"/>
  <c r="DV5" i="24"/>
  <c r="DV6" i="24" s="1"/>
  <c r="DV52" i="24" s="1"/>
  <c r="DU5" i="24"/>
  <c r="DT5" i="24"/>
  <c r="DT10" i="24" s="1"/>
  <c r="DS5" i="24"/>
  <c r="DR5" i="24"/>
  <c r="DR29" i="24" s="1"/>
  <c r="DQ5" i="24"/>
  <c r="DQ6" i="24" s="1"/>
  <c r="DP5" i="24"/>
  <c r="DO5" i="24"/>
  <c r="DN5" i="24"/>
  <c r="DN6" i="24" s="1"/>
  <c r="DM5" i="24"/>
  <c r="DM10" i="24" s="1"/>
  <c r="DL5" i="24"/>
  <c r="DL10" i="24" s="1"/>
  <c r="DK5" i="24"/>
  <c r="DJ5" i="24"/>
  <c r="DJ29" i="24" s="1"/>
  <c r="DI5" i="24"/>
  <c r="DI6" i="24" s="1"/>
  <c r="DH5" i="24"/>
  <c r="DH10" i="24" s="1"/>
  <c r="DG5" i="24"/>
  <c r="DF5" i="24"/>
  <c r="DF6" i="24" s="1"/>
  <c r="DE5" i="24"/>
  <c r="DD5" i="24"/>
  <c r="DD10" i="24" s="1"/>
  <c r="DC5" i="24"/>
  <c r="DB5" i="24"/>
  <c r="DB29" i="24" s="1"/>
  <c r="DA5" i="24"/>
  <c r="CZ5" i="24"/>
  <c r="CY5" i="24"/>
  <c r="CX5" i="24"/>
  <c r="CX6" i="24" s="1"/>
  <c r="CW5" i="24"/>
  <c r="CW10" i="24" s="1"/>
  <c r="CV5" i="24"/>
  <c r="CV10" i="24" s="1"/>
  <c r="CU5" i="24"/>
  <c r="CT5" i="24"/>
  <c r="CT51" i="24" s="1"/>
  <c r="CS5" i="24"/>
  <c r="CS6" i="24" s="1"/>
  <c r="CR5" i="24"/>
  <c r="CQ5" i="24"/>
  <c r="CP5" i="24"/>
  <c r="CP51" i="24" s="1"/>
  <c r="CO5" i="24"/>
  <c r="CO10" i="24" s="1"/>
  <c r="CN5" i="24"/>
  <c r="CN10" i="24" s="1"/>
  <c r="CM5" i="24"/>
  <c r="CL5" i="24"/>
  <c r="CL51" i="24" s="1"/>
  <c r="CK5" i="24"/>
  <c r="CK10" i="24" s="1"/>
  <c r="CJ5" i="24"/>
  <c r="AQ92" i="25"/>
  <c r="AQ90" i="25"/>
  <c r="AQ89" i="25"/>
  <c r="BM82" i="25"/>
  <c r="BM72" i="25" s="1"/>
  <c r="BM80" i="25"/>
  <c r="BM30" i="25" s="1"/>
  <c r="BM32" i="25" s="1"/>
  <c r="BM79" i="25"/>
  <c r="BM9" i="25" s="1"/>
  <c r="BM11" i="25" s="1"/>
  <c r="BP72" i="25"/>
  <c r="BP74" i="25" s="1"/>
  <c r="BO72" i="25"/>
  <c r="BO74" i="25" s="1"/>
  <c r="BN72" i="25"/>
  <c r="BN74" i="25" s="1"/>
  <c r="BL72" i="25"/>
  <c r="BL74" i="25" s="1"/>
  <c r="BK72" i="25"/>
  <c r="BK74" i="25" s="1"/>
  <c r="BJ72" i="25"/>
  <c r="BJ74" i="25" s="1"/>
  <c r="BI72" i="25"/>
  <c r="BI74" i="25" s="1"/>
  <c r="BH72" i="25"/>
  <c r="BH74" i="25" s="1"/>
  <c r="BG72" i="25"/>
  <c r="BG74" i="25" s="1"/>
  <c r="BF72" i="25"/>
  <c r="BF74" i="25" s="1"/>
  <c r="BE72" i="25"/>
  <c r="BE74" i="25" s="1"/>
  <c r="BD72" i="25"/>
  <c r="BD74" i="25" s="1"/>
  <c r="BC72" i="25"/>
  <c r="BC74" i="25" s="1"/>
  <c r="BB72" i="25"/>
  <c r="BA72" i="25"/>
  <c r="BA74" i="25" s="1"/>
  <c r="AZ72" i="25"/>
  <c r="AZ74" i="25" s="1"/>
  <c r="AY72" i="25"/>
  <c r="AX72" i="25"/>
  <c r="AW72" i="25"/>
  <c r="AW74" i="25" s="1"/>
  <c r="AV72" i="25"/>
  <c r="AV74" i="25" s="1"/>
  <c r="AU72" i="25"/>
  <c r="AU74" i="25" s="1"/>
  <c r="AT72" i="25"/>
  <c r="AS72" i="25"/>
  <c r="AS74" i="25" s="1"/>
  <c r="AR72" i="25"/>
  <c r="AR74" i="25" s="1"/>
  <c r="AQ72" i="25"/>
  <c r="AP72" i="25"/>
  <c r="AO72" i="25"/>
  <c r="AO74" i="25" s="1"/>
  <c r="AN72" i="25"/>
  <c r="AN74" i="25" s="1"/>
  <c r="AM72" i="25"/>
  <c r="AM74" i="25" s="1"/>
  <c r="AL72" i="25"/>
  <c r="AK72" i="25"/>
  <c r="AK74" i="25" s="1"/>
  <c r="AJ72" i="25"/>
  <c r="AJ74" i="25" s="1"/>
  <c r="AI72" i="25"/>
  <c r="AH72" i="25"/>
  <c r="AG72" i="25"/>
  <c r="AG74" i="25" s="1"/>
  <c r="AF72" i="25"/>
  <c r="AF74" i="25" s="1"/>
  <c r="AE72" i="25"/>
  <c r="AD72" i="25"/>
  <c r="AQ70" i="25"/>
  <c r="AP70" i="25"/>
  <c r="AO70" i="25"/>
  <c r="AQ69" i="25"/>
  <c r="AP69" i="25"/>
  <c r="AO69" i="25"/>
  <c r="AN69" i="25"/>
  <c r="AM69" i="25"/>
  <c r="AL69" i="25"/>
  <c r="AK69" i="25"/>
  <c r="AJ69" i="25"/>
  <c r="AI69" i="25"/>
  <c r="AH69" i="25"/>
  <c r="AG69" i="25"/>
  <c r="AF69" i="25"/>
  <c r="AE69" i="25"/>
  <c r="AD69" i="25"/>
  <c r="BP67" i="25"/>
  <c r="BP69" i="25" s="1"/>
  <c r="BO67" i="25"/>
  <c r="BO69" i="25" s="1"/>
  <c r="BN67" i="25"/>
  <c r="BN69" i="25" s="1"/>
  <c r="BM67" i="25"/>
  <c r="BM69" i="25" s="1"/>
  <c r="BL67" i="25"/>
  <c r="BL69" i="25" s="1"/>
  <c r="BK67" i="25"/>
  <c r="BK69" i="25" s="1"/>
  <c r="BJ67" i="25"/>
  <c r="BJ69" i="25" s="1"/>
  <c r="BI67" i="25"/>
  <c r="BI69" i="25" s="1"/>
  <c r="BH67" i="25"/>
  <c r="BH69" i="25" s="1"/>
  <c r="BG67" i="25"/>
  <c r="BG69" i="25" s="1"/>
  <c r="BF67" i="25"/>
  <c r="BF69" i="25" s="1"/>
  <c r="BE67" i="25"/>
  <c r="BE69" i="25" s="1"/>
  <c r="BD67" i="25"/>
  <c r="BC67" i="25"/>
  <c r="BC69" i="25" s="1"/>
  <c r="BB67" i="25"/>
  <c r="BB69" i="25" s="1"/>
  <c r="BA67" i="25"/>
  <c r="AZ67" i="25"/>
  <c r="AY67" i="25"/>
  <c r="AY69" i="25" s="1"/>
  <c r="AX67" i="25"/>
  <c r="AX69" i="25" s="1"/>
  <c r="AW67" i="25"/>
  <c r="AW69" i="25" s="1"/>
  <c r="AV67" i="25"/>
  <c r="AU67" i="25"/>
  <c r="AU69" i="25" s="1"/>
  <c r="AT67" i="25"/>
  <c r="AT69" i="25" s="1"/>
  <c r="AS67" i="25"/>
  <c r="AR67" i="25"/>
  <c r="O64" i="25"/>
  <c r="BP63" i="25"/>
  <c r="BO63" i="25"/>
  <c r="BN63" i="25"/>
  <c r="BM63" i="25"/>
  <c r="BL63" i="25"/>
  <c r="BK63" i="25"/>
  <c r="BJ63" i="25"/>
  <c r="BI63" i="25"/>
  <c r="BH63" i="25"/>
  <c r="BG63" i="25"/>
  <c r="BF63" i="25"/>
  <c r="BE63" i="25"/>
  <c r="BD63" i="25"/>
  <c r="BC63" i="25"/>
  <c r="BB63" i="25"/>
  <c r="BA63" i="25"/>
  <c r="AZ63" i="25"/>
  <c r="AY63" i="25"/>
  <c r="AX63" i="25"/>
  <c r="AW63" i="25"/>
  <c r="AV63" i="25"/>
  <c r="AU63" i="25"/>
  <c r="AT63" i="25"/>
  <c r="AS63" i="25"/>
  <c r="AR63" i="25"/>
  <c r="AQ63" i="25"/>
  <c r="AP63" i="25"/>
  <c r="AO63" i="25"/>
  <c r="AN63" i="25"/>
  <c r="AM63" i="25"/>
  <c r="AL63" i="25"/>
  <c r="AK63" i="25"/>
  <c r="AJ63" i="25"/>
  <c r="AI63" i="25"/>
  <c r="AH63" i="25"/>
  <c r="AG63" i="25"/>
  <c r="AF63" i="25"/>
  <c r="AE63" i="25"/>
  <c r="AD63" i="25"/>
  <c r="AC63" i="25"/>
  <c r="AB63" i="25"/>
  <c r="AA63" i="25"/>
  <c r="Z63" i="25"/>
  <c r="Y63" i="25"/>
  <c r="X63" i="25"/>
  <c r="W63" i="25"/>
  <c r="V63" i="25"/>
  <c r="U63" i="25"/>
  <c r="T63" i="25"/>
  <c r="S63" i="25"/>
  <c r="R63" i="25"/>
  <c r="Q63" i="25"/>
  <c r="P63" i="25"/>
  <c r="O63" i="25"/>
  <c r="N63" i="25"/>
  <c r="N64" i="25" s="1"/>
  <c r="M63" i="25"/>
  <c r="L63" i="25"/>
  <c r="K63" i="25"/>
  <c r="J63" i="25"/>
  <c r="I63" i="25"/>
  <c r="H63" i="25"/>
  <c r="G63" i="25"/>
  <c r="F63" i="25"/>
  <c r="F64" i="25" s="1"/>
  <c r="E63" i="25"/>
  <c r="D63" i="25"/>
  <c r="C63" i="25"/>
  <c r="AY62" i="25"/>
  <c r="AY64" i="25" s="1"/>
  <c r="AT62" i="25"/>
  <c r="AT64" i="25" s="1"/>
  <c r="AQ62" i="25"/>
  <c r="AP62" i="25"/>
  <c r="AC62" i="25"/>
  <c r="AB62" i="25"/>
  <c r="AA62" i="25"/>
  <c r="Z62" i="25"/>
  <c r="Y62" i="25"/>
  <c r="X62" i="25"/>
  <c r="W62" i="25"/>
  <c r="W64" i="25" s="1"/>
  <c r="V62" i="25"/>
  <c r="U62" i="25"/>
  <c r="T62" i="25"/>
  <c r="S62" i="25"/>
  <c r="R62" i="25"/>
  <c r="Q62" i="25"/>
  <c r="P62" i="25"/>
  <c r="O62" i="25"/>
  <c r="N62" i="25"/>
  <c r="M62" i="25"/>
  <c r="L62" i="25"/>
  <c r="K62" i="25"/>
  <c r="J62" i="25"/>
  <c r="I62" i="25"/>
  <c r="H62" i="25"/>
  <c r="G62" i="25"/>
  <c r="F62" i="25"/>
  <c r="E62" i="25"/>
  <c r="D62" i="25"/>
  <c r="C62" i="25"/>
  <c r="W59" i="25"/>
  <c r="V59" i="25"/>
  <c r="U59" i="25"/>
  <c r="T59" i="25"/>
  <c r="S59" i="25"/>
  <c r="R59" i="25"/>
  <c r="Q59" i="25"/>
  <c r="W58" i="25"/>
  <c r="V58" i="25"/>
  <c r="U58" i="25"/>
  <c r="T58" i="25"/>
  <c r="S58" i="25"/>
  <c r="R58" i="25"/>
  <c r="Q58" i="25"/>
  <c r="P58" i="25"/>
  <c r="O58" i="25"/>
  <c r="N58" i="25"/>
  <c r="M58" i="25"/>
  <c r="L58" i="25"/>
  <c r="K58" i="25"/>
  <c r="J58" i="25"/>
  <c r="I58" i="25"/>
  <c r="H58" i="25"/>
  <c r="G58" i="25"/>
  <c r="F58" i="25"/>
  <c r="AC54" i="25"/>
  <c r="AB54" i="25"/>
  <c r="AA54" i="25"/>
  <c r="Z54" i="25"/>
  <c r="Y54" i="25"/>
  <c r="X54" i="25"/>
  <c r="W54" i="25"/>
  <c r="V54" i="25"/>
  <c r="U54" i="25"/>
  <c r="T54" i="25"/>
  <c r="S54" i="25"/>
  <c r="R54" i="25"/>
  <c r="Q54" i="25"/>
  <c r="P54" i="25"/>
  <c r="O54" i="25"/>
  <c r="N54" i="25"/>
  <c r="M54" i="25"/>
  <c r="L54" i="25"/>
  <c r="AC53" i="25"/>
  <c r="AB53" i="25"/>
  <c r="AA53" i="25"/>
  <c r="Z53" i="25"/>
  <c r="Y53" i="25"/>
  <c r="X53" i="25"/>
  <c r="W53" i="25"/>
  <c r="V53" i="25"/>
  <c r="U53" i="25"/>
  <c r="T53" i="25"/>
  <c r="S53" i="25"/>
  <c r="R53" i="25"/>
  <c r="Q53" i="25"/>
  <c r="P53" i="25"/>
  <c r="O53" i="25"/>
  <c r="N53" i="25"/>
  <c r="M53" i="25"/>
  <c r="L53" i="25"/>
  <c r="K53" i="25"/>
  <c r="J53" i="25"/>
  <c r="I53" i="25"/>
  <c r="H53" i="25"/>
  <c r="G53" i="25"/>
  <c r="F53" i="25"/>
  <c r="E53" i="25"/>
  <c r="D53" i="25"/>
  <c r="C53" i="25"/>
  <c r="BP51" i="25"/>
  <c r="BP53" i="25" s="1"/>
  <c r="BO51" i="25"/>
  <c r="BO53" i="25" s="1"/>
  <c r="BN51" i="25"/>
  <c r="BN53" i="25" s="1"/>
  <c r="BM51" i="25"/>
  <c r="BM53" i="25" s="1"/>
  <c r="BL51" i="25"/>
  <c r="BL53" i="25" s="1"/>
  <c r="BK51" i="25"/>
  <c r="BK53" i="25" s="1"/>
  <c r="BJ51" i="25"/>
  <c r="BJ53" i="25" s="1"/>
  <c r="BI51" i="25"/>
  <c r="BI53" i="25" s="1"/>
  <c r="BH51" i="25"/>
  <c r="BH53" i="25" s="1"/>
  <c r="BG51" i="25"/>
  <c r="BG53" i="25" s="1"/>
  <c r="BF51" i="25"/>
  <c r="BF53" i="25" s="1"/>
  <c r="BE51" i="25"/>
  <c r="BD51" i="25"/>
  <c r="BC51" i="25"/>
  <c r="BC53" i="25" s="1"/>
  <c r="BB51" i="25"/>
  <c r="BA51" i="25"/>
  <c r="AZ51" i="25"/>
  <c r="AY51" i="25"/>
  <c r="AX51" i="25"/>
  <c r="AW51" i="25"/>
  <c r="AW53" i="25" s="1"/>
  <c r="AV51" i="25"/>
  <c r="AU51" i="25"/>
  <c r="AU53" i="25" s="1"/>
  <c r="AT51" i="25"/>
  <c r="AS51" i="25"/>
  <c r="AS53" i="25" s="1"/>
  <c r="AR51" i="25"/>
  <c r="AR53" i="25" s="1"/>
  <c r="AQ51" i="25"/>
  <c r="AP51" i="25"/>
  <c r="AO51" i="25"/>
  <c r="AO53" i="25" s="1"/>
  <c r="AN51" i="25"/>
  <c r="AN53" i="25" s="1"/>
  <c r="AM51" i="25"/>
  <c r="AL51" i="25"/>
  <c r="AK51" i="25"/>
  <c r="AK53" i="25" s="1"/>
  <c r="AJ51" i="25"/>
  <c r="AJ53" i="25" s="1"/>
  <c r="AI51" i="25"/>
  <c r="AI62" i="25" s="1"/>
  <c r="AH51" i="25"/>
  <c r="AG51" i="25"/>
  <c r="AG53" i="25" s="1"/>
  <c r="AF51" i="25"/>
  <c r="AF53" i="25" s="1"/>
  <c r="AE51" i="25"/>
  <c r="AD51" i="25"/>
  <c r="AQ49" i="25"/>
  <c r="AP49" i="25"/>
  <c r="AO49" i="25"/>
  <c r="AN49" i="25"/>
  <c r="AM49" i="25"/>
  <c r="AL49" i="25"/>
  <c r="AK49" i="25"/>
  <c r="AJ49" i="25"/>
  <c r="AI49" i="25"/>
  <c r="AH49" i="25"/>
  <c r="AG49" i="25"/>
  <c r="AF49" i="25"/>
  <c r="AE49" i="25"/>
  <c r="AD49" i="25"/>
  <c r="AC49" i="25"/>
  <c r="AB49" i="25"/>
  <c r="AA49" i="25"/>
  <c r="Z49" i="25"/>
  <c r="Y49" i="25"/>
  <c r="X49" i="25"/>
  <c r="W49" i="25"/>
  <c r="V49" i="25"/>
  <c r="U49" i="25"/>
  <c r="T49" i="25"/>
  <c r="S49" i="25"/>
  <c r="R49" i="25"/>
  <c r="Q49" i="25"/>
  <c r="P49" i="25"/>
  <c r="O49" i="25"/>
  <c r="N49" i="25"/>
  <c r="M49" i="25"/>
  <c r="L49" i="25"/>
  <c r="BG48" i="25"/>
  <c r="AQ48" i="25"/>
  <c r="AP48" i="25"/>
  <c r="AO48" i="25"/>
  <c r="AN48" i="25"/>
  <c r="AM48" i="25"/>
  <c r="AL48" i="25"/>
  <c r="AK48" i="25"/>
  <c r="AJ48" i="25"/>
  <c r="AI48" i="25"/>
  <c r="AH48" i="25"/>
  <c r="AG48" i="25"/>
  <c r="AF48" i="25"/>
  <c r="AE48" i="25"/>
  <c r="AD48" i="25"/>
  <c r="AC48" i="25"/>
  <c r="AB48" i="25"/>
  <c r="AA48" i="25"/>
  <c r="Z48" i="25"/>
  <c r="Y48" i="25"/>
  <c r="X48" i="25"/>
  <c r="W48" i="25"/>
  <c r="V48" i="25"/>
  <c r="U48" i="25"/>
  <c r="T48" i="25"/>
  <c r="S48" i="25"/>
  <c r="R48" i="25"/>
  <c r="Q48" i="25"/>
  <c r="P48" i="25"/>
  <c r="O48" i="25"/>
  <c r="N48" i="25"/>
  <c r="M48" i="25"/>
  <c r="L48" i="25"/>
  <c r="K48" i="25"/>
  <c r="J48" i="25"/>
  <c r="I48" i="25"/>
  <c r="H48" i="25"/>
  <c r="G48" i="25"/>
  <c r="F48" i="25"/>
  <c r="E48" i="25"/>
  <c r="D48" i="25"/>
  <c r="C48" i="25"/>
  <c r="BP46" i="25"/>
  <c r="BO46" i="25"/>
  <c r="BO62" i="25" s="1"/>
  <c r="BN46" i="25"/>
  <c r="BM46" i="25"/>
  <c r="BL46" i="25"/>
  <c r="BK46" i="25"/>
  <c r="BK62" i="25" s="1"/>
  <c r="BJ46" i="25"/>
  <c r="BJ62" i="25" s="1"/>
  <c r="BJ64" i="25" s="1"/>
  <c r="BI46" i="25"/>
  <c r="BH46" i="25"/>
  <c r="BG46" i="25"/>
  <c r="BG62" i="25" s="1"/>
  <c r="BF46" i="25"/>
  <c r="BE46" i="25"/>
  <c r="BD46" i="25"/>
  <c r="BC46" i="25"/>
  <c r="BC62" i="25" s="1"/>
  <c r="BB46" i="25"/>
  <c r="BA46" i="25"/>
  <c r="AZ46" i="25"/>
  <c r="AY46" i="25"/>
  <c r="AY48" i="25" s="1"/>
  <c r="AX46" i="25"/>
  <c r="AW46" i="25"/>
  <c r="AV46" i="25"/>
  <c r="AU46" i="25"/>
  <c r="AU62" i="25" s="1"/>
  <c r="AT46" i="25"/>
  <c r="AS46" i="25"/>
  <c r="AR46" i="25"/>
  <c r="BP42" i="25"/>
  <c r="BO42" i="25"/>
  <c r="BN42" i="25"/>
  <c r="BM42" i="25"/>
  <c r="BL42" i="25"/>
  <c r="BK42" i="25"/>
  <c r="BJ42" i="25"/>
  <c r="BI42" i="25"/>
  <c r="BH42" i="25"/>
  <c r="BG42" i="25"/>
  <c r="BF42" i="25"/>
  <c r="BE42" i="25"/>
  <c r="BD42" i="25"/>
  <c r="BC42" i="25"/>
  <c r="BB42" i="25"/>
  <c r="BA42" i="25"/>
  <c r="AZ42" i="25"/>
  <c r="AY42" i="25"/>
  <c r="AX42" i="25"/>
  <c r="AW42" i="25"/>
  <c r="AV42" i="25"/>
  <c r="AU42" i="25"/>
  <c r="AT42" i="25"/>
  <c r="AS42" i="25"/>
  <c r="AR42" i="25"/>
  <c r="AQ42" i="25"/>
  <c r="AP42" i="25"/>
  <c r="AO42" i="25"/>
  <c r="AN42" i="25"/>
  <c r="AM42" i="25"/>
  <c r="AL42" i="25"/>
  <c r="AK42" i="25"/>
  <c r="AJ42" i="25"/>
  <c r="AI42" i="25"/>
  <c r="AH42" i="25"/>
  <c r="AG42" i="25"/>
  <c r="AF42" i="25"/>
  <c r="AE42" i="25"/>
  <c r="AD42" i="25"/>
  <c r="AC42" i="25"/>
  <c r="AB42" i="25"/>
  <c r="AA42" i="25"/>
  <c r="Z42" i="25"/>
  <c r="Y42" i="25"/>
  <c r="X42" i="25"/>
  <c r="W42" i="25"/>
  <c r="V42" i="25"/>
  <c r="U42" i="25"/>
  <c r="T42" i="25"/>
  <c r="S42" i="25"/>
  <c r="R42" i="25"/>
  <c r="Q42" i="25"/>
  <c r="P42" i="25"/>
  <c r="O42" i="25"/>
  <c r="N42" i="25"/>
  <c r="M42" i="25"/>
  <c r="L42" i="25"/>
  <c r="K42" i="25"/>
  <c r="J42" i="25"/>
  <c r="I42" i="25"/>
  <c r="H42" i="25"/>
  <c r="G42" i="25"/>
  <c r="F42" i="25"/>
  <c r="E42" i="25"/>
  <c r="D42" i="25"/>
  <c r="C42" i="25"/>
  <c r="AD41" i="25"/>
  <c r="AC41" i="25"/>
  <c r="AB41" i="25"/>
  <c r="AA41" i="25"/>
  <c r="Z41" i="25"/>
  <c r="Z43" i="25" s="1"/>
  <c r="Y41" i="25"/>
  <c r="X41" i="25"/>
  <c r="W41" i="25"/>
  <c r="V41" i="25"/>
  <c r="U41" i="25"/>
  <c r="T41" i="25"/>
  <c r="S41" i="25"/>
  <c r="R41" i="25"/>
  <c r="R43" i="25" s="1"/>
  <c r="Q41" i="25"/>
  <c r="P41" i="25"/>
  <c r="O41" i="25"/>
  <c r="N41" i="25"/>
  <c r="N43" i="25" s="1"/>
  <c r="M41" i="25"/>
  <c r="L41" i="25"/>
  <c r="K41" i="25"/>
  <c r="J41" i="25"/>
  <c r="J43" i="25" s="1"/>
  <c r="I41" i="25"/>
  <c r="H41" i="25"/>
  <c r="G41" i="25"/>
  <c r="F41" i="25"/>
  <c r="E41" i="25"/>
  <c r="D41" i="25"/>
  <c r="C41" i="25"/>
  <c r="W38" i="25"/>
  <c r="V38" i="25"/>
  <c r="U38" i="25"/>
  <c r="T38" i="25"/>
  <c r="S38" i="25"/>
  <c r="R38" i="25"/>
  <c r="Q38" i="25"/>
  <c r="W37" i="25"/>
  <c r="V37" i="25"/>
  <c r="U37" i="25"/>
  <c r="T37" i="25"/>
  <c r="S37" i="25"/>
  <c r="R37" i="25"/>
  <c r="Q37" i="25"/>
  <c r="P37" i="25"/>
  <c r="O37" i="25"/>
  <c r="N37" i="25"/>
  <c r="M37" i="25"/>
  <c r="L37" i="25"/>
  <c r="K37" i="25"/>
  <c r="J37" i="25"/>
  <c r="I37" i="25"/>
  <c r="H37" i="25"/>
  <c r="G37" i="25"/>
  <c r="F37" i="25"/>
  <c r="AD33" i="25"/>
  <c r="AC33" i="25"/>
  <c r="AB33" i="25"/>
  <c r="AA33" i="25"/>
  <c r="Z33" i="25"/>
  <c r="Y33" i="25"/>
  <c r="X33" i="25"/>
  <c r="W33" i="25"/>
  <c r="V33" i="25"/>
  <c r="U33" i="25"/>
  <c r="T33" i="25"/>
  <c r="S33" i="25"/>
  <c r="R33" i="25"/>
  <c r="Q33" i="25"/>
  <c r="P33" i="25"/>
  <c r="O33" i="25"/>
  <c r="N33" i="25"/>
  <c r="M33" i="25"/>
  <c r="L33" i="25"/>
  <c r="BN32" i="25"/>
  <c r="BJ32" i="25"/>
  <c r="AC32" i="25"/>
  <c r="AB32" i="25"/>
  <c r="AA32" i="25"/>
  <c r="Z32" i="25"/>
  <c r="Y32" i="25"/>
  <c r="X32" i="25"/>
  <c r="W32" i="25"/>
  <c r="V32" i="25"/>
  <c r="U32" i="25"/>
  <c r="T32" i="25"/>
  <c r="S32" i="25"/>
  <c r="R32" i="25"/>
  <c r="Q32" i="25"/>
  <c r="P32" i="25"/>
  <c r="O32" i="25"/>
  <c r="N32" i="25"/>
  <c r="M32" i="25"/>
  <c r="L32" i="25"/>
  <c r="K32" i="25"/>
  <c r="J32" i="25"/>
  <c r="I32" i="25"/>
  <c r="H32" i="25"/>
  <c r="G32" i="25"/>
  <c r="F32" i="25"/>
  <c r="E32" i="25"/>
  <c r="D32" i="25"/>
  <c r="C32" i="25"/>
  <c r="BP30" i="25"/>
  <c r="BP32" i="25" s="1"/>
  <c r="BO30" i="25"/>
  <c r="BO32" i="25" s="1"/>
  <c r="BN30" i="25"/>
  <c r="BL30" i="25"/>
  <c r="BL32" i="25" s="1"/>
  <c r="BK30" i="25"/>
  <c r="BK32" i="25" s="1"/>
  <c r="BJ30" i="25"/>
  <c r="BI30" i="25"/>
  <c r="BI32" i="25" s="1"/>
  <c r="BH30" i="25"/>
  <c r="BH32" i="25" s="1"/>
  <c r="BG30" i="25"/>
  <c r="BG32" i="25" s="1"/>
  <c r="BF30" i="25"/>
  <c r="BF32" i="25" s="1"/>
  <c r="BE30" i="25"/>
  <c r="BD30" i="25"/>
  <c r="BC30" i="25"/>
  <c r="BB30" i="25"/>
  <c r="BB32" i="25" s="1"/>
  <c r="BA30" i="25"/>
  <c r="BA32" i="25" s="1"/>
  <c r="AZ30" i="25"/>
  <c r="AY30" i="25"/>
  <c r="AX30" i="25"/>
  <c r="AX32" i="25" s="1"/>
  <c r="AW30" i="25"/>
  <c r="AW32" i="25" s="1"/>
  <c r="AV30" i="25"/>
  <c r="AU30" i="25"/>
  <c r="AU32" i="25" s="1"/>
  <c r="AT30" i="25"/>
  <c r="AT32" i="25" s="1"/>
  <c r="AS30" i="25"/>
  <c r="AS32" i="25" s="1"/>
  <c r="AR30" i="25"/>
  <c r="AQ30" i="25"/>
  <c r="AQ41" i="25" s="1"/>
  <c r="AP30" i="25"/>
  <c r="AO30" i="25"/>
  <c r="AO41" i="25" s="1"/>
  <c r="AN30" i="25"/>
  <c r="AM30" i="25"/>
  <c r="AL30" i="25"/>
  <c r="AL41" i="25" s="1"/>
  <c r="AK30" i="25"/>
  <c r="AK41" i="25" s="1"/>
  <c r="AJ30" i="25"/>
  <c r="AI30" i="25"/>
  <c r="AH30" i="25"/>
  <c r="AG30" i="25"/>
  <c r="AG41" i="25" s="1"/>
  <c r="AF30" i="25"/>
  <c r="AE30" i="25"/>
  <c r="AD30" i="25"/>
  <c r="AD32" i="25" s="1"/>
  <c r="AQ28" i="25"/>
  <c r="AP28" i="25"/>
  <c r="AO28" i="25"/>
  <c r="AN28" i="25"/>
  <c r="AM28" i="25"/>
  <c r="AL28" i="25"/>
  <c r="AK28" i="25"/>
  <c r="AJ28" i="25"/>
  <c r="AI28" i="25"/>
  <c r="AH28" i="25"/>
  <c r="AG28" i="25"/>
  <c r="AF28" i="25"/>
  <c r="AE28" i="25"/>
  <c r="AD28" i="25"/>
  <c r="AC28" i="25"/>
  <c r="AB28" i="25"/>
  <c r="AA28" i="25"/>
  <c r="Z28" i="25"/>
  <c r="Y28" i="25"/>
  <c r="X28" i="25"/>
  <c r="W28" i="25"/>
  <c r="V28" i="25"/>
  <c r="U28" i="25"/>
  <c r="T28" i="25"/>
  <c r="S28" i="25"/>
  <c r="R28" i="25"/>
  <c r="Q28" i="25"/>
  <c r="P28" i="25"/>
  <c r="O28" i="25"/>
  <c r="N28" i="25"/>
  <c r="M28" i="25"/>
  <c r="L28" i="25"/>
  <c r="AQ27" i="25"/>
  <c r="AP27" i="25"/>
  <c r="AO27" i="25"/>
  <c r="AN27" i="25"/>
  <c r="AM27" i="25"/>
  <c r="AL27" i="25"/>
  <c r="AK27" i="25"/>
  <c r="AJ27" i="25"/>
  <c r="AI27" i="25"/>
  <c r="AH27" i="25"/>
  <c r="AG27" i="25"/>
  <c r="AF27" i="25"/>
  <c r="AE27" i="25"/>
  <c r="AD27" i="25"/>
  <c r="AC27" i="25"/>
  <c r="AB27" i="25"/>
  <c r="AA27" i="25"/>
  <c r="Z27" i="25"/>
  <c r="Y27" i="25"/>
  <c r="X27" i="25"/>
  <c r="W27" i="25"/>
  <c r="V27" i="25"/>
  <c r="U27" i="25"/>
  <c r="T27" i="25"/>
  <c r="S27" i="25"/>
  <c r="R27" i="25"/>
  <c r="Q27" i="25"/>
  <c r="P27" i="25"/>
  <c r="O27" i="25"/>
  <c r="N27" i="25"/>
  <c r="M27" i="25"/>
  <c r="L27" i="25"/>
  <c r="K27" i="25"/>
  <c r="J27" i="25"/>
  <c r="I27" i="25"/>
  <c r="H27" i="25"/>
  <c r="G27" i="25"/>
  <c r="F27" i="25"/>
  <c r="E27" i="25"/>
  <c r="D27" i="25"/>
  <c r="C27" i="25"/>
  <c r="BP25" i="25"/>
  <c r="BP41" i="25" s="1"/>
  <c r="BO25" i="25"/>
  <c r="BN25" i="25"/>
  <c r="BN27" i="25" s="1"/>
  <c r="BM25" i="25"/>
  <c r="BL25" i="25"/>
  <c r="BK25" i="25"/>
  <c r="BK27" i="25" s="1"/>
  <c r="BJ25" i="25"/>
  <c r="BI25" i="25"/>
  <c r="BH25" i="25"/>
  <c r="BH41" i="25" s="1"/>
  <c r="BG25" i="25"/>
  <c r="BG27" i="25" s="1"/>
  <c r="BF25" i="25"/>
  <c r="BF27" i="25" s="1"/>
  <c r="BE25" i="25"/>
  <c r="BD25" i="25"/>
  <c r="BC25" i="25"/>
  <c r="BB25" i="25"/>
  <c r="BA25" i="25"/>
  <c r="AZ25" i="25"/>
  <c r="AZ41" i="25" s="1"/>
  <c r="AY25" i="25"/>
  <c r="AX25" i="25"/>
  <c r="AW25" i="25"/>
  <c r="AV25" i="25"/>
  <c r="AU25" i="25"/>
  <c r="AU27" i="25" s="1"/>
  <c r="AT25" i="25"/>
  <c r="AS25" i="25"/>
  <c r="AR25" i="25"/>
  <c r="AR28" i="25" s="1"/>
  <c r="BP21" i="25"/>
  <c r="BO21" i="25"/>
  <c r="BN21" i="25"/>
  <c r="BM21" i="25"/>
  <c r="BL21" i="25"/>
  <c r="BK21" i="25"/>
  <c r="BJ21" i="25"/>
  <c r="BI21" i="25"/>
  <c r="BH21" i="25"/>
  <c r="BG21" i="25"/>
  <c r="BF21" i="25"/>
  <c r="BE21" i="25"/>
  <c r="BD21" i="25"/>
  <c r="BC21" i="25"/>
  <c r="BB21" i="25"/>
  <c r="BA21" i="25"/>
  <c r="AZ21" i="25"/>
  <c r="AY21" i="25"/>
  <c r="AX21" i="25"/>
  <c r="AW21" i="25"/>
  <c r="AV21" i="25"/>
  <c r="AU21" i="25"/>
  <c r="AT21" i="25"/>
  <c r="AS21" i="25"/>
  <c r="AR21" i="25"/>
  <c r="AQ21" i="25"/>
  <c r="AP21" i="25"/>
  <c r="AO21" i="25"/>
  <c r="AN21" i="25"/>
  <c r="AM21" i="25"/>
  <c r="AL21" i="25"/>
  <c r="AK21" i="25"/>
  <c r="AJ21" i="25"/>
  <c r="AI21" i="25"/>
  <c r="AH21" i="25"/>
  <c r="AG21" i="25"/>
  <c r="AF21" i="25"/>
  <c r="AE21" i="25"/>
  <c r="AD21" i="25"/>
  <c r="AC21" i="25"/>
  <c r="AB21" i="25"/>
  <c r="AA21" i="25"/>
  <c r="Z21" i="25"/>
  <c r="Y21" i="25"/>
  <c r="X21" i="25"/>
  <c r="W21" i="25"/>
  <c r="V21" i="25"/>
  <c r="U21" i="25"/>
  <c r="T21" i="25"/>
  <c r="S21" i="25"/>
  <c r="R21" i="25"/>
  <c r="Q21" i="25"/>
  <c r="P21" i="25"/>
  <c r="O21" i="25"/>
  <c r="N21" i="25"/>
  <c r="M21" i="25"/>
  <c r="L21" i="25"/>
  <c r="K21" i="25"/>
  <c r="J21" i="25"/>
  <c r="I21" i="25"/>
  <c r="H21" i="25"/>
  <c r="G21" i="25"/>
  <c r="F21" i="25"/>
  <c r="E21" i="25"/>
  <c r="D21" i="25"/>
  <c r="C21" i="25"/>
  <c r="AM20" i="25"/>
  <c r="AC20" i="25"/>
  <c r="AB20" i="25"/>
  <c r="AA20" i="25"/>
  <c r="Z20" i="25"/>
  <c r="Y20" i="25"/>
  <c r="X20" i="25"/>
  <c r="W20" i="25"/>
  <c r="V20" i="25"/>
  <c r="U20" i="25"/>
  <c r="T20" i="25"/>
  <c r="S20" i="25"/>
  <c r="R20" i="25"/>
  <c r="Q20" i="25"/>
  <c r="P20" i="25"/>
  <c r="O20" i="25"/>
  <c r="N20" i="25"/>
  <c r="M20" i="25"/>
  <c r="L20" i="25"/>
  <c r="K20" i="25"/>
  <c r="J20" i="25"/>
  <c r="I20" i="25"/>
  <c r="H20" i="25"/>
  <c r="G20" i="25"/>
  <c r="F20" i="25"/>
  <c r="E20" i="25"/>
  <c r="D20" i="25"/>
  <c r="C20" i="25"/>
  <c r="W17" i="25"/>
  <c r="V17" i="25"/>
  <c r="U17" i="25"/>
  <c r="T17" i="25"/>
  <c r="S17" i="25"/>
  <c r="R17" i="25"/>
  <c r="Q17" i="25"/>
  <c r="W16" i="25"/>
  <c r="V16" i="25"/>
  <c r="U16" i="25"/>
  <c r="T16" i="25"/>
  <c r="S16" i="25"/>
  <c r="R16" i="25"/>
  <c r="Q16" i="25"/>
  <c r="P16" i="25"/>
  <c r="O16" i="25"/>
  <c r="N16" i="25"/>
  <c r="M16" i="25"/>
  <c r="L16" i="25"/>
  <c r="K16" i="25"/>
  <c r="J16" i="25"/>
  <c r="I16" i="25"/>
  <c r="H16" i="25"/>
  <c r="G16" i="25"/>
  <c r="F16" i="25"/>
  <c r="AC12" i="25"/>
  <c r="AB12" i="25"/>
  <c r="AA12" i="25"/>
  <c r="Z12" i="25"/>
  <c r="Y12" i="25"/>
  <c r="X12" i="25"/>
  <c r="W12" i="25"/>
  <c r="V12" i="25"/>
  <c r="U12" i="25"/>
  <c r="T12" i="25"/>
  <c r="S12" i="25"/>
  <c r="R12" i="25"/>
  <c r="Q12" i="25"/>
  <c r="P12" i="25"/>
  <c r="O12" i="25"/>
  <c r="N12" i="25"/>
  <c r="M12" i="25"/>
  <c r="L12" i="25"/>
  <c r="BC11" i="25"/>
  <c r="AY11" i="25"/>
  <c r="AI11" i="25"/>
  <c r="AC11" i="25"/>
  <c r="AB11" i="25"/>
  <c r="AA11" i="25"/>
  <c r="Z11" i="25"/>
  <c r="Y11" i="25"/>
  <c r="X11" i="25"/>
  <c r="W11" i="25"/>
  <c r="V11" i="25"/>
  <c r="U11" i="25"/>
  <c r="T11" i="25"/>
  <c r="S11" i="25"/>
  <c r="R11" i="25"/>
  <c r="Q11" i="25"/>
  <c r="P11" i="25"/>
  <c r="O11" i="25"/>
  <c r="N11" i="25"/>
  <c r="M11" i="25"/>
  <c r="L11" i="25"/>
  <c r="K11" i="25"/>
  <c r="J11" i="25"/>
  <c r="I11" i="25"/>
  <c r="H11" i="25"/>
  <c r="G11" i="25"/>
  <c r="F11" i="25"/>
  <c r="E11" i="25"/>
  <c r="D11" i="25"/>
  <c r="C11" i="25"/>
  <c r="BP9" i="25"/>
  <c r="BP11" i="25" s="1"/>
  <c r="BO9" i="25"/>
  <c r="BO11" i="25" s="1"/>
  <c r="BN9" i="25"/>
  <c r="BN11" i="25" s="1"/>
  <c r="BL9" i="25"/>
  <c r="BL11" i="25" s="1"/>
  <c r="BK9" i="25"/>
  <c r="BK11" i="25" s="1"/>
  <c r="BJ9" i="25"/>
  <c r="BJ11" i="25" s="1"/>
  <c r="BI9" i="25"/>
  <c r="BI11" i="25" s="1"/>
  <c r="BH9" i="25"/>
  <c r="BH11" i="25" s="1"/>
  <c r="BG9" i="25"/>
  <c r="BG11" i="25" s="1"/>
  <c r="BF9" i="25"/>
  <c r="BF11" i="25" s="1"/>
  <c r="BE9" i="25"/>
  <c r="BD9" i="25"/>
  <c r="BC9" i="25"/>
  <c r="BB9" i="25"/>
  <c r="BA9" i="25"/>
  <c r="BA11" i="25" s="1"/>
  <c r="AZ9" i="25"/>
  <c r="AY9" i="25"/>
  <c r="AX9" i="25"/>
  <c r="AW9" i="25"/>
  <c r="AV9" i="25"/>
  <c r="AU9" i="25"/>
  <c r="AU11" i="25" s="1"/>
  <c r="AT9" i="25"/>
  <c r="AS9" i="25"/>
  <c r="AS11" i="25" s="1"/>
  <c r="AR9" i="25"/>
  <c r="AQ9" i="25"/>
  <c r="AQ20" i="25" s="1"/>
  <c r="AP9" i="25"/>
  <c r="AP20" i="25" s="1"/>
  <c r="AO9" i="25"/>
  <c r="AN9" i="25"/>
  <c r="AN20" i="25" s="1"/>
  <c r="AM9" i="25"/>
  <c r="AM11" i="25" s="1"/>
  <c r="AL9" i="25"/>
  <c r="AL20" i="25" s="1"/>
  <c r="AK9" i="25"/>
  <c r="AJ9" i="25"/>
  <c r="AJ20" i="25" s="1"/>
  <c r="AI9" i="25"/>
  <c r="AI20" i="25" s="1"/>
  <c r="AH9" i="25"/>
  <c r="AH20" i="25" s="1"/>
  <c r="AG9" i="25"/>
  <c r="AF9" i="25"/>
  <c r="AF20" i="25" s="1"/>
  <c r="AE9" i="25"/>
  <c r="AE20" i="25" s="1"/>
  <c r="AD9" i="25"/>
  <c r="AQ7" i="25"/>
  <c r="AP7" i="25"/>
  <c r="AO7" i="25"/>
  <c r="AN7" i="25"/>
  <c r="AM7" i="25"/>
  <c r="AL7" i="25"/>
  <c r="AK7" i="25"/>
  <c r="AJ7" i="25"/>
  <c r="AI7" i="25"/>
  <c r="AH7" i="25"/>
  <c r="AG7" i="25"/>
  <c r="AF7" i="25"/>
  <c r="AE7" i="25"/>
  <c r="AD7" i="25"/>
  <c r="AC7" i="25"/>
  <c r="AB7" i="25"/>
  <c r="AA7" i="25"/>
  <c r="Z7" i="25"/>
  <c r="Y7" i="25"/>
  <c r="X7" i="25"/>
  <c r="W7" i="25"/>
  <c r="V7" i="25"/>
  <c r="U7" i="25"/>
  <c r="T7" i="25"/>
  <c r="S7" i="25"/>
  <c r="R7" i="25"/>
  <c r="Q7" i="25"/>
  <c r="P7" i="25"/>
  <c r="O7" i="25"/>
  <c r="N7" i="25"/>
  <c r="M7" i="25"/>
  <c r="L7" i="25"/>
  <c r="AY6" i="25"/>
  <c r="AQ6" i="25"/>
  <c r="AP6" i="25"/>
  <c r="AO6" i="25"/>
  <c r="AN6" i="25"/>
  <c r="AM6" i="25"/>
  <c r="AL6" i="25"/>
  <c r="AK6" i="25"/>
  <c r="AJ6" i="25"/>
  <c r="AI6" i="25"/>
  <c r="AH6" i="25"/>
  <c r="AG6" i="25"/>
  <c r="AF6" i="25"/>
  <c r="AE6" i="25"/>
  <c r="AD6" i="25"/>
  <c r="AC6" i="25"/>
  <c r="AB6" i="25"/>
  <c r="AA6" i="25"/>
  <c r="Z6" i="25"/>
  <c r="Y6" i="25"/>
  <c r="X6" i="25"/>
  <c r="W6" i="25"/>
  <c r="V6" i="25"/>
  <c r="U6" i="25"/>
  <c r="T6" i="25"/>
  <c r="S6" i="25"/>
  <c r="R6" i="25"/>
  <c r="Q6" i="25"/>
  <c r="P6" i="25"/>
  <c r="O6" i="25"/>
  <c r="N6" i="25"/>
  <c r="M6" i="25"/>
  <c r="L6" i="25"/>
  <c r="K6" i="25"/>
  <c r="J6" i="25"/>
  <c r="I6" i="25"/>
  <c r="H6" i="25"/>
  <c r="G6" i="25"/>
  <c r="F6" i="25"/>
  <c r="E6" i="25"/>
  <c r="D6" i="25"/>
  <c r="C6" i="25"/>
  <c r="BP4" i="25"/>
  <c r="BP6" i="25" s="1"/>
  <c r="BO4" i="25"/>
  <c r="BO20" i="25" s="1"/>
  <c r="BN4" i="25"/>
  <c r="BM4" i="25"/>
  <c r="BM6" i="25" s="1"/>
  <c r="BL4" i="25"/>
  <c r="BL6" i="25" s="1"/>
  <c r="BK4" i="25"/>
  <c r="BK6" i="25" s="1"/>
  <c r="BJ4" i="25"/>
  <c r="BI4" i="25"/>
  <c r="BI6" i="25" s="1"/>
  <c r="BH4" i="25"/>
  <c r="BH6" i="25" s="1"/>
  <c r="BG4" i="25"/>
  <c r="BG20" i="25" s="1"/>
  <c r="BF4" i="25"/>
  <c r="BE4" i="25"/>
  <c r="BE6" i="25" s="1"/>
  <c r="BD4" i="25"/>
  <c r="BC4" i="25"/>
  <c r="BB4" i="25"/>
  <c r="BA4" i="25"/>
  <c r="AZ4" i="25"/>
  <c r="AY4" i="25"/>
  <c r="AY20" i="25" s="1"/>
  <c r="AX4" i="25"/>
  <c r="AW4" i="25"/>
  <c r="AW6" i="25" s="1"/>
  <c r="AV4" i="25"/>
  <c r="AU4" i="25"/>
  <c r="AU6" i="25" s="1"/>
  <c r="AT4" i="25"/>
  <c r="AS4" i="25"/>
  <c r="AR4" i="25"/>
  <c r="AR7" i="25" s="1"/>
  <c r="BC12" i="25" l="1"/>
  <c r="BG12" i="25"/>
  <c r="DF52" i="24"/>
  <c r="CF37" i="24"/>
  <c r="BI35" i="23"/>
  <c r="AL36" i="23"/>
  <c r="CI55" i="23"/>
  <c r="AU20" i="25"/>
  <c r="AF49" i="23"/>
  <c r="AD52" i="23"/>
  <c r="AM67" i="23"/>
  <c r="AQ73" i="23"/>
  <c r="AU67" i="23"/>
  <c r="P70" i="23"/>
  <c r="CD42" i="23"/>
  <c r="CD51" i="23" s="1"/>
  <c r="CS18" i="24"/>
  <c r="AA43" i="25"/>
  <c r="AE11" i="25"/>
  <c r="C64" i="25"/>
  <c r="G64" i="25"/>
  <c r="K64" i="25"/>
  <c r="S64" i="25"/>
  <c r="AA64" i="25"/>
  <c r="DM6" i="24"/>
  <c r="EK18" i="24"/>
  <c r="EO18" i="24"/>
  <c r="DO18" i="24"/>
  <c r="BB25" i="23"/>
  <c r="CB61" i="23"/>
  <c r="CF61" i="23"/>
  <c r="CJ61" i="23"/>
  <c r="CJ77" i="23" s="1"/>
  <c r="AE56" i="23"/>
  <c r="O65" i="23"/>
  <c r="W65" i="23"/>
  <c r="AE65" i="23"/>
  <c r="AU65" i="23"/>
  <c r="P65" i="23"/>
  <c r="AR67" i="23"/>
  <c r="BD41" i="25"/>
  <c r="BD43" i="25" s="1"/>
  <c r="BD27" i="25"/>
  <c r="EH6" i="24"/>
  <c r="EH29" i="24"/>
  <c r="EP6" i="24"/>
  <c r="EP29" i="24"/>
  <c r="BR18" i="24"/>
  <c r="CA38" i="24"/>
  <c r="DR49" i="24"/>
  <c r="DR19" i="24"/>
  <c r="DJ19" i="24"/>
  <c r="CB28" i="23"/>
  <c r="CB35" i="23"/>
  <c r="CN18" i="24"/>
  <c r="CH35" i="23"/>
  <c r="CH31" i="23"/>
  <c r="AP41" i="25"/>
  <c r="AP43" i="25" s="1"/>
  <c r="AP32" i="25"/>
  <c r="CO18" i="24"/>
  <c r="AJ36" i="23"/>
  <c r="AD36" i="23"/>
  <c r="AE32" i="23"/>
  <c r="AL29" i="23"/>
  <c r="AB28" i="23"/>
  <c r="AK36" i="23"/>
  <c r="AF32" i="23"/>
  <c r="AC36" i="23"/>
  <c r="AB35" i="23"/>
  <c r="AG29" i="23"/>
  <c r="BA28" i="23"/>
  <c r="BA35" i="23"/>
  <c r="BE28" i="23"/>
  <c r="AM32" i="23"/>
  <c r="CC61" i="23"/>
  <c r="BA62" i="23"/>
  <c r="BL62" i="23"/>
  <c r="BL28" i="23"/>
  <c r="BC6" i="25"/>
  <c r="BC20" i="25"/>
  <c r="BC22" i="25" s="1"/>
  <c r="BO6" i="25"/>
  <c r="BE11" i="25"/>
  <c r="BP12" i="25"/>
  <c r="BI33" i="25"/>
  <c r="BM33" i="25"/>
  <c r="AL32" i="25"/>
  <c r="AU64" i="25"/>
  <c r="BC64" i="25"/>
  <c r="BG64" i="25"/>
  <c r="BK64" i="25"/>
  <c r="BO64" i="25"/>
  <c r="BO48" i="25"/>
  <c r="DA6" i="24"/>
  <c r="DA52" i="24" s="1"/>
  <c r="DA10" i="24"/>
  <c r="DE6" i="24"/>
  <c r="DE10" i="24"/>
  <c r="DU10" i="24"/>
  <c r="DU6" i="24"/>
  <c r="DY6" i="24"/>
  <c r="DY52" i="24" s="1"/>
  <c r="DY10" i="24"/>
  <c r="EK10" i="24"/>
  <c r="EK6" i="24"/>
  <c r="EK52" i="24" s="1"/>
  <c r="EO52" i="24"/>
  <c r="CW6" i="24"/>
  <c r="CW52" i="24" s="1"/>
  <c r="EC6" i="24"/>
  <c r="EC52" i="24" s="1"/>
  <c r="DQ10" i="24"/>
  <c r="AK19" i="23"/>
  <c r="AX62" i="23"/>
  <c r="AX36" i="23"/>
  <c r="BF62" i="23"/>
  <c r="BF80" i="23" s="1"/>
  <c r="BF31" i="23"/>
  <c r="BJ38" i="23"/>
  <c r="BJ62" i="23"/>
  <c r="BB31" i="23"/>
  <c r="BT61" i="23"/>
  <c r="BT77" i="23" s="1"/>
  <c r="AG52" i="23"/>
  <c r="P77" i="23"/>
  <c r="X77" i="23"/>
  <c r="AN77" i="23"/>
  <c r="K22" i="25"/>
  <c r="O22" i="25"/>
  <c r="AQ64" i="25"/>
  <c r="AC65" i="25"/>
  <c r="AQ75" i="25"/>
  <c r="AZ75" i="25"/>
  <c r="BG75" i="25"/>
  <c r="EJ52" i="24"/>
  <c r="EH49" i="24"/>
  <c r="EL49" i="24"/>
  <c r="EP49" i="24"/>
  <c r="BC54" i="24"/>
  <c r="AE49" i="23"/>
  <c r="CH55" i="23"/>
  <c r="AB56" i="23"/>
  <c r="BU61" i="23"/>
  <c r="T70" i="23"/>
  <c r="AE70" i="23"/>
  <c r="AU70" i="23"/>
  <c r="AA73" i="23"/>
  <c r="BN22" i="23"/>
  <c r="BR22" i="23"/>
  <c r="BV22" i="23"/>
  <c r="CD39" i="23" s="1"/>
  <c r="BZ22" i="23"/>
  <c r="CD22" i="23"/>
  <c r="CA21" i="23"/>
  <c r="BO42" i="23"/>
  <c r="BX52" i="23" s="1"/>
  <c r="BM42" i="23"/>
  <c r="BX42" i="23"/>
  <c r="CB42" i="23"/>
  <c r="CF42" i="23"/>
  <c r="CF48" i="23" s="1"/>
  <c r="I22" i="25"/>
  <c r="Q22" i="25"/>
  <c r="Y22" i="25"/>
  <c r="BF41" i="25"/>
  <c r="BF43" i="25" s="1"/>
  <c r="V43" i="25"/>
  <c r="AW49" i="25"/>
  <c r="AH54" i="25"/>
  <c r="BF54" i="25"/>
  <c r="EI54" i="24"/>
  <c r="EM54" i="24"/>
  <c r="EQ54" i="24"/>
  <c r="EO38" i="24"/>
  <c r="EN16" i="24"/>
  <c r="CP18" i="24"/>
  <c r="ER54" i="24"/>
  <c r="AF67" i="23"/>
  <c r="AJ70" i="23"/>
  <c r="AN67" i="23"/>
  <c r="AR70" i="23"/>
  <c r="AV67" i="23"/>
  <c r="AE67" i="23"/>
  <c r="AM65" i="23"/>
  <c r="AH77" i="23"/>
  <c r="CA55" i="23"/>
  <c r="CA48" i="23"/>
  <c r="BM54" i="25"/>
  <c r="BB53" i="25"/>
  <c r="BN54" i="25"/>
  <c r="BT35" i="23"/>
  <c r="BT28" i="23"/>
  <c r="BL61" i="23"/>
  <c r="BO46" i="23"/>
  <c r="BP61" i="23"/>
  <c r="CA46" i="23"/>
  <c r="CE46" i="23"/>
  <c r="BU35" i="23"/>
  <c r="BU28" i="23"/>
  <c r="BY28" i="23"/>
  <c r="BY35" i="23"/>
  <c r="CG31" i="23"/>
  <c r="CG28" i="23"/>
  <c r="BN62" i="23"/>
  <c r="BN73" i="23" s="1"/>
  <c r="BN31" i="23"/>
  <c r="BS48" i="23"/>
  <c r="BS55" i="23"/>
  <c r="AL12" i="25"/>
  <c r="AO11" i="25"/>
  <c r="AZ12" i="25"/>
  <c r="AW11" i="25"/>
  <c r="BH12" i="25"/>
  <c r="AX62" i="25"/>
  <c r="AX64" i="25" s="1"/>
  <c r="AX48" i="25"/>
  <c r="BF62" i="25"/>
  <c r="BF64" i="25" s="1"/>
  <c r="BF48" i="25"/>
  <c r="BN62" i="25"/>
  <c r="BN64" i="25" s="1"/>
  <c r="BN48" i="25"/>
  <c r="BJ48" i="25"/>
  <c r="V65" i="25"/>
  <c r="V64" i="25"/>
  <c r="AT75" i="25"/>
  <c r="BB75" i="25"/>
  <c r="BJ75" i="25"/>
  <c r="EP18" i="24"/>
  <c r="DX16" i="24"/>
  <c r="DX19" i="24"/>
  <c r="DH34" i="24"/>
  <c r="AZ62" i="23"/>
  <c r="AZ35" i="23"/>
  <c r="AZ28" i="23"/>
  <c r="BD62" i="23"/>
  <c r="BD35" i="23"/>
  <c r="BD28" i="23"/>
  <c r="BH62" i="23"/>
  <c r="BH35" i="23"/>
  <c r="BH28" i="23"/>
  <c r="AF77" i="23"/>
  <c r="AF65" i="23"/>
  <c r="AR65" i="23"/>
  <c r="AR77" i="23"/>
  <c r="AD20" i="25"/>
  <c r="AD23" i="25" s="1"/>
  <c r="AD12" i="25"/>
  <c r="AJ12" i="25"/>
  <c r="BC41" i="25"/>
  <c r="F43" i="25"/>
  <c r="AD43" i="25"/>
  <c r="M65" i="25"/>
  <c r="EI49" i="24"/>
  <c r="EI11" i="24"/>
  <c r="DN18" i="24"/>
  <c r="EI18" i="24"/>
  <c r="EQ18" i="24"/>
  <c r="DX34" i="24"/>
  <c r="EB16" i="24"/>
  <c r="EO19" i="24"/>
  <c r="EC34" i="24"/>
  <c r="AZ61" i="23"/>
  <c r="AZ65" i="23" s="1"/>
  <c r="AZ25" i="23"/>
  <c r="BD61" i="23"/>
  <c r="BD25" i="23"/>
  <c r="CG35" i="23"/>
  <c r="BZ51" i="23"/>
  <c r="BZ55" i="23"/>
  <c r="U65" i="25"/>
  <c r="AM55" i="24"/>
  <c r="CJ62" i="23"/>
  <c r="CJ35" i="23"/>
  <c r="CJ28" i="23"/>
  <c r="AK11" i="25"/>
  <c r="AK20" i="25"/>
  <c r="BE49" i="25"/>
  <c r="BM49" i="25"/>
  <c r="BB62" i="25"/>
  <c r="BB64" i="25" s="1"/>
  <c r="AT48" i="25"/>
  <c r="AX54" i="25"/>
  <c r="J64" i="25"/>
  <c r="R64" i="25"/>
  <c r="Z64" i="25"/>
  <c r="AP75" i="25"/>
  <c r="AE74" i="25"/>
  <c r="AX75" i="25"/>
  <c r="BF75" i="25"/>
  <c r="CO31" i="24"/>
  <c r="DY30" i="24"/>
  <c r="AY51" i="24"/>
  <c r="AY54" i="24" s="1"/>
  <c r="AY18" i="24"/>
  <c r="EH18" i="24"/>
  <c r="EF16" i="24"/>
  <c r="EF19" i="24"/>
  <c r="ER16" i="24"/>
  <c r="ER19" i="24"/>
  <c r="BM28" i="23"/>
  <c r="AV77" i="23"/>
  <c r="AV65" i="23"/>
  <c r="BD7" i="25"/>
  <c r="BL7" i="25"/>
  <c r="AT20" i="25"/>
  <c r="AT22" i="25" s="1"/>
  <c r="AX20" i="25"/>
  <c r="BB20" i="25"/>
  <c r="BF20" i="25"/>
  <c r="BF22" i="25" s="1"/>
  <c r="BJ20" i="25"/>
  <c r="BJ22" i="25" s="1"/>
  <c r="BN20" i="25"/>
  <c r="AR12" i="25"/>
  <c r="E22" i="25"/>
  <c r="T23" i="25"/>
  <c r="M22" i="25"/>
  <c r="AB23" i="25"/>
  <c r="U22" i="25"/>
  <c r="AV41" i="25"/>
  <c r="AV27" i="25"/>
  <c r="BL41" i="25"/>
  <c r="BL27" i="25"/>
  <c r="AH32" i="25"/>
  <c r="AH41" i="25"/>
  <c r="AH43" i="25" s="1"/>
  <c r="AL43" i="25"/>
  <c r="M44" i="25"/>
  <c r="AC44" i="25"/>
  <c r="BB48" i="25"/>
  <c r="EH52" i="24"/>
  <c r="EP52" i="24"/>
  <c r="CX52" i="24"/>
  <c r="DN52" i="24"/>
  <c r="ED52" i="24"/>
  <c r="DX28" i="24"/>
  <c r="DX49" i="24"/>
  <c r="EB49" i="24"/>
  <c r="EF49" i="24"/>
  <c r="EJ49" i="24"/>
  <c r="EN49" i="24"/>
  <c r="ER49" i="24"/>
  <c r="EM10" i="24"/>
  <c r="EJ16" i="24"/>
  <c r="CC28" i="23"/>
  <c r="BL35" i="23"/>
  <c r="AS71" i="23"/>
  <c r="AR71" i="23"/>
  <c r="U73" i="23"/>
  <c r="BL51" i="23"/>
  <c r="BL49" i="23"/>
  <c r="BG6" i="25"/>
  <c r="AP12" i="25"/>
  <c r="AX12" i="25"/>
  <c r="BF12" i="25"/>
  <c r="BN12" i="25"/>
  <c r="AQ11" i="25"/>
  <c r="BK20" i="25"/>
  <c r="BK22" i="25" s="1"/>
  <c r="BH28" i="25"/>
  <c r="BN28" i="25"/>
  <c r="C43" i="25"/>
  <c r="AU48" i="25"/>
  <c r="BC48" i="25"/>
  <c r="BK48" i="25"/>
  <c r="AP64" i="25"/>
  <c r="L65" i="25"/>
  <c r="N65" i="25"/>
  <c r="AR75" i="25"/>
  <c r="BH75" i="25"/>
  <c r="EJ28" i="24"/>
  <c r="ER28" i="24"/>
  <c r="DV38" i="24"/>
  <c r="EQ38" i="24"/>
  <c r="DM34" i="24"/>
  <c r="EG34" i="24"/>
  <c r="EK34" i="24"/>
  <c r="EO34" i="24"/>
  <c r="EP16" i="24"/>
  <c r="CL29" i="24"/>
  <c r="CG39" i="24"/>
  <c r="AC12" i="23"/>
  <c r="BP62" i="23"/>
  <c r="BP70" i="23" s="1"/>
  <c r="BP35" i="23"/>
  <c r="BP28" i="23"/>
  <c r="BX35" i="23"/>
  <c r="BX28" i="23"/>
  <c r="CF31" i="23"/>
  <c r="CF35" i="23"/>
  <c r="CF28" i="23"/>
  <c r="M66" i="23"/>
  <c r="BK12" i="25"/>
  <c r="BO12" i="25"/>
  <c r="P23" i="25"/>
  <c r="AE22" i="25"/>
  <c r="BD33" i="25"/>
  <c r="BP33" i="25"/>
  <c r="AS49" i="25"/>
  <c r="BI49" i="25"/>
  <c r="AY75" i="25"/>
  <c r="CX51" i="24"/>
  <c r="DB51" i="24"/>
  <c r="DB54" i="24" s="1"/>
  <c r="DF51" i="24"/>
  <c r="DJ51" i="24"/>
  <c r="DN51" i="24"/>
  <c r="DR51" i="24"/>
  <c r="DR54" i="24" s="1"/>
  <c r="DV51" i="24"/>
  <c r="DV54" i="24" s="1"/>
  <c r="EK31" i="24"/>
  <c r="ED51" i="24"/>
  <c r="CH52" i="24"/>
  <c r="CT6" i="24"/>
  <c r="CT52" i="24" s="1"/>
  <c r="DB6" i="24"/>
  <c r="DB52" i="24" s="1"/>
  <c r="DJ6" i="24"/>
  <c r="DJ52" i="24" s="1"/>
  <c r="DR6" i="24"/>
  <c r="DR52" i="24" s="1"/>
  <c r="DZ6" i="24"/>
  <c r="DZ52" i="24" s="1"/>
  <c r="CT29" i="24"/>
  <c r="DZ29" i="24"/>
  <c r="AB62" i="23"/>
  <c r="AG19" i="23"/>
  <c r="AB18" i="23"/>
  <c r="AK15" i="23"/>
  <c r="AC15" i="23"/>
  <c r="AG12" i="23"/>
  <c r="AB11" i="23"/>
  <c r="AL19" i="23"/>
  <c r="AD19" i="23"/>
  <c r="AH15" i="23"/>
  <c r="AL12" i="23"/>
  <c r="AD12" i="23"/>
  <c r="AH12" i="23"/>
  <c r="AB14" i="23"/>
  <c r="AL15" i="23"/>
  <c r="AC19" i="23"/>
  <c r="BI26" i="23"/>
  <c r="BY26" i="23"/>
  <c r="BM36" i="23"/>
  <c r="AT68" i="23"/>
  <c r="X70" i="23"/>
  <c r="CL45" i="24"/>
  <c r="P55" i="24"/>
  <c r="T55" i="24"/>
  <c r="AB55" i="24"/>
  <c r="AF55" i="24"/>
  <c r="AJ55" i="24"/>
  <c r="AN55" i="24"/>
  <c r="AR55" i="24"/>
  <c r="AV55" i="24"/>
  <c r="AZ55" i="24"/>
  <c r="BH55" i="24"/>
  <c r="BL55" i="24"/>
  <c r="BP55" i="24"/>
  <c r="BX55" i="24"/>
  <c r="CB55" i="24"/>
  <c r="CF55" i="24"/>
  <c r="CJ55" i="24"/>
  <c r="CR55" i="24"/>
  <c r="CV55" i="24"/>
  <c r="CZ55" i="24"/>
  <c r="DD55" i="24"/>
  <c r="Q56" i="24"/>
  <c r="Y56" i="24"/>
  <c r="AC56" i="24"/>
  <c r="AG56" i="24"/>
  <c r="AX25" i="23"/>
  <c r="AH29" i="23"/>
  <c r="BJ31" i="23"/>
  <c r="AI32" i="23"/>
  <c r="AG36" i="23"/>
  <c r="AM49" i="23"/>
  <c r="AL52" i="23"/>
  <c r="AJ56" i="23"/>
  <c r="BE61" i="23"/>
  <c r="Y74" i="23"/>
  <c r="AI67" i="23"/>
  <c r="AQ67" i="23"/>
  <c r="BB62" i="23"/>
  <c r="AJ67" i="23"/>
  <c r="AS78" i="23"/>
  <c r="BJ25" i="23"/>
  <c r="AX26" i="23"/>
  <c r="BI28" i="23"/>
  <c r="AC29" i="23"/>
  <c r="AK29" i="23"/>
  <c r="AX29" i="23"/>
  <c r="AX31" i="23"/>
  <c r="AB32" i="23"/>
  <c r="AJ32" i="23"/>
  <c r="AH36" i="23"/>
  <c r="BY46" i="23"/>
  <c r="CC46" i="23"/>
  <c r="CG46" i="23"/>
  <c r="BN45" i="23"/>
  <c r="AB51" i="23"/>
  <c r="S65" i="23"/>
  <c r="AA65" i="23"/>
  <c r="AI65" i="23"/>
  <c r="AQ65" i="23"/>
  <c r="BM61" i="23"/>
  <c r="BM65" i="23" s="1"/>
  <c r="AA67" i="23"/>
  <c r="AQ68" i="23"/>
  <c r="AU68" i="23"/>
  <c r="AT78" i="23"/>
  <c r="BC61" i="23"/>
  <c r="BC25" i="23"/>
  <c r="BN26" i="23"/>
  <c r="BK61" i="23"/>
  <c r="BK25" i="23"/>
  <c r="BV26" i="23"/>
  <c r="BS25" i="23"/>
  <c r="BW25" i="23"/>
  <c r="AY62" i="23"/>
  <c r="BC74" i="23" s="1"/>
  <c r="AY35" i="23"/>
  <c r="BJ32" i="23"/>
  <c r="AY28" i="23"/>
  <c r="BF36" i="23"/>
  <c r="BH32" i="23"/>
  <c r="AZ32" i="23"/>
  <c r="BJ29" i="23"/>
  <c r="BB29" i="23"/>
  <c r="BJ39" i="23"/>
  <c r="BJ36" i="23"/>
  <c r="BB36" i="23"/>
  <c r="BD32" i="23"/>
  <c r="AY31" i="23"/>
  <c r="BF29" i="23"/>
  <c r="BG62" i="23"/>
  <c r="BG35" i="23"/>
  <c r="BG28" i="23"/>
  <c r="BG31" i="23"/>
  <c r="BO35" i="23"/>
  <c r="BO28" i="23"/>
  <c r="BO31" i="23"/>
  <c r="BW62" i="23"/>
  <c r="BW67" i="23" s="1"/>
  <c r="BW35" i="23"/>
  <c r="BW28" i="23"/>
  <c r="BW31" i="23"/>
  <c r="CH29" i="23"/>
  <c r="CE62" i="23"/>
  <c r="CE67" i="23" s="1"/>
  <c r="CE35" i="23"/>
  <c r="CE28" i="23"/>
  <c r="CE31" i="23"/>
  <c r="BA26" i="23"/>
  <c r="BM29" i="23"/>
  <c r="BK32" i="23"/>
  <c r="BW38" i="23"/>
  <c r="CC55" i="23"/>
  <c r="CC48" i="23"/>
  <c r="CC51" i="23"/>
  <c r="CC58" i="23"/>
  <c r="CF58" i="23"/>
  <c r="AZ77" i="23"/>
  <c r="CI36" i="23"/>
  <c r="BE26" i="23"/>
  <c r="AY32" i="23"/>
  <c r="BA36" i="23"/>
  <c r="BK38" i="23"/>
  <c r="CA38" i="23"/>
  <c r="BY55" i="23"/>
  <c r="BY48" i="23"/>
  <c r="BY51" i="23"/>
  <c r="BY58" i="23"/>
  <c r="BL26" i="23"/>
  <c r="BP26" i="23"/>
  <c r="BT26" i="23"/>
  <c r="BX26" i="23"/>
  <c r="BL36" i="23"/>
  <c r="BP36" i="23"/>
  <c r="CJ36" i="23"/>
  <c r="BE29" i="23"/>
  <c r="BC32" i="23"/>
  <c r="CI32" i="23"/>
  <c r="BE36" i="23"/>
  <c r="AY38" i="23"/>
  <c r="BO38" i="23"/>
  <c r="CE38" i="23"/>
  <c r="BO61" i="23"/>
  <c r="BZ46" i="23"/>
  <c r="BO45" i="23"/>
  <c r="BX46" i="23"/>
  <c r="BS61" i="23"/>
  <c r="CD46" i="23"/>
  <c r="CB46" i="23"/>
  <c r="BS45" i="23"/>
  <c r="BW61" i="23"/>
  <c r="CH46" i="23"/>
  <c r="BW45" i="23"/>
  <c r="CF46" i="23"/>
  <c r="CA45" i="23"/>
  <c r="CE61" i="23"/>
  <c r="CE45" i="23"/>
  <c r="CI61" i="23"/>
  <c r="CI45" i="23"/>
  <c r="BM55" i="23"/>
  <c r="BS59" i="23"/>
  <c r="BM52" i="23"/>
  <c r="BQ55" i="23"/>
  <c r="BQ48" i="23"/>
  <c r="BQ51" i="23"/>
  <c r="BQ58" i="23"/>
  <c r="BQ62" i="23"/>
  <c r="BU55" i="23"/>
  <c r="BU48" i="23"/>
  <c r="BU51" i="23"/>
  <c r="BS46" i="23"/>
  <c r="BM58" i="23"/>
  <c r="AY61" i="23"/>
  <c r="AY25" i="23"/>
  <c r="BF26" i="23"/>
  <c r="BJ26" i="23"/>
  <c r="BB26" i="23"/>
  <c r="BG61" i="23"/>
  <c r="BG25" i="23"/>
  <c r="BR26" i="23"/>
  <c r="BO25" i="23"/>
  <c r="BZ26" i="23"/>
  <c r="BC62" i="23"/>
  <c r="BC35" i="23"/>
  <c r="BC28" i="23"/>
  <c r="BM39" i="23"/>
  <c r="BL32" i="23"/>
  <c r="BC31" i="23"/>
  <c r="BK62" i="23"/>
  <c r="BK35" i="23"/>
  <c r="BK28" i="23"/>
  <c r="BK31" i="23"/>
  <c r="BS62" i="23"/>
  <c r="BS35" i="23"/>
  <c r="BS28" i="23"/>
  <c r="BS31" i="23"/>
  <c r="CA62" i="23"/>
  <c r="CA73" i="23" s="1"/>
  <c r="CA35" i="23"/>
  <c r="CA28" i="23"/>
  <c r="CA31" i="23"/>
  <c r="CI62" i="23"/>
  <c r="CI80" i="23" s="1"/>
  <c r="CI35" i="23"/>
  <c r="CI28" i="23"/>
  <c r="CI31" i="23"/>
  <c r="BQ26" i="23"/>
  <c r="BG38" i="23"/>
  <c r="BL39" i="23"/>
  <c r="CB55" i="23"/>
  <c r="BS26" i="23"/>
  <c r="BW26" i="23"/>
  <c r="CJ67" i="23"/>
  <c r="BU26" i="23"/>
  <c r="BA29" i="23"/>
  <c r="BQ36" i="23"/>
  <c r="BP39" i="23"/>
  <c r="BF67" i="23"/>
  <c r="BM26" i="23"/>
  <c r="BI29" i="23"/>
  <c r="BG32" i="23"/>
  <c r="BI36" i="23"/>
  <c r="BC38" i="23"/>
  <c r="BS38" i="23"/>
  <c r="CI38" i="23"/>
  <c r="BP77" i="23"/>
  <c r="BP65" i="23"/>
  <c r="CB77" i="23"/>
  <c r="CB65" i="23"/>
  <c r="CF77" i="23"/>
  <c r="CF65" i="23"/>
  <c r="CJ65" i="23"/>
  <c r="CG55" i="23"/>
  <c r="CG48" i="23"/>
  <c r="CG51" i="23"/>
  <c r="CG62" i="23"/>
  <c r="CG73" i="23" s="1"/>
  <c r="CG58" i="23"/>
  <c r="BW46" i="23"/>
  <c r="BU58" i="23"/>
  <c r="Q77" i="23"/>
  <c r="Q65" i="23"/>
  <c r="Y77" i="23"/>
  <c r="Y65" i="23"/>
  <c r="AG65" i="23"/>
  <c r="AG77" i="23"/>
  <c r="AO77" i="23"/>
  <c r="AO65" i="23"/>
  <c r="AW77" i="23"/>
  <c r="AW65" i="23"/>
  <c r="BU77" i="23"/>
  <c r="BU65" i="23"/>
  <c r="L78" i="23"/>
  <c r="L74" i="23"/>
  <c r="BA80" i="23"/>
  <c r="AA68" i="23"/>
  <c r="AP66" i="23"/>
  <c r="M78" i="23"/>
  <c r="AZ73" i="23"/>
  <c r="AZ70" i="23"/>
  <c r="BD38" i="23"/>
  <c r="BL38" i="23"/>
  <c r="BT38" i="23"/>
  <c r="CB38" i="23"/>
  <c r="CI46" i="23"/>
  <c r="BR51" i="23"/>
  <c r="BP46" i="23"/>
  <c r="BN58" i="23"/>
  <c r="BH61" i="23"/>
  <c r="N78" i="23"/>
  <c r="BB80" i="23"/>
  <c r="BT62" i="23"/>
  <c r="AB66" i="23"/>
  <c r="AJ68" i="23"/>
  <c r="AJ66" i="23"/>
  <c r="AK87" i="23" s="1"/>
  <c r="AR68" i="23"/>
  <c r="AR66" i="23"/>
  <c r="AP68" i="23"/>
  <c r="AW68" i="23"/>
  <c r="Y78" i="23"/>
  <c r="AE12" i="23"/>
  <c r="AI12" i="23"/>
  <c r="AM12" i="23"/>
  <c r="AE15" i="23"/>
  <c r="AI15" i="23"/>
  <c r="AM15" i="23"/>
  <c r="AE19" i="23"/>
  <c r="AI19" i="23"/>
  <c r="AM19" i="23"/>
  <c r="BU62" i="23"/>
  <c r="CC62" i="23"/>
  <c r="CC73" i="23" s="1"/>
  <c r="AY26" i="23"/>
  <c r="BC26" i="23"/>
  <c r="BG26" i="23"/>
  <c r="BK26" i="23"/>
  <c r="BO26" i="23"/>
  <c r="AX28" i="23"/>
  <c r="BB28" i="23"/>
  <c r="BF28" i="23"/>
  <c r="BJ28" i="23"/>
  <c r="BZ28" i="23"/>
  <c r="CH28" i="23"/>
  <c r="AE29" i="23"/>
  <c r="AI29" i="23"/>
  <c r="AM29" i="23"/>
  <c r="AY29" i="23"/>
  <c r="BC29" i="23"/>
  <c r="BG29" i="23"/>
  <c r="BK29" i="23"/>
  <c r="AB31" i="23"/>
  <c r="AZ31" i="23"/>
  <c r="BD31" i="23"/>
  <c r="BH31" i="23"/>
  <c r="BL31" i="23"/>
  <c r="BP31" i="23"/>
  <c r="BT31" i="23"/>
  <c r="BX31" i="23"/>
  <c r="CB31" i="23"/>
  <c r="CJ31" i="23"/>
  <c r="AC32" i="23"/>
  <c r="AG32" i="23"/>
  <c r="AK32" i="23"/>
  <c r="BA32" i="23"/>
  <c r="BE32" i="23"/>
  <c r="BI32" i="23"/>
  <c r="BM32" i="23"/>
  <c r="BU32" i="23"/>
  <c r="AX35" i="23"/>
  <c r="BB35" i="23"/>
  <c r="BF35" i="23"/>
  <c r="BJ35" i="23"/>
  <c r="AE36" i="23"/>
  <c r="AI36" i="23"/>
  <c r="AM36" i="23"/>
  <c r="AY36" i="23"/>
  <c r="BC36" i="23"/>
  <c r="BG36" i="23"/>
  <c r="BK36" i="23"/>
  <c r="BA38" i="23"/>
  <c r="BE38" i="23"/>
  <c r="BI38" i="23"/>
  <c r="BM38" i="23"/>
  <c r="BQ38" i="23"/>
  <c r="BU38" i="23"/>
  <c r="BY38" i="23"/>
  <c r="CC38" i="23"/>
  <c r="CG38" i="23"/>
  <c r="CJ46" i="23"/>
  <c r="AL56" i="23"/>
  <c r="AH56" i="23"/>
  <c r="AD56" i="23"/>
  <c r="AJ52" i="23"/>
  <c r="AF52" i="23"/>
  <c r="AB52" i="23"/>
  <c r="AL49" i="23"/>
  <c r="AH49" i="23"/>
  <c r="AD49" i="23"/>
  <c r="AK56" i="23"/>
  <c r="AG56" i="23"/>
  <c r="AC56" i="23"/>
  <c r="AB55" i="23"/>
  <c r="AM52" i="23"/>
  <c r="AI52" i="23"/>
  <c r="AE52" i="23"/>
  <c r="AK49" i="23"/>
  <c r="AG49" i="23"/>
  <c r="AC49" i="23"/>
  <c r="AB48" i="23"/>
  <c r="BO58" i="23"/>
  <c r="BS51" i="23"/>
  <c r="BS58" i="23"/>
  <c r="BW51" i="23"/>
  <c r="BW58" i="23"/>
  <c r="CA51" i="23"/>
  <c r="CA58" i="23"/>
  <c r="CE51" i="23"/>
  <c r="CE58" i="23"/>
  <c r="CI51" i="23"/>
  <c r="CI58" i="23"/>
  <c r="BL45" i="23"/>
  <c r="BP45" i="23"/>
  <c r="BT45" i="23"/>
  <c r="BX45" i="23"/>
  <c r="CB45" i="23"/>
  <c r="CF45" i="23"/>
  <c r="CJ45" i="23"/>
  <c r="BM46" i="23"/>
  <c r="BQ46" i="23"/>
  <c r="BU46" i="23"/>
  <c r="BW48" i="23"/>
  <c r="CE48" i="23"/>
  <c r="AI49" i="23"/>
  <c r="AH52" i="23"/>
  <c r="BN52" i="23"/>
  <c r="CD55" i="23"/>
  <c r="AF56" i="23"/>
  <c r="BL56" i="23"/>
  <c r="I66" i="23"/>
  <c r="BA61" i="23"/>
  <c r="BI61" i="23"/>
  <c r="BQ61" i="23"/>
  <c r="BY61" i="23"/>
  <c r="CG61" i="23"/>
  <c r="AC67" i="23"/>
  <c r="AG67" i="23"/>
  <c r="AK67" i="23"/>
  <c r="AO67" i="23"/>
  <c r="AS67" i="23"/>
  <c r="AW67" i="23"/>
  <c r="BE62" i="23"/>
  <c r="BL81" i="23" s="1"/>
  <c r="BM62" i="23"/>
  <c r="BM70" i="23" s="1"/>
  <c r="BY62" i="23"/>
  <c r="AG66" i="23"/>
  <c r="AK68" i="23"/>
  <c r="AO66" i="23"/>
  <c r="AS68" i="23"/>
  <c r="AW66" i="23"/>
  <c r="BE66" i="23"/>
  <c r="R66" i="23"/>
  <c r="AH66" i="23"/>
  <c r="AX66" i="23"/>
  <c r="AZ67" i="23"/>
  <c r="Q70" i="23"/>
  <c r="U70" i="23"/>
  <c r="Y70" i="23"/>
  <c r="AC70" i="23"/>
  <c r="AG70" i="23"/>
  <c r="AK70" i="23"/>
  <c r="AO70" i="23"/>
  <c r="AS70" i="23"/>
  <c r="AW70" i="23"/>
  <c r="BI70" i="23"/>
  <c r="BY70" i="23"/>
  <c r="U74" i="23"/>
  <c r="R73" i="23"/>
  <c r="AG74" i="23"/>
  <c r="AW74" i="23"/>
  <c r="AT74" i="23"/>
  <c r="X78" i="23"/>
  <c r="T78" i="23"/>
  <c r="P78" i="23"/>
  <c r="V78" i="23"/>
  <c r="Q78" i="23"/>
  <c r="Z78" i="23"/>
  <c r="U78" i="23"/>
  <c r="O78" i="23"/>
  <c r="S78" i="23"/>
  <c r="R78" i="23"/>
  <c r="W78" i="23"/>
  <c r="AP78" i="23"/>
  <c r="U77" i="23"/>
  <c r="U65" i="23"/>
  <c r="AC77" i="23"/>
  <c r="AC65" i="23"/>
  <c r="AK77" i="23"/>
  <c r="AK65" i="23"/>
  <c r="AS65" i="23"/>
  <c r="AS77" i="23"/>
  <c r="CC77" i="23"/>
  <c r="CC65" i="23"/>
  <c r="BI73" i="23"/>
  <c r="BI67" i="23"/>
  <c r="AI68" i="23"/>
  <c r="Z66" i="23"/>
  <c r="AZ38" i="23"/>
  <c r="BH38" i="23"/>
  <c r="BP38" i="23"/>
  <c r="BX38" i="23"/>
  <c r="CF38" i="23"/>
  <c r="CJ38" i="23"/>
  <c r="BN51" i="23"/>
  <c r="BV51" i="23"/>
  <c r="BL46" i="23"/>
  <c r="BT46" i="23"/>
  <c r="BN48" i="23"/>
  <c r="BV48" i="23"/>
  <c r="CD48" i="23"/>
  <c r="BV58" i="23"/>
  <c r="BX61" i="23"/>
  <c r="BJ80" i="23"/>
  <c r="AF66" i="23"/>
  <c r="AD66" i="23"/>
  <c r="AN68" i="23"/>
  <c r="AN66" i="23"/>
  <c r="AL66" i="23"/>
  <c r="AV68" i="23"/>
  <c r="AV66" i="23"/>
  <c r="AT66" i="23"/>
  <c r="AC66" i="23"/>
  <c r="AS66" i="23"/>
  <c r="AI78" i="23"/>
  <c r="AB12" i="23"/>
  <c r="AF12" i="23"/>
  <c r="AJ12" i="23"/>
  <c r="AB15" i="23"/>
  <c r="AF15" i="23"/>
  <c r="AJ15" i="23"/>
  <c r="AB19" i="23"/>
  <c r="AF19" i="23"/>
  <c r="AJ19" i="23"/>
  <c r="AX77" i="23"/>
  <c r="AX65" i="23"/>
  <c r="BB65" i="23"/>
  <c r="BB77" i="23"/>
  <c r="BF77" i="23"/>
  <c r="BF65" i="23"/>
  <c r="BJ77" i="23"/>
  <c r="BJ65" i="23"/>
  <c r="BZ62" i="23"/>
  <c r="BZ70" i="23" s="1"/>
  <c r="CH62" i="23"/>
  <c r="AZ26" i="23"/>
  <c r="BD26" i="23"/>
  <c r="BH26" i="23"/>
  <c r="AB29" i="23"/>
  <c r="AF29" i="23"/>
  <c r="AJ29" i="23"/>
  <c r="AZ29" i="23"/>
  <c r="BD29" i="23"/>
  <c r="BH29" i="23"/>
  <c r="BL29" i="23"/>
  <c r="BA31" i="23"/>
  <c r="BE31" i="23"/>
  <c r="BI31" i="23"/>
  <c r="BM31" i="23"/>
  <c r="BQ31" i="23"/>
  <c r="BU31" i="23"/>
  <c r="BY31" i="23"/>
  <c r="CC31" i="23"/>
  <c r="AD32" i="23"/>
  <c r="AH32" i="23"/>
  <c r="AL32" i="23"/>
  <c r="AX32" i="23"/>
  <c r="BB32" i="23"/>
  <c r="BF32" i="23"/>
  <c r="AB36" i="23"/>
  <c r="AF36" i="23"/>
  <c r="AZ36" i="23"/>
  <c r="BD36" i="23"/>
  <c r="BH36" i="23"/>
  <c r="BF38" i="23"/>
  <c r="BZ38" i="23"/>
  <c r="CD38" i="23"/>
  <c r="CH38" i="23"/>
  <c r="BK39" i="23"/>
  <c r="CA39" i="23"/>
  <c r="BN61" i="23"/>
  <c r="BR61" i="23"/>
  <c r="BV61" i="23"/>
  <c r="BZ61" i="23"/>
  <c r="CD61" i="23"/>
  <c r="CH61" i="23"/>
  <c r="BM59" i="23"/>
  <c r="BL58" i="23"/>
  <c r="BN56" i="23"/>
  <c r="BP52" i="23"/>
  <c r="BL52" i="23"/>
  <c r="BN49" i="23"/>
  <c r="BP59" i="23"/>
  <c r="BL59" i="23"/>
  <c r="BM56" i="23"/>
  <c r="BL55" i="23"/>
  <c r="BO52" i="23"/>
  <c r="BM49" i="23"/>
  <c r="BL48" i="23"/>
  <c r="BP58" i="23"/>
  <c r="BP55" i="23"/>
  <c r="BP48" i="23"/>
  <c r="BT58" i="23"/>
  <c r="BT55" i="23"/>
  <c r="BT48" i="23"/>
  <c r="CJ58" i="23"/>
  <c r="CJ55" i="23"/>
  <c r="CJ48" i="23"/>
  <c r="BY45" i="23"/>
  <c r="BN46" i="23"/>
  <c r="BR46" i="23"/>
  <c r="BV46" i="23"/>
  <c r="BR48" i="23"/>
  <c r="BZ48" i="23"/>
  <c r="CH48" i="23"/>
  <c r="AB49" i="23"/>
  <c r="AJ49" i="23"/>
  <c r="AC52" i="23"/>
  <c r="AK52" i="23"/>
  <c r="CG52" i="23"/>
  <c r="BW55" i="23"/>
  <c r="CE55" i="23"/>
  <c r="AI56" i="23"/>
  <c r="BR58" i="23"/>
  <c r="BZ58" i="23"/>
  <c r="CH58" i="23"/>
  <c r="J66" i="23"/>
  <c r="T77" i="23"/>
  <c r="T65" i="23"/>
  <c r="AB77" i="23"/>
  <c r="AB65" i="23"/>
  <c r="AJ77" i="23"/>
  <c r="AJ65" i="23"/>
  <c r="AD67" i="23"/>
  <c r="AD73" i="23"/>
  <c r="AH73" i="23"/>
  <c r="AH67" i="23"/>
  <c r="AL67" i="23"/>
  <c r="AP73" i="23"/>
  <c r="AP67" i="23"/>
  <c r="AT67" i="23"/>
  <c r="AT73" i="23"/>
  <c r="X65" i="23"/>
  <c r="AN65" i="23"/>
  <c r="U66" i="23"/>
  <c r="AK66" i="23"/>
  <c r="AL87" i="23" s="1"/>
  <c r="AO68" i="23"/>
  <c r="W71" i="23"/>
  <c r="S71" i="23"/>
  <c r="O71" i="23"/>
  <c r="N70" i="23"/>
  <c r="V71" i="23"/>
  <c r="R71" i="23"/>
  <c r="N71" i="23"/>
  <c r="Y71" i="23"/>
  <c r="Q71" i="23"/>
  <c r="X71" i="23"/>
  <c r="P71" i="23"/>
  <c r="R70" i="23"/>
  <c r="V70" i="23"/>
  <c r="Z70" i="23"/>
  <c r="AD70" i="23"/>
  <c r="AO71" i="23"/>
  <c r="AN71" i="23"/>
  <c r="AH70" i="23"/>
  <c r="AL70" i="23"/>
  <c r="AW71" i="23"/>
  <c r="AV71" i="23"/>
  <c r="AP70" i="23"/>
  <c r="AT70" i="23"/>
  <c r="U71" i="23"/>
  <c r="O73" i="23"/>
  <c r="Z74" i="23"/>
  <c r="T74" i="23"/>
  <c r="R74" i="23"/>
  <c r="X74" i="23"/>
  <c r="AC74" i="23"/>
  <c r="AP74" i="23"/>
  <c r="AO74" i="23"/>
  <c r="AN74" i="23"/>
  <c r="AE73" i="23"/>
  <c r="AS74" i="23"/>
  <c r="AI73" i="23"/>
  <c r="AM73" i="23"/>
  <c r="AU73" i="23"/>
  <c r="BC73" i="23"/>
  <c r="CI73" i="23"/>
  <c r="AL73" i="23"/>
  <c r="M74" i="23"/>
  <c r="BM77" i="23"/>
  <c r="CA80" i="23"/>
  <c r="N77" i="23"/>
  <c r="N65" i="23"/>
  <c r="R77" i="23"/>
  <c r="R65" i="23"/>
  <c r="V65" i="23"/>
  <c r="Z77" i="23"/>
  <c r="Z65" i="23"/>
  <c r="AD77" i="23"/>
  <c r="AD65" i="23"/>
  <c r="AH65" i="23"/>
  <c r="AL65" i="23"/>
  <c r="AL77" i="23"/>
  <c r="AP77" i="23"/>
  <c r="AP65" i="23"/>
  <c r="AT77" i="23"/>
  <c r="AT65" i="23"/>
  <c r="X66" i="23"/>
  <c r="T66" i="23"/>
  <c r="P66" i="23"/>
  <c r="W66" i="23"/>
  <c r="S66" i="23"/>
  <c r="O66" i="23"/>
  <c r="N66" i="23"/>
  <c r="V66" i="23"/>
  <c r="Z71" i="23"/>
  <c r="AD71" i="23"/>
  <c r="AP71" i="23"/>
  <c r="AT71" i="23"/>
  <c r="S70" i="23"/>
  <c r="AA70" i="23"/>
  <c r="AI70" i="23"/>
  <c r="AQ70" i="23"/>
  <c r="N74" i="23"/>
  <c r="L66" i="23"/>
  <c r="H66" i="23"/>
  <c r="G66" i="23"/>
  <c r="O77" i="23"/>
  <c r="S77" i="23"/>
  <c r="W77" i="23"/>
  <c r="AA77" i="23"/>
  <c r="AE77" i="23"/>
  <c r="AI77" i="23"/>
  <c r="AM77" i="23"/>
  <c r="AQ77" i="23"/>
  <c r="AU77" i="23"/>
  <c r="Q66" i="23"/>
  <c r="Y66" i="23"/>
  <c r="AA71" i="23"/>
  <c r="AE71" i="23"/>
  <c r="AQ71" i="23"/>
  <c r="AU71" i="23"/>
  <c r="AK78" i="23"/>
  <c r="AL90" i="23" s="1"/>
  <c r="AO78" i="23"/>
  <c r="AW78" i="23"/>
  <c r="AA66" i="23"/>
  <c r="AE66" i="23"/>
  <c r="AI66" i="23"/>
  <c r="AM66" i="23"/>
  <c r="AQ66" i="23"/>
  <c r="AU66" i="23"/>
  <c r="AA74" i="23"/>
  <c r="T73" i="23"/>
  <c r="X73" i="23"/>
  <c r="AQ74" i="23"/>
  <c r="AF73" i="23"/>
  <c r="AU74" i="23"/>
  <c r="AJ73" i="23"/>
  <c r="AN73" i="23"/>
  <c r="AR73" i="23"/>
  <c r="AV73" i="23"/>
  <c r="AA78" i="23"/>
  <c r="AQ78" i="23"/>
  <c r="AU78" i="23"/>
  <c r="AF74" i="23"/>
  <c r="Y73" i="23"/>
  <c r="AC73" i="23"/>
  <c r="AR74" i="23"/>
  <c r="AK73" i="23"/>
  <c r="AO73" i="23"/>
  <c r="AS73" i="23"/>
  <c r="P73" i="23"/>
  <c r="BE80" i="23"/>
  <c r="N73" i="23"/>
  <c r="P74" i="23"/>
  <c r="AV74" i="23"/>
  <c r="AZ80" i="23"/>
  <c r="BP80" i="23"/>
  <c r="CJ80" i="23"/>
  <c r="BI80" i="23"/>
  <c r="W74" i="23"/>
  <c r="S74" i="23"/>
  <c r="O74" i="23"/>
  <c r="BB73" i="23"/>
  <c r="BF73" i="23"/>
  <c r="AG73" i="23"/>
  <c r="AW73" i="23"/>
  <c r="BM73" i="23"/>
  <c r="Q74" i="23"/>
  <c r="V74" i="23"/>
  <c r="AF78" i="23"/>
  <c r="AN78" i="23"/>
  <c r="AR78" i="23"/>
  <c r="AV78" i="23"/>
  <c r="CR51" i="24"/>
  <c r="DC31" i="24"/>
  <c r="DC30" i="24"/>
  <c r="CR29" i="24"/>
  <c r="CZ51" i="24"/>
  <c r="DK31" i="24"/>
  <c r="DK30" i="24"/>
  <c r="CZ29" i="24"/>
  <c r="DX51" i="24"/>
  <c r="EI31" i="24"/>
  <c r="EI30" i="24"/>
  <c r="DX29" i="24"/>
  <c r="EN51" i="24"/>
  <c r="EN54" i="24" s="1"/>
  <c r="EN29" i="24"/>
  <c r="CJ6" i="24"/>
  <c r="CJ32" i="24" s="1"/>
  <c r="DQ52" i="24"/>
  <c r="EF8" i="24"/>
  <c r="DW28" i="24"/>
  <c r="CJ30" i="24"/>
  <c r="DH30" i="24"/>
  <c r="CK31" i="24"/>
  <c r="DP18" i="24"/>
  <c r="CM51" i="24"/>
  <c r="CX31" i="24"/>
  <c r="CX30" i="24"/>
  <c r="CQ51" i="24"/>
  <c r="DB31" i="24"/>
  <c r="DB30" i="24"/>
  <c r="CU51" i="24"/>
  <c r="DF31" i="24"/>
  <c r="DF30" i="24"/>
  <c r="CY51" i="24"/>
  <c r="DJ31" i="24"/>
  <c r="DJ30" i="24"/>
  <c r="DC51" i="24"/>
  <c r="DN31" i="24"/>
  <c r="DN30" i="24"/>
  <c r="DG51" i="24"/>
  <c r="DR31" i="24"/>
  <c r="DR30" i="24"/>
  <c r="DK51" i="24"/>
  <c r="DV31" i="24"/>
  <c r="DV30" i="24"/>
  <c r="DO51" i="24"/>
  <c r="DZ31" i="24"/>
  <c r="DZ30" i="24"/>
  <c r="DS51" i="24"/>
  <c r="ED31" i="24"/>
  <c r="ED30" i="24"/>
  <c r="DW51" i="24"/>
  <c r="EH31" i="24"/>
  <c r="EH30" i="24"/>
  <c r="EA51" i="24"/>
  <c r="EL31" i="24"/>
  <c r="EL30" i="24"/>
  <c r="EE51" i="24"/>
  <c r="EP31" i="24"/>
  <c r="EP30" i="24"/>
  <c r="CI52" i="24"/>
  <c r="CM6" i="24"/>
  <c r="CR6" i="24"/>
  <c r="CV6" i="24"/>
  <c r="CZ6" i="24"/>
  <c r="DD6" i="24"/>
  <c r="DH6" i="24"/>
  <c r="DL6" i="24"/>
  <c r="DP6" i="24"/>
  <c r="DT6" i="24"/>
  <c r="DX6" i="24"/>
  <c r="EB6" i="24"/>
  <c r="EF6" i="24"/>
  <c r="EN6" i="24"/>
  <c r="EN52" i="24" s="1"/>
  <c r="DW49" i="24"/>
  <c r="EH28" i="24"/>
  <c r="EA49" i="24"/>
  <c r="EL28" i="24"/>
  <c r="EE49" i="24"/>
  <c r="EP28" i="24"/>
  <c r="DW8" i="24"/>
  <c r="EA8" i="24"/>
  <c r="EE8" i="24"/>
  <c r="EI8" i="24"/>
  <c r="EM8" i="24"/>
  <c r="EQ8" i="24"/>
  <c r="CJ10" i="24"/>
  <c r="CR10" i="24"/>
  <c r="CZ10" i="24"/>
  <c r="DP10" i="24"/>
  <c r="DX10" i="24"/>
  <c r="EQ10" i="24"/>
  <c r="DW11" i="24"/>
  <c r="EB11" i="24"/>
  <c r="EH11" i="24"/>
  <c r="EM11" i="24"/>
  <c r="ER11" i="24"/>
  <c r="BS52" i="24"/>
  <c r="BS51" i="24"/>
  <c r="CD38" i="24"/>
  <c r="CW38" i="24"/>
  <c r="CV38" i="24"/>
  <c r="CL35" i="24"/>
  <c r="CU38" i="24"/>
  <c r="DF38" i="24"/>
  <c r="CV35" i="24"/>
  <c r="DK38" i="24"/>
  <c r="DD35" i="24"/>
  <c r="DO38" i="24"/>
  <c r="DS38" i="24"/>
  <c r="DH35" i="24"/>
  <c r="DW38" i="24"/>
  <c r="DL35" i="24"/>
  <c r="EB38" i="24"/>
  <c r="DQ35" i="24"/>
  <c r="DU35" i="24"/>
  <c r="EF38" i="24"/>
  <c r="DY35" i="24"/>
  <c r="EJ38" i="24"/>
  <c r="EC35" i="24"/>
  <c r="EN38" i="24"/>
  <c r="ER38" i="24"/>
  <c r="EG35" i="24"/>
  <c r="DG49" i="24"/>
  <c r="DG19" i="24"/>
  <c r="DK49" i="24"/>
  <c r="DV34" i="24"/>
  <c r="DK19" i="24"/>
  <c r="DO49" i="24"/>
  <c r="DZ34" i="24"/>
  <c r="DO19" i="24"/>
  <c r="DS49" i="24"/>
  <c r="ED34" i="24"/>
  <c r="DS19" i="24"/>
  <c r="EL34" i="24"/>
  <c r="EA19" i="24"/>
  <c r="EP34" i="24"/>
  <c r="EE19" i="24"/>
  <c r="DS16" i="24"/>
  <c r="ED16" i="24"/>
  <c r="EI16" i="24"/>
  <c r="EC19" i="24"/>
  <c r="EH19" i="24"/>
  <c r="CV46" i="24"/>
  <c r="CR46" i="24"/>
  <c r="CY46" i="24"/>
  <c r="CT46" i="24"/>
  <c r="CX46" i="24"/>
  <c r="CS46" i="24"/>
  <c r="CR43" i="24"/>
  <c r="CU46" i="24"/>
  <c r="DT28" i="24"/>
  <c r="EB28" i="24"/>
  <c r="CQ29" i="24"/>
  <c r="CY29" i="24"/>
  <c r="DG29" i="24"/>
  <c r="DO29" i="24"/>
  <c r="DW29" i="24"/>
  <c r="EE29" i="24"/>
  <c r="EM29" i="24"/>
  <c r="CO30" i="24"/>
  <c r="CW30" i="24"/>
  <c r="DE30" i="24"/>
  <c r="DM30" i="24"/>
  <c r="DU30" i="24"/>
  <c r="EK30" i="24"/>
  <c r="CW31" i="24"/>
  <c r="DM31" i="24"/>
  <c r="EC31" i="24"/>
  <c r="CF40" i="24"/>
  <c r="CF39" i="24"/>
  <c r="CE40" i="24"/>
  <c r="CP37" i="24"/>
  <c r="CG40" i="24"/>
  <c r="CE39" i="24"/>
  <c r="CE37" i="24"/>
  <c r="CG37" i="24"/>
  <c r="EF35" i="24"/>
  <c r="DY38" i="24"/>
  <c r="CW46" i="24"/>
  <c r="DZ51" i="24"/>
  <c r="CN51" i="24"/>
  <c r="CY31" i="24"/>
  <c r="CY30" i="24"/>
  <c r="CN29" i="24"/>
  <c r="DH51" i="24"/>
  <c r="DS31" i="24"/>
  <c r="DS30" i="24"/>
  <c r="DH29" i="24"/>
  <c r="DL51" i="24"/>
  <c r="DW31" i="24"/>
  <c r="DW30" i="24"/>
  <c r="DL29" i="24"/>
  <c r="DT51" i="24"/>
  <c r="EE31" i="24"/>
  <c r="EE30" i="24"/>
  <c r="DT29" i="24"/>
  <c r="EF51" i="24"/>
  <c r="EQ31" i="24"/>
  <c r="EQ30" i="24"/>
  <c r="EF29" i="24"/>
  <c r="EJ51" i="24"/>
  <c r="EJ54" i="24" s="1"/>
  <c r="EJ29" i="24"/>
  <c r="CN6" i="24"/>
  <c r="DI52" i="24"/>
  <c r="EG52" i="24"/>
  <c r="DT8" i="24"/>
  <c r="EJ8" i="24"/>
  <c r="ER8" i="24"/>
  <c r="EM28" i="24"/>
  <c r="CZ30" i="24"/>
  <c r="DQ31" i="24"/>
  <c r="DT49" i="24"/>
  <c r="CK51" i="24"/>
  <c r="CV31" i="24"/>
  <c r="CK29" i="24"/>
  <c r="CO51" i="24"/>
  <c r="CZ31" i="24"/>
  <c r="CO29" i="24"/>
  <c r="CS51" i="24"/>
  <c r="DD31" i="24"/>
  <c r="CS29" i="24"/>
  <c r="CW51" i="24"/>
  <c r="DH31" i="24"/>
  <c r="CW29" i="24"/>
  <c r="DA51" i="24"/>
  <c r="DL31" i="24"/>
  <c r="DA29" i="24"/>
  <c r="DE51" i="24"/>
  <c r="DP31" i="24"/>
  <c r="DE29" i="24"/>
  <c r="DI51" i="24"/>
  <c r="DT31" i="24"/>
  <c r="DI29" i="24"/>
  <c r="DM51" i="24"/>
  <c r="DX31" i="24"/>
  <c r="DX30" i="24"/>
  <c r="DM29" i="24"/>
  <c r="DQ51" i="24"/>
  <c r="EB31" i="24"/>
  <c r="EB30" i="24"/>
  <c r="DQ29" i="24"/>
  <c r="DU51" i="24"/>
  <c r="EF31" i="24"/>
  <c r="EF30" i="24"/>
  <c r="DU29" i="24"/>
  <c r="DY51" i="24"/>
  <c r="EJ31" i="24"/>
  <c r="EJ30" i="24"/>
  <c r="DY29" i="24"/>
  <c r="EC51" i="24"/>
  <c r="EN31" i="24"/>
  <c r="EN30" i="24"/>
  <c r="EC29" i="24"/>
  <c r="EG51" i="24"/>
  <c r="ER31" i="24"/>
  <c r="ER30" i="24"/>
  <c r="EG29" i="24"/>
  <c r="EK51" i="24"/>
  <c r="EK54" i="24" s="1"/>
  <c r="EK29" i="24"/>
  <c r="EO51" i="24"/>
  <c r="EO54" i="24" s="1"/>
  <c r="EO29" i="24"/>
  <c r="CG52" i="24"/>
  <c r="CK6" i="24"/>
  <c r="CO6" i="24"/>
  <c r="DU49" i="24"/>
  <c r="DU11" i="24"/>
  <c r="DY49" i="24"/>
  <c r="DY11" i="24"/>
  <c r="EC49" i="24"/>
  <c r="EC11" i="24"/>
  <c r="EG49" i="24"/>
  <c r="EG11" i="24"/>
  <c r="EK49" i="24"/>
  <c r="EK11" i="24"/>
  <c r="EO49" i="24"/>
  <c r="EO11" i="24"/>
  <c r="DU8" i="24"/>
  <c r="DY8" i="24"/>
  <c r="EC8" i="24"/>
  <c r="EG8" i="24"/>
  <c r="EK8" i="24"/>
  <c r="EO8" i="24"/>
  <c r="CL10" i="24"/>
  <c r="CP10" i="24"/>
  <c r="CT10" i="24"/>
  <c r="CX10" i="24"/>
  <c r="DB10" i="24"/>
  <c r="DF10" i="24"/>
  <c r="DJ10" i="24"/>
  <c r="DN10" i="24"/>
  <c r="DR10" i="24"/>
  <c r="DV10" i="24"/>
  <c r="DZ10" i="24"/>
  <c r="ED10" i="24"/>
  <c r="EI10" i="24"/>
  <c r="EN10" i="24"/>
  <c r="DT11" i="24"/>
  <c r="EE11" i="24"/>
  <c r="EJ11" i="24"/>
  <c r="EP11" i="24"/>
  <c r="BI54" i="24"/>
  <c r="CS38" i="24"/>
  <c r="CH51" i="24"/>
  <c r="CR38" i="24"/>
  <c r="CP38" i="24"/>
  <c r="CH35" i="24"/>
  <c r="DC38" i="24"/>
  <c r="CR35" i="24"/>
  <c r="CZ37" i="24" s="1"/>
  <c r="DI38" i="24"/>
  <c r="CX35" i="24"/>
  <c r="DM38" i="24"/>
  <c r="DB35" i="24"/>
  <c r="DQ38" i="24"/>
  <c r="DU38" i="24"/>
  <c r="DJ35" i="24"/>
  <c r="ED38" i="24"/>
  <c r="DS35" i="24"/>
  <c r="EH38" i="24"/>
  <c r="DW35" i="24"/>
  <c r="EL38" i="24"/>
  <c r="EP38" i="24"/>
  <c r="EE35" i="24"/>
  <c r="DI49" i="24"/>
  <c r="DT34" i="24"/>
  <c r="DI16" i="24"/>
  <c r="DM49" i="24"/>
  <c r="DM16" i="24"/>
  <c r="DQ49" i="24"/>
  <c r="EB34" i="24"/>
  <c r="DQ16" i="24"/>
  <c r="EF34" i="24"/>
  <c r="DU16" i="24"/>
  <c r="EJ34" i="24"/>
  <c r="DY16" i="24"/>
  <c r="ER34" i="24"/>
  <c r="EG16" i="24"/>
  <c r="DF16" i="24"/>
  <c r="DK16" i="24"/>
  <c r="DV16" i="24"/>
  <c r="EA16" i="24"/>
  <c r="EL16" i="24"/>
  <c r="EQ16" i="24"/>
  <c r="DM19" i="24"/>
  <c r="DU19" i="24"/>
  <c r="DZ19" i="24"/>
  <c r="EK19" i="24"/>
  <c r="EF28" i="24"/>
  <c r="EN28" i="24"/>
  <c r="CM29" i="24"/>
  <c r="CU29" i="24"/>
  <c r="DC29" i="24"/>
  <c r="DK29" i="24"/>
  <c r="DS29" i="24"/>
  <c r="EA29" i="24"/>
  <c r="EI29" i="24"/>
  <c r="EQ29" i="24"/>
  <c r="CK30" i="24"/>
  <c r="CS30" i="24"/>
  <c r="DA30" i="24"/>
  <c r="DI30" i="24"/>
  <c r="DQ30" i="24"/>
  <c r="EC30" i="24"/>
  <c r="DE31" i="24"/>
  <c r="DU31" i="24"/>
  <c r="EH34" i="24"/>
  <c r="DF35" i="24"/>
  <c r="CQ38" i="24"/>
  <c r="CJ51" i="24"/>
  <c r="CR56" i="24" s="1"/>
  <c r="CR31" i="24"/>
  <c r="CN31" i="24"/>
  <c r="CJ31" i="24"/>
  <c r="CU31" i="24"/>
  <c r="CQ31" i="24"/>
  <c r="CM31" i="24"/>
  <c r="CU30" i="24"/>
  <c r="CQ30" i="24"/>
  <c r="CM30" i="24"/>
  <c r="CT31" i="24"/>
  <c r="CP31" i="24"/>
  <c r="CL31" i="24"/>
  <c r="CT30" i="24"/>
  <c r="CP30" i="24"/>
  <c r="CL30" i="24"/>
  <c r="CJ29" i="24"/>
  <c r="CV51" i="24"/>
  <c r="DG31" i="24"/>
  <c r="DG30" i="24"/>
  <c r="CV29" i="24"/>
  <c r="DD51" i="24"/>
  <c r="DO31" i="24"/>
  <c r="DO30" i="24"/>
  <c r="DD29" i="24"/>
  <c r="DP51" i="24"/>
  <c r="EA31" i="24"/>
  <c r="EA30" i="24"/>
  <c r="DP29" i="24"/>
  <c r="EB51" i="24"/>
  <c r="EM31" i="24"/>
  <c r="EM30" i="24"/>
  <c r="EB29" i="24"/>
  <c r="CF52" i="24"/>
  <c r="CF32" i="24"/>
  <c r="CI32" i="24"/>
  <c r="CH32" i="24"/>
  <c r="CS52" i="24"/>
  <c r="DE52" i="24"/>
  <c r="DM52" i="24"/>
  <c r="DU52" i="24"/>
  <c r="ED28" i="24"/>
  <c r="DZ28" i="24"/>
  <c r="DV28" i="24"/>
  <c r="EC28" i="24"/>
  <c r="DY28" i="24"/>
  <c r="DU28" i="24"/>
  <c r="DX8" i="24"/>
  <c r="EB8" i="24"/>
  <c r="EN8" i="24"/>
  <c r="DX11" i="24"/>
  <c r="EN11" i="24"/>
  <c r="CT26" i="24"/>
  <c r="EE28" i="24"/>
  <c r="CR30" i="24"/>
  <c r="DP30" i="24"/>
  <c r="EO30" i="24"/>
  <c r="DA31" i="24"/>
  <c r="EG31" i="24"/>
  <c r="CZ18" i="24"/>
  <c r="CL54" i="24"/>
  <c r="CP54" i="24"/>
  <c r="CT54" i="24"/>
  <c r="CX54" i="24"/>
  <c r="DF54" i="24"/>
  <c r="DJ54" i="24"/>
  <c r="EH51" i="24"/>
  <c r="EH54" i="24" s="1"/>
  <c r="EH10" i="24"/>
  <c r="EL51" i="24"/>
  <c r="EL54" i="24" s="1"/>
  <c r="EL10" i="24"/>
  <c r="EP51" i="24"/>
  <c r="EP54" i="24" s="1"/>
  <c r="EP10" i="24"/>
  <c r="CL6" i="24"/>
  <c r="CQ52" i="24"/>
  <c r="CU6" i="24"/>
  <c r="CY6" i="24"/>
  <c r="DC6" i="24"/>
  <c r="DG6" i="24"/>
  <c r="DK6" i="24"/>
  <c r="DO6" i="24"/>
  <c r="DS6" i="24"/>
  <c r="DW6" i="24"/>
  <c r="EA6" i="24"/>
  <c r="EE6" i="24"/>
  <c r="EI6" i="24"/>
  <c r="EI52" i="24" s="1"/>
  <c r="EM6" i="24"/>
  <c r="EM52" i="24" s="1"/>
  <c r="EQ6" i="24"/>
  <c r="EQ52" i="24" s="1"/>
  <c r="DV49" i="24"/>
  <c r="EG28" i="24"/>
  <c r="DZ49" i="24"/>
  <c r="EK28" i="24"/>
  <c r="ED49" i="24"/>
  <c r="EO28" i="24"/>
  <c r="DV8" i="24"/>
  <c r="DZ8" i="24"/>
  <c r="ED8" i="24"/>
  <c r="EH8" i="24"/>
  <c r="EL8" i="24"/>
  <c r="EP8" i="24"/>
  <c r="CM10" i="24"/>
  <c r="CQ10" i="24"/>
  <c r="CU10" i="24"/>
  <c r="CY10" i="24"/>
  <c r="DC10" i="24"/>
  <c r="DG10" i="24"/>
  <c r="DK10" i="24"/>
  <c r="DO10" i="24"/>
  <c r="DS10" i="24"/>
  <c r="DW10" i="24"/>
  <c r="EA10" i="24"/>
  <c r="EE10" i="24"/>
  <c r="EJ10" i="24"/>
  <c r="EO10" i="24"/>
  <c r="DV11" i="24"/>
  <c r="EA11" i="24"/>
  <c r="EF11" i="24"/>
  <c r="EL11" i="24"/>
  <c r="EQ11" i="24"/>
  <c r="BR51" i="24"/>
  <c r="BX57" i="24" s="1"/>
  <c r="CC38" i="24"/>
  <c r="BY38" i="24"/>
  <c r="CB38" i="24"/>
  <c r="BX38" i="24"/>
  <c r="BZ38" i="24"/>
  <c r="CI51" i="24"/>
  <c r="CT38" i="24"/>
  <c r="DE38" i="24"/>
  <c r="DD38" i="24"/>
  <c r="CT35" i="24"/>
  <c r="DJ38" i="24"/>
  <c r="CY35" i="24"/>
  <c r="DN38" i="24"/>
  <c r="DC35" i="24"/>
  <c r="DR38" i="24"/>
  <c r="DG35" i="24"/>
  <c r="DZ38" i="24"/>
  <c r="EA38" i="24"/>
  <c r="DT35" i="24"/>
  <c r="EE38" i="24"/>
  <c r="EI38" i="24"/>
  <c r="DX35" i="24"/>
  <c r="EM38" i="24"/>
  <c r="EB35" i="24"/>
  <c r="DO34" i="24"/>
  <c r="DK34" i="24"/>
  <c r="DF49" i="24"/>
  <c r="DQ34" i="24"/>
  <c r="DL34" i="24"/>
  <c r="DG34" i="24"/>
  <c r="DP34" i="24"/>
  <c r="DJ34" i="24"/>
  <c r="DF34" i="24"/>
  <c r="DN34" i="24"/>
  <c r="DI34" i="24"/>
  <c r="DJ49" i="24"/>
  <c r="DU34" i="24"/>
  <c r="DN49" i="24"/>
  <c r="DY34" i="24"/>
  <c r="DG16" i="24"/>
  <c r="DR16" i="24"/>
  <c r="DW16" i="24"/>
  <c r="EM16" i="24"/>
  <c r="BS18" i="24"/>
  <c r="DF19" i="24"/>
  <c r="DN19" i="24"/>
  <c r="DV19" i="24"/>
  <c r="EG19" i="24"/>
  <c r="EA28" i="24"/>
  <c r="EI28" i="24"/>
  <c r="EQ28" i="24"/>
  <c r="CP29" i="24"/>
  <c r="CX29" i="24"/>
  <c r="DF29" i="24"/>
  <c r="DN29" i="24"/>
  <c r="DV29" i="24"/>
  <c r="ED29" i="24"/>
  <c r="EL29" i="24"/>
  <c r="CN30" i="24"/>
  <c r="CV30" i="24"/>
  <c r="DD30" i="24"/>
  <c r="DL30" i="24"/>
  <c r="DT30" i="24"/>
  <c r="EG30" i="24"/>
  <c r="CS31" i="24"/>
  <c r="DI31" i="24"/>
  <c r="DY31" i="24"/>
  <c r="EO31" i="24"/>
  <c r="CG32" i="24"/>
  <c r="DR34" i="24"/>
  <c r="EN34" i="24"/>
  <c r="CI35" i="24"/>
  <c r="DK35" i="24"/>
  <c r="EA35" i="24"/>
  <c r="DG38" i="24"/>
  <c r="CD52" i="24"/>
  <c r="CO38" i="24"/>
  <c r="CK38" i="24"/>
  <c r="CG38" i="24"/>
  <c r="CD51" i="24"/>
  <c r="CE56" i="24" s="1"/>
  <c r="CN38" i="24"/>
  <c r="CJ38" i="24"/>
  <c r="CF38" i="24"/>
  <c r="CL38" i="24"/>
  <c r="CH38" i="24"/>
  <c r="DA38" i="24"/>
  <c r="CZ38" i="24"/>
  <c r="DB38" i="24"/>
  <c r="CX38" i="24"/>
  <c r="CW35" i="24"/>
  <c r="DH38" i="24"/>
  <c r="DA35" i="24"/>
  <c r="DL38" i="24"/>
  <c r="DE35" i="24"/>
  <c r="DP38" i="24"/>
  <c r="DM35" i="24"/>
  <c r="DX38" i="24"/>
  <c r="EC38" i="24"/>
  <c r="EG38" i="24"/>
  <c r="EK38" i="24"/>
  <c r="DH49" i="24"/>
  <c r="DS34" i="24"/>
  <c r="DW34" i="24"/>
  <c r="DP49" i="24"/>
  <c r="EA34" i="24"/>
  <c r="EE34" i="24"/>
  <c r="EI34" i="24"/>
  <c r="EM34" i="24"/>
  <c r="EQ34" i="24"/>
  <c r="CI26" i="24"/>
  <c r="CM26" i="24"/>
  <c r="CU26" i="24"/>
  <c r="DR35" i="24"/>
  <c r="CE38" i="24"/>
  <c r="DH19" i="24"/>
  <c r="DL19" i="24"/>
  <c r="DP19" i="24"/>
  <c r="DT19" i="24"/>
  <c r="ED35" i="24"/>
  <c r="CI38" i="24"/>
  <c r="CY38" i="24"/>
  <c r="DZ35" i="24"/>
  <c r="CM38" i="24"/>
  <c r="DT38" i="24"/>
  <c r="DL49" i="24"/>
  <c r="X55" i="24"/>
  <c r="W55" i="24"/>
  <c r="BD55" i="24"/>
  <c r="BC55" i="24"/>
  <c r="BT55" i="24"/>
  <c r="BS55" i="24"/>
  <c r="CN55" i="24"/>
  <c r="CM55" i="24"/>
  <c r="M56" i="24"/>
  <c r="L56" i="24"/>
  <c r="U56" i="24"/>
  <c r="R56" i="24"/>
  <c r="AK56" i="24"/>
  <c r="Z54" i="24"/>
  <c r="AO56" i="24"/>
  <c r="AD54" i="24"/>
  <c r="AS56" i="24"/>
  <c r="AH54" i="24"/>
  <c r="AW56" i="24"/>
  <c r="AL54" i="24"/>
  <c r="AP54" i="24"/>
  <c r="AT54" i="24"/>
  <c r="AX54" i="24"/>
  <c r="CQ47" i="24"/>
  <c r="CQ45" i="24"/>
  <c r="CM45" i="24"/>
  <c r="CI45" i="24"/>
  <c r="CK45" i="24"/>
  <c r="CP45" i="24"/>
  <c r="O55" i="24"/>
  <c r="S55" i="24"/>
  <c r="AA55" i="24"/>
  <c r="AE55" i="24"/>
  <c r="AI55" i="24"/>
  <c r="AQ55" i="24"/>
  <c r="AU55" i="24"/>
  <c r="AY55" i="24"/>
  <c r="BG55" i="24"/>
  <c r="BK55" i="24"/>
  <c r="BO55" i="24"/>
  <c r="BW55" i="24"/>
  <c r="CA55" i="24"/>
  <c r="CU55" i="24"/>
  <c r="DC55" i="24"/>
  <c r="BM56" i="24"/>
  <c r="BQ56" i="24"/>
  <c r="BF54" i="24"/>
  <c r="BB54" i="24"/>
  <c r="CH45" i="24"/>
  <c r="CN45" i="24"/>
  <c r="AH56" i="24"/>
  <c r="BV54" i="24"/>
  <c r="BZ54" i="24"/>
  <c r="CJ45" i="24"/>
  <c r="CO45" i="24"/>
  <c r="N55" i="24"/>
  <c r="R55" i="24"/>
  <c r="V55" i="24"/>
  <c r="Z55" i="24"/>
  <c r="AD55" i="24"/>
  <c r="AH55" i="24"/>
  <c r="AL55" i="24"/>
  <c r="BU56" i="24"/>
  <c r="BJ54" i="24"/>
  <c r="BN54" i="24"/>
  <c r="M55" i="24"/>
  <c r="L55" i="24"/>
  <c r="Q55" i="24"/>
  <c r="U55" i="24"/>
  <c r="Y55" i="24"/>
  <c r="AC55" i="24"/>
  <c r="AG55" i="24"/>
  <c r="AK55" i="24"/>
  <c r="AO55" i="24"/>
  <c r="AS55" i="24"/>
  <c r="AW55" i="24"/>
  <c r="BA55" i="24"/>
  <c r="BE55" i="24"/>
  <c r="BI55" i="24"/>
  <c r="BM55" i="24"/>
  <c r="BQ55" i="24"/>
  <c r="BU55" i="24"/>
  <c r="BY55" i="24"/>
  <c r="CC55" i="24"/>
  <c r="CG55" i="24"/>
  <c r="CK55" i="24"/>
  <c r="CO55" i="24"/>
  <c r="CS55" i="24"/>
  <c r="CW55" i="24"/>
  <c r="DA55" i="24"/>
  <c r="DE55" i="24"/>
  <c r="N56" i="24"/>
  <c r="V56" i="24"/>
  <c r="Z56" i="24"/>
  <c r="AD56" i="24"/>
  <c r="AL56" i="24"/>
  <c r="AA54" i="24"/>
  <c r="AP56" i="24"/>
  <c r="AE54" i="24"/>
  <c r="AI54" i="24"/>
  <c r="AT56" i="24"/>
  <c r="AQ54" i="24"/>
  <c r="AU54" i="24"/>
  <c r="BG54" i="24"/>
  <c r="BK54" i="24"/>
  <c r="BO54" i="24"/>
  <c r="BW54" i="24"/>
  <c r="CA54" i="24"/>
  <c r="CE54" i="24"/>
  <c r="AP55" i="24"/>
  <c r="AT55" i="24"/>
  <c r="AX55" i="24"/>
  <c r="BB55" i="24"/>
  <c r="BF55" i="24"/>
  <c r="BJ55" i="24"/>
  <c r="BN55" i="24"/>
  <c r="BR55" i="24"/>
  <c r="BV55" i="24"/>
  <c r="BZ55" i="24"/>
  <c r="CD55" i="24"/>
  <c r="CH55" i="24"/>
  <c r="CL55" i="24"/>
  <c r="CP55" i="24"/>
  <c r="CT55" i="24"/>
  <c r="CX55" i="24"/>
  <c r="DB55" i="24"/>
  <c r="O56" i="24"/>
  <c r="S56" i="24"/>
  <c r="W56" i="24"/>
  <c r="AA56" i="24"/>
  <c r="AE56" i="24"/>
  <c r="AI56" i="24"/>
  <c r="AM56" i="24"/>
  <c r="AB54" i="24"/>
  <c r="AQ56" i="24"/>
  <c r="AF54" i="24"/>
  <c r="AU56" i="24"/>
  <c r="AJ54" i="24"/>
  <c r="AN54" i="24"/>
  <c r="AR54" i="24"/>
  <c r="AV54" i="24"/>
  <c r="BK56" i="24"/>
  <c r="AZ54" i="24"/>
  <c r="BO56" i="24"/>
  <c r="BD54" i="24"/>
  <c r="BH54" i="24"/>
  <c r="BL54" i="24"/>
  <c r="BP54" i="24"/>
  <c r="BT54" i="24"/>
  <c r="BX54" i="24"/>
  <c r="CB54" i="24"/>
  <c r="CF54" i="24"/>
  <c r="AX56" i="24"/>
  <c r="CE55" i="24"/>
  <c r="CI55" i="24"/>
  <c r="CQ55" i="24"/>
  <c r="CY55" i="24"/>
  <c r="DG55" i="24"/>
  <c r="EA55" i="24"/>
  <c r="P56" i="24"/>
  <c r="T56" i="24"/>
  <c r="X56" i="24"/>
  <c r="AB56" i="24"/>
  <c r="AF56" i="24"/>
  <c r="AJ56" i="24"/>
  <c r="Y54" i="24"/>
  <c r="AN56" i="24"/>
  <c r="AC54" i="24"/>
  <c r="AR56" i="24"/>
  <c r="AG54" i="24"/>
  <c r="AV56" i="24"/>
  <c r="AK54" i="24"/>
  <c r="AO54" i="24"/>
  <c r="AS54" i="24"/>
  <c r="AW54" i="24"/>
  <c r="BL56" i="24"/>
  <c r="BA54" i="24"/>
  <c r="BP56" i="24"/>
  <c r="BE54" i="24"/>
  <c r="BM54" i="24"/>
  <c r="BQ54" i="24"/>
  <c r="CF56" i="24"/>
  <c r="BU54" i="24"/>
  <c r="BY54" i="24"/>
  <c r="CC54" i="24"/>
  <c r="CG54" i="24"/>
  <c r="BN56" i="24"/>
  <c r="AI22" i="25"/>
  <c r="BG22" i="25"/>
  <c r="BO22" i="25"/>
  <c r="BF7" i="25"/>
  <c r="M23" i="25"/>
  <c r="W22" i="25"/>
  <c r="AM22" i="25"/>
  <c r="V23" i="25"/>
  <c r="AZ28" i="25"/>
  <c r="AU28" i="25"/>
  <c r="AS27" i="25"/>
  <c r="AS41" i="25"/>
  <c r="AS43" i="25" s="1"/>
  <c r="BD28" i="25"/>
  <c r="BL28" i="25"/>
  <c r="BK28" i="25"/>
  <c r="BA41" i="25"/>
  <c r="BA43" i="25" s="1"/>
  <c r="BM41" i="25"/>
  <c r="BM43" i="25" s="1"/>
  <c r="BM27" i="25"/>
  <c r="AN33" i="25"/>
  <c r="AH33" i="25"/>
  <c r="AL33" i="25"/>
  <c r="AG33" i="25"/>
  <c r="AE32" i="25"/>
  <c r="AP33" i="25"/>
  <c r="AK33" i="25"/>
  <c r="AF33" i="25"/>
  <c r="AE41" i="25"/>
  <c r="AO33" i="25"/>
  <c r="AJ33" i="25"/>
  <c r="AM41" i="25"/>
  <c r="AX33" i="25"/>
  <c r="AW33" i="25"/>
  <c r="AM32" i="25"/>
  <c r="BA6" i="25"/>
  <c r="AZ7" i="25"/>
  <c r="BP7" i="25"/>
  <c r="AG11" i="25"/>
  <c r="AT12" i="25"/>
  <c r="BJ12" i="25"/>
  <c r="O23" i="25"/>
  <c r="W23" i="25"/>
  <c r="X23" i="25"/>
  <c r="AT7" i="25"/>
  <c r="BB7" i="25"/>
  <c r="BJ7" i="25"/>
  <c r="BE12" i="25"/>
  <c r="BI12" i="25"/>
  <c r="BM12" i="25"/>
  <c r="AF12" i="25"/>
  <c r="AN12" i="25"/>
  <c r="AV12" i="25"/>
  <c r="BD12" i="25"/>
  <c r="BL12" i="25"/>
  <c r="AG20" i="25"/>
  <c r="AG22" i="25" s="1"/>
  <c r="AO20" i="25"/>
  <c r="AO22" i="25" s="1"/>
  <c r="AW20" i="25"/>
  <c r="AW22" i="25" s="1"/>
  <c r="BE20" i="25"/>
  <c r="BE22" i="25" s="1"/>
  <c r="BM20" i="25"/>
  <c r="BM22" i="25" s="1"/>
  <c r="C22" i="25"/>
  <c r="S22" i="25"/>
  <c r="AA22" i="25"/>
  <c r="AQ22" i="25"/>
  <c r="AY22" i="25"/>
  <c r="R23" i="25"/>
  <c r="Z23" i="25"/>
  <c r="BJ28" i="25"/>
  <c r="BA27" i="25"/>
  <c r="AX7" i="25"/>
  <c r="BN7" i="25"/>
  <c r="AS20" i="25"/>
  <c r="AS22" i="25" s="1"/>
  <c r="BA20" i="25"/>
  <c r="BA22" i="25" s="1"/>
  <c r="BI20" i="25"/>
  <c r="BI22" i="25" s="1"/>
  <c r="G22" i="25"/>
  <c r="AU22" i="25"/>
  <c r="N23" i="25"/>
  <c r="AW41" i="25"/>
  <c r="AW43" i="25" s="1"/>
  <c r="AW27" i="25"/>
  <c r="BE41" i="25"/>
  <c r="BE43" i="25" s="1"/>
  <c r="BE27" i="25"/>
  <c r="BP28" i="25"/>
  <c r="BI41" i="25"/>
  <c r="BI43" i="25" s="1"/>
  <c r="BI27" i="25"/>
  <c r="BC28" i="25"/>
  <c r="AI41" i="25"/>
  <c r="AI43" i="25" s="1"/>
  <c r="AS33" i="25"/>
  <c r="AI32" i="25"/>
  <c r="AT33" i="25"/>
  <c r="AS6" i="25"/>
  <c r="BH7" i="25"/>
  <c r="BB12" i="25"/>
  <c r="S23" i="25"/>
  <c r="AA23" i="25"/>
  <c r="BC7" i="25"/>
  <c r="BG7" i="25"/>
  <c r="BK7" i="25"/>
  <c r="BO7" i="25"/>
  <c r="AV7" i="25"/>
  <c r="AH12" i="25"/>
  <c r="Q23" i="25"/>
  <c r="U23" i="25"/>
  <c r="Y23" i="25"/>
  <c r="AC23" i="25"/>
  <c r="BN22" i="25"/>
  <c r="AC22" i="25"/>
  <c r="AK22" i="25"/>
  <c r="L23" i="25"/>
  <c r="AY28" i="25"/>
  <c r="AX28" i="25"/>
  <c r="BC32" i="25"/>
  <c r="AZ33" i="25"/>
  <c r="BE33" i="25"/>
  <c r="BL33" i="25"/>
  <c r="BK41" i="25"/>
  <c r="BK43" i="25" s="1"/>
  <c r="P44" i="25"/>
  <c r="E43" i="25"/>
  <c r="T44" i="25"/>
  <c r="X44" i="25"/>
  <c r="M43" i="25"/>
  <c r="AB44" i="25"/>
  <c r="U43" i="25"/>
  <c r="AC43" i="25"/>
  <c r="AK43" i="25"/>
  <c r="AO43" i="25"/>
  <c r="Y43" i="25"/>
  <c r="Y44" i="25"/>
  <c r="AZ70" i="25"/>
  <c r="AV70" i="25"/>
  <c r="AR70" i="25"/>
  <c r="AR69" i="25"/>
  <c r="BC70" i="25"/>
  <c r="AY70" i="25"/>
  <c r="AU70" i="25"/>
  <c r="BB70" i="25"/>
  <c r="AT70" i="25"/>
  <c r="BA70" i="25"/>
  <c r="AS70" i="25"/>
  <c r="AW70" i="25"/>
  <c r="AV69" i="25"/>
  <c r="BG70" i="25"/>
  <c r="BE70" i="25"/>
  <c r="AZ69" i="25"/>
  <c r="BK70" i="25"/>
  <c r="BJ70" i="25"/>
  <c r="BI70" i="25"/>
  <c r="BD69" i="25"/>
  <c r="BO70" i="25"/>
  <c r="BM70" i="25"/>
  <c r="BF70" i="25"/>
  <c r="BM74" i="25"/>
  <c r="BP75" i="25"/>
  <c r="AT6" i="25"/>
  <c r="AX6" i="25"/>
  <c r="BB6" i="25"/>
  <c r="BF6" i="25"/>
  <c r="BJ6" i="25"/>
  <c r="BN6" i="25"/>
  <c r="AS7" i="25"/>
  <c r="AW7" i="25"/>
  <c r="BA7" i="25"/>
  <c r="BE7" i="25"/>
  <c r="BI7" i="25"/>
  <c r="BM7" i="25"/>
  <c r="AF11" i="25"/>
  <c r="AJ11" i="25"/>
  <c r="AN11" i="25"/>
  <c r="AR11" i="25"/>
  <c r="AV11" i="25"/>
  <c r="AZ11" i="25"/>
  <c r="BD11" i="25"/>
  <c r="AE12" i="25"/>
  <c r="AI12" i="25"/>
  <c r="AM12" i="25"/>
  <c r="AQ12" i="25"/>
  <c r="AU12" i="25"/>
  <c r="AY12" i="25"/>
  <c r="AR20" i="25"/>
  <c r="AR22" i="25" s="1"/>
  <c r="AV20" i="25"/>
  <c r="AZ20" i="25"/>
  <c r="BD20" i="25"/>
  <c r="BD22" i="25" s="1"/>
  <c r="BH20" i="25"/>
  <c r="BH22" i="25" s="1"/>
  <c r="BL20" i="25"/>
  <c r="BL22" i="25" s="1"/>
  <c r="BP20" i="25"/>
  <c r="BP22" i="25" s="1"/>
  <c r="D22" i="25"/>
  <c r="H22" i="25"/>
  <c r="L22" i="25"/>
  <c r="P22" i="25"/>
  <c r="T22" i="25"/>
  <c r="X22" i="25"/>
  <c r="AB22" i="25"/>
  <c r="AF22" i="25"/>
  <c r="AJ22" i="25"/>
  <c r="AN22" i="25"/>
  <c r="AV22" i="25"/>
  <c r="AT41" i="25"/>
  <c r="AT43" i="25" s="1"/>
  <c r="BE28" i="25"/>
  <c r="AT27" i="25"/>
  <c r="BI28" i="25"/>
  <c r="AX27" i="25"/>
  <c r="BB41" i="25"/>
  <c r="BB43" i="25" s="1"/>
  <c r="BM28" i="25"/>
  <c r="BB27" i="25"/>
  <c r="BJ41" i="25"/>
  <c r="BJ43" i="25" s="1"/>
  <c r="BJ27" i="25"/>
  <c r="AR27" i="25"/>
  <c r="BC27" i="25"/>
  <c r="BH27" i="25"/>
  <c r="AT28" i="25"/>
  <c r="BO28" i="25"/>
  <c r="AF41" i="25"/>
  <c r="AF43" i="25" s="1"/>
  <c r="AQ33" i="25"/>
  <c r="AF32" i="25"/>
  <c r="AJ41" i="25"/>
  <c r="AJ43" i="25" s="1"/>
  <c r="AU33" i="25"/>
  <c r="AJ32" i="25"/>
  <c r="AN41" i="25"/>
  <c r="AN43" i="25" s="1"/>
  <c r="AY33" i="25"/>
  <c r="AN32" i="25"/>
  <c r="BC33" i="25"/>
  <c r="AR32" i="25"/>
  <c r="BG33" i="25"/>
  <c r="AV32" i="25"/>
  <c r="BK33" i="25"/>
  <c r="AZ32" i="25"/>
  <c r="BO33" i="25"/>
  <c r="BD32" i="25"/>
  <c r="AO32" i="25"/>
  <c r="AY32" i="25"/>
  <c r="BE32" i="25"/>
  <c r="AV33" i="25"/>
  <c r="BA33" i="25"/>
  <c r="BF33" i="25"/>
  <c r="BN33" i="25"/>
  <c r="BN41" i="25"/>
  <c r="BN43" i="25" s="1"/>
  <c r="Q43" i="25"/>
  <c r="BN70" i="25"/>
  <c r="BO75" i="25"/>
  <c r="AY41" i="25"/>
  <c r="AY43" i="25" s="1"/>
  <c r="BG41" i="25"/>
  <c r="BG43" i="25" s="1"/>
  <c r="BO41" i="25"/>
  <c r="BO43" i="25" s="1"/>
  <c r="AY27" i="25"/>
  <c r="BO27" i="25"/>
  <c r="BF28" i="25"/>
  <c r="AK32" i="25"/>
  <c r="AR33" i="25"/>
  <c r="BB33" i="25"/>
  <c r="BH33" i="25"/>
  <c r="AU41" i="25"/>
  <c r="L44" i="25"/>
  <c r="N44" i="25"/>
  <c r="R44" i="25"/>
  <c r="G43" i="25"/>
  <c r="V44" i="25"/>
  <c r="Z44" i="25"/>
  <c r="O43" i="25"/>
  <c r="AD44" i="25"/>
  <c r="W43" i="25"/>
  <c r="AM43" i="25"/>
  <c r="AQ43" i="25"/>
  <c r="AU43" i="25"/>
  <c r="BC43" i="25"/>
  <c r="I43" i="25"/>
  <c r="S43" i="25"/>
  <c r="Q44" i="25"/>
  <c r="AR6" i="25"/>
  <c r="AV6" i="25"/>
  <c r="AZ6" i="25"/>
  <c r="BD6" i="25"/>
  <c r="AU7" i="25"/>
  <c r="AY7" i="25"/>
  <c r="AD11" i="25"/>
  <c r="AH11" i="25"/>
  <c r="AL11" i="25"/>
  <c r="AP11" i="25"/>
  <c r="AT11" i="25"/>
  <c r="AX11" i="25"/>
  <c r="BB11" i="25"/>
  <c r="AG12" i="25"/>
  <c r="AK12" i="25"/>
  <c r="AO12" i="25"/>
  <c r="AS12" i="25"/>
  <c r="AW12" i="25"/>
  <c r="BA12" i="25"/>
  <c r="F22" i="25"/>
  <c r="J22" i="25"/>
  <c r="N22" i="25"/>
  <c r="R22" i="25"/>
  <c r="V22" i="25"/>
  <c r="Z22" i="25"/>
  <c r="AH22" i="25"/>
  <c r="AL22" i="25"/>
  <c r="AP22" i="25"/>
  <c r="AX22" i="25"/>
  <c r="BB22" i="25"/>
  <c r="AR41" i="25"/>
  <c r="BA28" i="25"/>
  <c r="AW28" i="25"/>
  <c r="AS28" i="25"/>
  <c r="AZ27" i="25"/>
  <c r="BP27" i="25"/>
  <c r="AV28" i="25"/>
  <c r="BB28" i="25"/>
  <c r="BG28" i="25"/>
  <c r="AM33" i="25"/>
  <c r="AG32" i="25"/>
  <c r="AQ32" i="25"/>
  <c r="BJ33" i="25"/>
  <c r="AX41" i="25"/>
  <c r="AX43" i="25" s="1"/>
  <c r="K43" i="25"/>
  <c r="AG43" i="25"/>
  <c r="U44" i="25"/>
  <c r="AR62" i="25"/>
  <c r="AR64" i="25" s="1"/>
  <c r="AZ49" i="25"/>
  <c r="AV49" i="25"/>
  <c r="AR49" i="25"/>
  <c r="BC49" i="25"/>
  <c r="AY49" i="25"/>
  <c r="AU49" i="25"/>
  <c r="AR48" i="25"/>
  <c r="BB49" i="25"/>
  <c r="AT49" i="25"/>
  <c r="AX49" i="25"/>
  <c r="AV62" i="25"/>
  <c r="BG49" i="25"/>
  <c r="AV48" i="25"/>
  <c r="BF49" i="25"/>
  <c r="AZ62" i="25"/>
  <c r="BK49" i="25"/>
  <c r="AZ48" i="25"/>
  <c r="BJ49" i="25"/>
  <c r="BD62" i="25"/>
  <c r="BO49" i="25"/>
  <c r="BD48" i="25"/>
  <c r="BN49" i="25"/>
  <c r="BH62" i="25"/>
  <c r="BH48" i="25"/>
  <c r="BL62" i="25"/>
  <c r="BL64" i="25" s="1"/>
  <c r="BL48" i="25"/>
  <c r="BP62" i="25"/>
  <c r="BP64" i="25" s="1"/>
  <c r="BP48" i="25"/>
  <c r="BA49" i="25"/>
  <c r="AN54" i="25"/>
  <c r="AJ54" i="25"/>
  <c r="AF54" i="25"/>
  <c r="AM54" i="25"/>
  <c r="AI54" i="25"/>
  <c r="AE54" i="25"/>
  <c r="AO54" i="25"/>
  <c r="AG54" i="25"/>
  <c r="AL54" i="25"/>
  <c r="AD54" i="25"/>
  <c r="AD53" i="25"/>
  <c r="AD62" i="25"/>
  <c r="AK54" i="25"/>
  <c r="AH62" i="25"/>
  <c r="AH53" i="25"/>
  <c r="AS54" i="25"/>
  <c r="AW54" i="25"/>
  <c r="AL53" i="25"/>
  <c r="AL62" i="25"/>
  <c r="AL64" i="25" s="1"/>
  <c r="AP53" i="25"/>
  <c r="BA54" i="25"/>
  <c r="BE54" i="25"/>
  <c r="AT53" i="25"/>
  <c r="BI54" i="25"/>
  <c r="AX53" i="25"/>
  <c r="AP54" i="25"/>
  <c r="AI64" i="25"/>
  <c r="AX70" i="25"/>
  <c r="AE33" i="25"/>
  <c r="AI33" i="25"/>
  <c r="O44" i="25"/>
  <c r="D43" i="25"/>
  <c r="S44" i="25"/>
  <c r="H43" i="25"/>
  <c r="W44" i="25"/>
  <c r="L43" i="25"/>
  <c r="AA44" i="25"/>
  <c r="P43" i="25"/>
  <c r="T43" i="25"/>
  <c r="X43" i="25"/>
  <c r="AB43" i="25"/>
  <c r="AZ43" i="25"/>
  <c r="BH43" i="25"/>
  <c r="BL43" i="25"/>
  <c r="BP43" i="25"/>
  <c r="AS62" i="25"/>
  <c r="AS64" i="25" s="1"/>
  <c r="BD49" i="25"/>
  <c r="AS48" i="25"/>
  <c r="AW62" i="25"/>
  <c r="AW64" i="25" s="1"/>
  <c r="BH49" i="25"/>
  <c r="AW48" i="25"/>
  <c r="BA62" i="25"/>
  <c r="BA64" i="25" s="1"/>
  <c r="BL49" i="25"/>
  <c r="BA48" i="25"/>
  <c r="BE62" i="25"/>
  <c r="BE64" i="25" s="1"/>
  <c r="BP49" i="25"/>
  <c r="BE48" i="25"/>
  <c r="BI62" i="25"/>
  <c r="BI64" i="25" s="1"/>
  <c r="BI48" i="25"/>
  <c r="BM62" i="25"/>
  <c r="BM64" i="25" s="1"/>
  <c r="BM48" i="25"/>
  <c r="BD70" i="25"/>
  <c r="AS69" i="25"/>
  <c r="BH70" i="25"/>
  <c r="BL70" i="25"/>
  <c r="BA69" i="25"/>
  <c r="BP70" i="25"/>
  <c r="AE53" i="25"/>
  <c r="AE62" i="25"/>
  <c r="AE64" i="25" s="1"/>
  <c r="AI53" i="25"/>
  <c r="AT54" i="25"/>
  <c r="AM53" i="25"/>
  <c r="AM62" i="25"/>
  <c r="AM64" i="25" s="1"/>
  <c r="AQ53" i="25"/>
  <c r="BB54" i="25"/>
  <c r="BJ54" i="25"/>
  <c r="AY53" i="25"/>
  <c r="AF62" i="25"/>
  <c r="AF64" i="25" s="1"/>
  <c r="AQ54" i="25"/>
  <c r="AJ62" i="25"/>
  <c r="AJ64" i="25" s="1"/>
  <c r="AU54" i="25"/>
  <c r="AN62" i="25"/>
  <c r="AN64" i="25" s="1"/>
  <c r="AY54" i="25"/>
  <c r="BC54" i="25"/>
  <c r="BG54" i="25"/>
  <c r="AV53" i="25"/>
  <c r="BK54" i="25"/>
  <c r="AZ53" i="25"/>
  <c r="BO54" i="25"/>
  <c r="BD53" i="25"/>
  <c r="O65" i="25"/>
  <c r="D64" i="25"/>
  <c r="S65" i="25"/>
  <c r="H64" i="25"/>
  <c r="W65" i="25"/>
  <c r="L64" i="25"/>
  <c r="AA65" i="25"/>
  <c r="P64" i="25"/>
  <c r="T64" i="25"/>
  <c r="X64" i="25"/>
  <c r="AB64" i="25"/>
  <c r="BH64" i="25"/>
  <c r="Q65" i="25"/>
  <c r="Y65" i="25"/>
  <c r="AD74" i="25"/>
  <c r="AO75" i="25"/>
  <c r="AH74" i="25"/>
  <c r="AS75" i="25"/>
  <c r="AL74" i="25"/>
  <c r="AW75" i="25"/>
  <c r="AP74" i="25"/>
  <c r="BA75" i="25"/>
  <c r="AT74" i="25"/>
  <c r="BE75" i="25"/>
  <c r="AX74" i="25"/>
  <c r="BI75" i="25"/>
  <c r="BB74" i="25"/>
  <c r="BM75" i="25"/>
  <c r="AI74" i="25"/>
  <c r="AQ74" i="25"/>
  <c r="AY74" i="25"/>
  <c r="AU75" i="25"/>
  <c r="BC75" i="25"/>
  <c r="BK75" i="25"/>
  <c r="AG62" i="25"/>
  <c r="AG64" i="25" s="1"/>
  <c r="AR54" i="25"/>
  <c r="AK62" i="25"/>
  <c r="AV54" i="25"/>
  <c r="AO62" i="25"/>
  <c r="AO64" i="25" s="1"/>
  <c r="AZ54" i="25"/>
  <c r="BD54" i="25"/>
  <c r="BH54" i="25"/>
  <c r="BL54" i="25"/>
  <c r="BP54" i="25"/>
  <c r="BE53" i="25"/>
  <c r="BA53" i="25"/>
  <c r="P65" i="25"/>
  <c r="E64" i="25"/>
  <c r="T65" i="25"/>
  <c r="I64" i="25"/>
  <c r="X65" i="25"/>
  <c r="M64" i="25"/>
  <c r="AB65" i="25"/>
  <c r="Q64" i="25"/>
  <c r="U64" i="25"/>
  <c r="Y64" i="25"/>
  <c r="AC64" i="25"/>
  <c r="R65" i="25"/>
  <c r="Z65" i="25"/>
  <c r="BN75" i="25"/>
  <c r="AV75" i="25"/>
  <c r="BD75" i="25"/>
  <c r="BL75" i="25"/>
  <c r="AD22" i="25" l="1"/>
  <c r="BC56" i="24"/>
  <c r="BS56" i="24"/>
  <c r="DF39" i="24"/>
  <c r="EC32" i="24"/>
  <c r="AY70" i="23"/>
  <c r="BF70" i="23"/>
  <c r="BO56" i="23"/>
  <c r="BO55" i="23"/>
  <c r="BV62" i="23"/>
  <c r="BR52" i="23"/>
  <c r="BS56" i="23"/>
  <c r="CJ49" i="23"/>
  <c r="CE32" i="23"/>
  <c r="CF55" i="23"/>
  <c r="AP44" i="25"/>
  <c r="BB56" i="24"/>
  <c r="BQ52" i="23"/>
  <c r="BS52" i="23"/>
  <c r="BQ56" i="23"/>
  <c r="BT59" i="23"/>
  <c r="BU59" i="23"/>
  <c r="BV38" i="23"/>
  <c r="CF62" i="23"/>
  <c r="CF80" i="23" s="1"/>
  <c r="BT56" i="23"/>
  <c r="BO51" i="23"/>
  <c r="BZ52" i="23"/>
  <c r="CB32" i="23"/>
  <c r="AZ66" i="23"/>
  <c r="BR59" i="23"/>
  <c r="BX59" i="23"/>
  <c r="CF51" i="23"/>
  <c r="BO62" i="23"/>
  <c r="BO73" i="23" s="1"/>
  <c r="AF23" i="25"/>
  <c r="BN44" i="25"/>
  <c r="AE23" i="25"/>
  <c r="CE73" i="23"/>
  <c r="BW52" i="23"/>
  <c r="BU56" i="23"/>
  <c r="BV56" i="23"/>
  <c r="BX29" i="23"/>
  <c r="CD58" i="23"/>
  <c r="BO48" i="23"/>
  <c r="CD49" i="23"/>
  <c r="BV28" i="23"/>
  <c r="CE70" i="23"/>
  <c r="CX47" i="24"/>
  <c r="CY45" i="24"/>
  <c r="CS47" i="24"/>
  <c r="CT45" i="24"/>
  <c r="CH70" i="23"/>
  <c r="CH73" i="23"/>
  <c r="BU80" i="23"/>
  <c r="BQ70" i="23"/>
  <c r="BQ73" i="23"/>
  <c r="BD67" i="23"/>
  <c r="BD80" i="23"/>
  <c r="BD70" i="23"/>
  <c r="BL65" i="23"/>
  <c r="BL77" i="23"/>
  <c r="CB58" i="23"/>
  <c r="CJ52" i="23"/>
  <c r="CB48" i="23"/>
  <c r="CJ56" i="23"/>
  <c r="CB62" i="23"/>
  <c r="CB51" i="23"/>
  <c r="CA25" i="23"/>
  <c r="CA61" i="23"/>
  <c r="CI66" i="23" s="1"/>
  <c r="CA26" i="23"/>
  <c r="CF26" i="23"/>
  <c r="CD26" i="23"/>
  <c r="CG26" i="23"/>
  <c r="CI26" i="23"/>
  <c r="CJ26" i="23"/>
  <c r="CC26" i="23"/>
  <c r="BR35" i="23"/>
  <c r="BZ29" i="23"/>
  <c r="CB36" i="23"/>
  <c r="CC39" i="23"/>
  <c r="CC36" i="23"/>
  <c r="CA29" i="23"/>
  <c r="CA36" i="23"/>
  <c r="BR38" i="23"/>
  <c r="CC29" i="23"/>
  <c r="CC32" i="23"/>
  <c r="BR62" i="23"/>
  <c r="BX78" i="23" s="1"/>
  <c r="CB29" i="23"/>
  <c r="CB39" i="23"/>
  <c r="BZ32" i="23"/>
  <c r="CA32" i="23"/>
  <c r="BR28" i="23"/>
  <c r="BJ70" i="23"/>
  <c r="BJ73" i="23"/>
  <c r="BL67" i="23"/>
  <c r="BW81" i="23"/>
  <c r="AR65" i="25"/>
  <c r="BO44" i="25"/>
  <c r="AT23" i="25"/>
  <c r="AX23" i="25"/>
  <c r="CY47" i="24"/>
  <c r="CR47" i="24"/>
  <c r="CT47" i="24"/>
  <c r="CQ32" i="24"/>
  <c r="EL55" i="24"/>
  <c r="BL73" i="23"/>
  <c r="BM81" i="23"/>
  <c r="BL70" i="23"/>
  <c r="BS39" i="23"/>
  <c r="BT29" i="23"/>
  <c r="BU70" i="23"/>
  <c r="CD52" i="23"/>
  <c r="CH49" i="23"/>
  <c r="CC49" i="23"/>
  <c r="CE26" i="23"/>
  <c r="CH59" i="23"/>
  <c r="BV32" i="23"/>
  <c r="CF59" i="23"/>
  <c r="CB56" i="23"/>
  <c r="BS32" i="23"/>
  <c r="BY39" i="23"/>
  <c r="BR39" i="23"/>
  <c r="AC71" i="23"/>
  <c r="AH78" i="23"/>
  <c r="AD68" i="23"/>
  <c r="AG68" i="23"/>
  <c r="AJ74" i="23"/>
  <c r="AK89" i="23" s="1"/>
  <c r="AG78" i="23"/>
  <c r="AB73" i="23"/>
  <c r="AJ78" i="23"/>
  <c r="AK90" i="23" s="1"/>
  <c r="AL68" i="23"/>
  <c r="AK74" i="23"/>
  <c r="AL89" i="23" s="1"/>
  <c r="AF68" i="23"/>
  <c r="AG71" i="23"/>
  <c r="AK71" i="23"/>
  <c r="AL88" i="23" s="1"/>
  <c r="AL74" i="23"/>
  <c r="AH71" i="23"/>
  <c r="AI71" i="23"/>
  <c r="AM78" i="23"/>
  <c r="AE74" i="23"/>
  <c r="AM74" i="23"/>
  <c r="AB68" i="23"/>
  <c r="AH68" i="23"/>
  <c r="AC68" i="23"/>
  <c r="AE68" i="23"/>
  <c r="AH74" i="23"/>
  <c r="AF71" i="23"/>
  <c r="AL71" i="23"/>
  <c r="AM71" i="23"/>
  <c r="AC78" i="23"/>
  <c r="AE78" i="23"/>
  <c r="AB74" i="23"/>
  <c r="AB78" i="23"/>
  <c r="EQ55" i="24"/>
  <c r="BR31" i="23"/>
  <c r="CA49" i="23"/>
  <c r="CB49" i="23"/>
  <c r="CA59" i="23"/>
  <c r="BX58" i="23"/>
  <c r="CI59" i="23"/>
  <c r="CC56" i="23"/>
  <c r="CC52" i="23"/>
  <c r="BZ56" i="23"/>
  <c r="CD56" i="23"/>
  <c r="CH56" i="23"/>
  <c r="BY49" i="23"/>
  <c r="CG49" i="23"/>
  <c r="BY52" i="23"/>
  <c r="CE56" i="23"/>
  <c r="CF56" i="23"/>
  <c r="BZ59" i="23"/>
  <c r="CF49" i="23"/>
  <c r="CH52" i="23"/>
  <c r="BX51" i="23"/>
  <c r="CE49" i="23"/>
  <c r="CC59" i="23"/>
  <c r="BZ49" i="23"/>
  <c r="BX62" i="23"/>
  <c r="BY59" i="23"/>
  <c r="CG56" i="23"/>
  <c r="CI49" i="23"/>
  <c r="CB59" i="23"/>
  <c r="CF52" i="23"/>
  <c r="BX55" i="23"/>
  <c r="CI56" i="23"/>
  <c r="CD59" i="23"/>
  <c r="BY56" i="23"/>
  <c r="CA52" i="23"/>
  <c r="CE52" i="23"/>
  <c r="CE59" i="23"/>
  <c r="CD28" i="23"/>
  <c r="CD62" i="23"/>
  <c r="CD70" i="23" s="1"/>
  <c r="CD35" i="23"/>
  <c r="CD36" i="23"/>
  <c r="CD29" i="23"/>
  <c r="CJ32" i="23"/>
  <c r="CJ29" i="23"/>
  <c r="CF36" i="23"/>
  <c r="BP32" i="23"/>
  <c r="BR36" i="23"/>
  <c r="BU36" i="23"/>
  <c r="BN32" i="23"/>
  <c r="BV36" i="23"/>
  <c r="BY29" i="23"/>
  <c r="BY36" i="23"/>
  <c r="BX39" i="23"/>
  <c r="BN28" i="23"/>
  <c r="BQ32" i="23"/>
  <c r="BP29" i="23"/>
  <c r="BW39" i="23"/>
  <c r="BX32" i="23"/>
  <c r="BQ29" i="23"/>
  <c r="BT36" i="23"/>
  <c r="BU29" i="23"/>
  <c r="BN39" i="23"/>
  <c r="BN29" i="23"/>
  <c r="BW32" i="23"/>
  <c r="BO29" i="23"/>
  <c r="BR32" i="23"/>
  <c r="BR29" i="23"/>
  <c r="BX36" i="23"/>
  <c r="BV39" i="23"/>
  <c r="BV29" i="23"/>
  <c r="BO32" i="23"/>
  <c r="BS29" i="23"/>
  <c r="BN35" i="23"/>
  <c r="BO36" i="23"/>
  <c r="BO39" i="23"/>
  <c r="AX68" i="23"/>
  <c r="AX78" i="23"/>
  <c r="AX70" i="23"/>
  <c r="AX71" i="23"/>
  <c r="BC71" i="23"/>
  <c r="AX67" i="23"/>
  <c r="AZ68" i="23"/>
  <c r="BB71" i="23"/>
  <c r="BA70" i="23"/>
  <c r="BK74" i="23"/>
  <c r="BA44" i="25"/>
  <c r="AR43" i="25"/>
  <c r="AY23" i="25"/>
  <c r="CS45" i="24"/>
  <c r="CV45" i="24"/>
  <c r="CM56" i="24"/>
  <c r="CI40" i="24"/>
  <c r="CN39" i="24"/>
  <c r="CM40" i="24"/>
  <c r="BL80" i="23"/>
  <c r="BA73" i="23"/>
  <c r="BW66" i="23"/>
  <c r="BI78" i="23"/>
  <c r="BR74" i="23"/>
  <c r="AX74" i="23"/>
  <c r="AD74" i="23"/>
  <c r="CG59" i="23"/>
  <c r="AL78" i="23"/>
  <c r="BW36" i="23"/>
  <c r="CE29" i="23"/>
  <c r="BX48" i="23"/>
  <c r="BT32" i="23"/>
  <c r="CB52" i="23"/>
  <c r="BZ36" i="23"/>
  <c r="BG67" i="23"/>
  <c r="BQ74" i="23"/>
  <c r="CH26" i="23"/>
  <c r="AM68" i="23"/>
  <c r="BB67" i="23"/>
  <c r="BB70" i="23"/>
  <c r="BE65" i="23"/>
  <c r="BE77" i="23"/>
  <c r="BT39" i="23"/>
  <c r="EO57" i="24"/>
  <c r="DY56" i="24"/>
  <c r="DI56" i="24"/>
  <c r="CJ39" i="23"/>
  <c r="CK56" i="24"/>
  <c r="CQ40" i="24"/>
  <c r="DS55" i="24"/>
  <c r="DY57" i="24"/>
  <c r="DI57" i="24"/>
  <c r="BZ73" i="23"/>
  <c r="AX73" i="23"/>
  <c r="AI74" i="23"/>
  <c r="BS80" i="23"/>
  <c r="BN38" i="23"/>
  <c r="BJ67" i="23"/>
  <c r="AD78" i="23"/>
  <c r="BB66" i="23"/>
  <c r="BL66" i="23"/>
  <c r="BS36" i="23"/>
  <c r="BY32" i="23"/>
  <c r="BW29" i="23"/>
  <c r="BD73" i="23"/>
  <c r="AB71" i="23"/>
  <c r="BA67" i="23"/>
  <c r="CI52" i="23"/>
  <c r="BU39" i="23"/>
  <c r="BN36" i="23"/>
  <c r="BQ66" i="23"/>
  <c r="CA56" i="23"/>
  <c r="CB26" i="23"/>
  <c r="CJ59" i="23"/>
  <c r="CH39" i="23"/>
  <c r="CH32" i="23"/>
  <c r="BZ39" i="23"/>
  <c r="BQ39" i="23"/>
  <c r="CD31" i="23"/>
  <c r="CK57" i="24"/>
  <c r="DU55" i="24"/>
  <c r="CY39" i="24"/>
  <c r="EJ32" i="24"/>
  <c r="DT32" i="24"/>
  <c r="DD32" i="24"/>
  <c r="CX39" i="24"/>
  <c r="DR55" i="24"/>
  <c r="BM66" i="23"/>
  <c r="BS49" i="23"/>
  <c r="BV59" i="23"/>
  <c r="BM48" i="23"/>
  <c r="BU52" i="23"/>
  <c r="BT49" i="23"/>
  <c r="BX56" i="23"/>
  <c r="BO49" i="23"/>
  <c r="BV52" i="23"/>
  <c r="BT52" i="23"/>
  <c r="BR49" i="23"/>
  <c r="BU49" i="23"/>
  <c r="BP49" i="23"/>
  <c r="BO59" i="23"/>
  <c r="BZ35" i="23"/>
  <c r="CF32" i="23"/>
  <c r="CH36" i="23"/>
  <c r="CD32" i="23"/>
  <c r="CG29" i="23"/>
  <c r="CF39" i="23"/>
  <c r="CG32" i="23"/>
  <c r="CF29" i="23"/>
  <c r="BK65" i="25"/>
  <c r="BE65" i="25"/>
  <c r="CB56" i="24"/>
  <c r="CA57" i="24"/>
  <c r="BR56" i="24"/>
  <c r="CZ39" i="24"/>
  <c r="DT55" i="24"/>
  <c r="CV40" i="24"/>
  <c r="DB32" i="24"/>
  <c r="DU57" i="24"/>
  <c r="DE57" i="24"/>
  <c r="BW59" i="23"/>
  <c r="BW56" i="23"/>
  <c r="BQ49" i="23"/>
  <c r="BV49" i="23"/>
  <c r="BR56" i="23"/>
  <c r="BQ59" i="23"/>
  <c r="CI39" i="23"/>
  <c r="BN59" i="23"/>
  <c r="BW49" i="23"/>
  <c r="CE36" i="23"/>
  <c r="CI29" i="23"/>
  <c r="CC81" i="23"/>
  <c r="BT65" i="23"/>
  <c r="CE39" i="23"/>
  <c r="BP56" i="23"/>
  <c r="BM51" i="23"/>
  <c r="BX49" i="23"/>
  <c r="CG36" i="23"/>
  <c r="CG39" i="23"/>
  <c r="ER55" i="24"/>
  <c r="BG44" i="25"/>
  <c r="CJ70" i="23"/>
  <c r="CJ73" i="23"/>
  <c r="BZ31" i="23"/>
  <c r="BT68" i="23"/>
  <c r="AZ71" i="23"/>
  <c r="BV35" i="23"/>
  <c r="BV31" i="23"/>
  <c r="BM65" i="25"/>
  <c r="DB39" i="24"/>
  <c r="EN55" i="24"/>
  <c r="EC55" i="24"/>
  <c r="BH70" i="23"/>
  <c r="BH67" i="23"/>
  <c r="BH65" i="25"/>
  <c r="BL65" i="25"/>
  <c r="AY44" i="25"/>
  <c r="BB44" i="25"/>
  <c r="BI23" i="25"/>
  <c r="AO23" i="25"/>
  <c r="AH44" i="25"/>
  <c r="BH56" i="24"/>
  <c r="AZ56" i="24"/>
  <c r="EH55" i="24"/>
  <c r="CZ40" i="24"/>
  <c r="BI56" i="24"/>
  <c r="BA56" i="24"/>
  <c r="DV55" i="24"/>
  <c r="EG40" i="24"/>
  <c r="DK40" i="24"/>
  <c r="DH55" i="24"/>
  <c r="EE55" i="24"/>
  <c r="EG32" i="24"/>
  <c r="DX55" i="24"/>
  <c r="CM37" i="24"/>
  <c r="BP78" i="23"/>
  <c r="BX81" i="23"/>
  <c r="BW78" i="23"/>
  <c r="BW74" i="23"/>
  <c r="BO66" i="23"/>
  <c r="AY78" i="23"/>
  <c r="CA71" i="23"/>
  <c r="AY71" i="23"/>
  <c r="BZ81" i="23"/>
  <c r="BN81" i="23"/>
  <c r="BD74" i="23"/>
  <c r="BF74" i="23"/>
  <c r="BQ71" i="23"/>
  <c r="CE71" i="23"/>
  <c r="BN70" i="23"/>
  <c r="BE71" i="23"/>
  <c r="BO68" i="23"/>
  <c r="BR78" i="23"/>
  <c r="BA74" i="23"/>
  <c r="BA68" i="23"/>
  <c r="BN67" i="23"/>
  <c r="BC78" i="23"/>
  <c r="BD77" i="23"/>
  <c r="BB68" i="23"/>
  <c r="AX65" i="25"/>
  <c r="AT65" i="25"/>
  <c r="AE65" i="25"/>
  <c r="AV43" i="25"/>
  <c r="AI44" i="25"/>
  <c r="AW44" i="25"/>
  <c r="BF44" i="25"/>
  <c r="BG23" i="25"/>
  <c r="AV44" i="25"/>
  <c r="CN57" i="24"/>
  <c r="CF57" i="24"/>
  <c r="BX56" i="24"/>
  <c r="CE57" i="24"/>
  <c r="BW56" i="24"/>
  <c r="BG56" i="24"/>
  <c r="AY56" i="24"/>
  <c r="CL56" i="24"/>
  <c r="BV56" i="24"/>
  <c r="BF56" i="24"/>
  <c r="DD39" i="24"/>
  <c r="CG56" i="24"/>
  <c r="CU45" i="24"/>
  <c r="CR45" i="24"/>
  <c r="DA39" i="24"/>
  <c r="CY37" i="24"/>
  <c r="BJ56" i="24"/>
  <c r="ED54" i="24"/>
  <c r="DN54" i="24"/>
  <c r="CT32" i="24"/>
  <c r="CH40" i="24"/>
  <c r="CK40" i="24"/>
  <c r="BO81" i="23"/>
  <c r="BH78" i="23"/>
  <c r="BM74" i="23"/>
  <c r="BX74" i="23"/>
  <c r="BG78" i="23"/>
  <c r="CI74" i="23"/>
  <c r="BH73" i="23"/>
  <c r="BG74" i="23"/>
  <c r="AY74" i="23"/>
  <c r="BG66" i="23"/>
  <c r="BS78" i="23"/>
  <c r="BA78" i="23"/>
  <c r="BS71" i="23"/>
  <c r="BR71" i="23"/>
  <c r="BK80" i="23"/>
  <c r="AY80" i="23"/>
  <c r="BT74" i="23"/>
  <c r="AY73" i="23"/>
  <c r="AZ74" i="23"/>
  <c r="BA71" i="23"/>
  <c r="CG71" i="23"/>
  <c r="BY71" i="23"/>
  <c r="BM71" i="23"/>
  <c r="BD68" i="23"/>
  <c r="AY68" i="23"/>
  <c r="BJ78" i="23"/>
  <c r="BP67" i="23"/>
  <c r="BP68" i="23"/>
  <c r="BN80" i="23"/>
  <c r="BD65" i="23"/>
  <c r="BB65" i="25"/>
  <c r="AF44" i="25"/>
  <c r="BP65" i="25"/>
  <c r="AZ65" i="25"/>
  <c r="AJ65" i="25"/>
  <c r="BC65" i="25"/>
  <c r="AY65" i="25"/>
  <c r="AI65" i="25"/>
  <c r="AQ44" i="25"/>
  <c r="BB23" i="25"/>
  <c r="BD23" i="25"/>
  <c r="AV23" i="25"/>
  <c r="BD56" i="24"/>
  <c r="CI57" i="24"/>
  <c r="EP55" i="24"/>
  <c r="DD40" i="24"/>
  <c r="CG57" i="24"/>
  <c r="CU47" i="24"/>
  <c r="CW47" i="24"/>
  <c r="BE56" i="24"/>
  <c r="EJ55" i="24"/>
  <c r="CX45" i="24"/>
  <c r="CV47" i="24"/>
  <c r="CY40" i="24"/>
  <c r="DY32" i="24"/>
  <c r="CP32" i="24"/>
  <c r="CL32" i="24"/>
  <c r="CX40" i="24"/>
  <c r="CR32" i="24"/>
  <c r="AZ78" i="23"/>
  <c r="BS81" i="23"/>
  <c r="BH80" i="23"/>
  <c r="BH74" i="23"/>
  <c r="BP73" i="23"/>
  <c r="CA74" i="23"/>
  <c r="BS74" i="23"/>
  <c r="AY66" i="23"/>
  <c r="BU81" i="23"/>
  <c r="BQ78" i="23"/>
  <c r="BK71" i="23"/>
  <c r="BG70" i="23"/>
  <c r="BJ71" i="23"/>
  <c r="BG80" i="23"/>
  <c r="BJ81" i="23"/>
  <c r="BW73" i="23"/>
  <c r="BV74" i="23"/>
  <c r="BE74" i="23"/>
  <c r="BB74" i="23"/>
  <c r="BU71" i="23"/>
  <c r="BU68" i="23"/>
  <c r="BF66" i="23"/>
  <c r="BB78" i="23"/>
  <c r="BI71" i="23"/>
  <c r="AB70" i="23"/>
  <c r="AB67" i="23"/>
  <c r="AJ71" i="23"/>
  <c r="AK88" i="23" s="1"/>
  <c r="CH65" i="23"/>
  <c r="CH77" i="23"/>
  <c r="BR65" i="23"/>
  <c r="BR77" i="23"/>
  <c r="CD80" i="23"/>
  <c r="BR66" i="23"/>
  <c r="BX77" i="23"/>
  <c r="BX65" i="23"/>
  <c r="CH78" i="23"/>
  <c r="BU66" i="23"/>
  <c r="BY67" i="23"/>
  <c r="BY73" i="23"/>
  <c r="BI77" i="23"/>
  <c r="BI65" i="23"/>
  <c r="CC80" i="23"/>
  <c r="CC70" i="23"/>
  <c r="CC67" i="23"/>
  <c r="BV68" i="23"/>
  <c r="BP66" i="23"/>
  <c r="BH68" i="23"/>
  <c r="BT67" i="23"/>
  <c r="BT70" i="23"/>
  <c r="BH77" i="23"/>
  <c r="BH65" i="23"/>
  <c r="BK68" i="23"/>
  <c r="BH71" i="23"/>
  <c r="BI66" i="23"/>
  <c r="CA67" i="23"/>
  <c r="CA70" i="23"/>
  <c r="BK73" i="23"/>
  <c r="BK70" i="23"/>
  <c r="BK67" i="23"/>
  <c r="AY77" i="23"/>
  <c r="AY65" i="23"/>
  <c r="CI77" i="23"/>
  <c r="CI65" i="23"/>
  <c r="CA65" i="23"/>
  <c r="BW77" i="23"/>
  <c r="BW65" i="23"/>
  <c r="BS77" i="23"/>
  <c r="BS65" i="23"/>
  <c r="BO77" i="23"/>
  <c r="BO65" i="23"/>
  <c r="BO67" i="23"/>
  <c r="BZ71" i="23"/>
  <c r="BZ68" i="23"/>
  <c r="BK77" i="23"/>
  <c r="BK65" i="23"/>
  <c r="BV66" i="23"/>
  <c r="BT78" i="23"/>
  <c r="BD78" i="23"/>
  <c r="CC74" i="23"/>
  <c r="BT80" i="23"/>
  <c r="BT73" i="23"/>
  <c r="BK78" i="23"/>
  <c r="BO74" i="23"/>
  <c r="BS66" i="23"/>
  <c r="BC66" i="23"/>
  <c r="CG81" i="23"/>
  <c r="BQ81" i="23"/>
  <c r="BM78" i="23"/>
  <c r="BW71" i="23"/>
  <c r="BG71" i="23"/>
  <c r="BW70" i="23"/>
  <c r="BV71" i="23"/>
  <c r="BF71" i="23"/>
  <c r="BW80" i="23"/>
  <c r="BV81" i="23"/>
  <c r="BP81" i="23"/>
  <c r="BZ74" i="23"/>
  <c r="BG73" i="23"/>
  <c r="BI74" i="23"/>
  <c r="BT71" i="23"/>
  <c r="BL71" i="23"/>
  <c r="BD71" i="23"/>
  <c r="BE68" i="23"/>
  <c r="BA66" i="23"/>
  <c r="CD77" i="23"/>
  <c r="CD65" i="23"/>
  <c r="BN65" i="23"/>
  <c r="BN77" i="23"/>
  <c r="BZ80" i="23"/>
  <c r="BZ67" i="23"/>
  <c r="BE78" i="23"/>
  <c r="BM68" i="23"/>
  <c r="BZ66" i="23"/>
  <c r="BT66" i="23"/>
  <c r="BL68" i="23"/>
  <c r="BW68" i="23"/>
  <c r="BN78" i="23"/>
  <c r="BN66" i="23"/>
  <c r="BQ68" i="23"/>
  <c r="BM67" i="23"/>
  <c r="BX71" i="23"/>
  <c r="BM80" i="23"/>
  <c r="CG77" i="23"/>
  <c r="CG65" i="23"/>
  <c r="BA77" i="23"/>
  <c r="BA65" i="23"/>
  <c r="BU67" i="23"/>
  <c r="BU73" i="23"/>
  <c r="BX66" i="23"/>
  <c r="BC68" i="23"/>
  <c r="BR68" i="23"/>
  <c r="AY67" i="23"/>
  <c r="BJ68" i="23"/>
  <c r="BZ77" i="23"/>
  <c r="BZ65" i="23"/>
  <c r="BV80" i="23"/>
  <c r="BV67" i="23"/>
  <c r="CH66" i="23"/>
  <c r="CB66" i="23"/>
  <c r="CF70" i="23"/>
  <c r="CF67" i="23"/>
  <c r="CF73" i="23"/>
  <c r="BZ78" i="23"/>
  <c r="BE73" i="23"/>
  <c r="BE67" i="23"/>
  <c r="BP71" i="23"/>
  <c r="BP74" i="23"/>
  <c r="BY65" i="23"/>
  <c r="BY77" i="23"/>
  <c r="CF66" i="23"/>
  <c r="BX68" i="23"/>
  <c r="BF68" i="23"/>
  <c r="CA68" i="23"/>
  <c r="BS67" i="23"/>
  <c r="BS70" i="23"/>
  <c r="BC67" i="23"/>
  <c r="BC70" i="23"/>
  <c r="CE77" i="23"/>
  <c r="CE65" i="23"/>
  <c r="BL78" i="23"/>
  <c r="BV73" i="23"/>
  <c r="BY80" i="23"/>
  <c r="BT81" i="23"/>
  <c r="BL74" i="23"/>
  <c r="CA78" i="23"/>
  <c r="CA66" i="23"/>
  <c r="BK66" i="23"/>
  <c r="BY81" i="23"/>
  <c r="BU78" i="23"/>
  <c r="CI71" i="23"/>
  <c r="BO71" i="23"/>
  <c r="BN71" i="23"/>
  <c r="CE80" i="23"/>
  <c r="CA81" i="23"/>
  <c r="BO80" i="23"/>
  <c r="BR81" i="23"/>
  <c r="BC80" i="23"/>
  <c r="CF74" i="23"/>
  <c r="BS73" i="23"/>
  <c r="BU74" i="23"/>
  <c r="BN74" i="23"/>
  <c r="BJ74" i="23"/>
  <c r="BV70" i="23"/>
  <c r="BV77" i="23"/>
  <c r="BV65" i="23"/>
  <c r="CH67" i="23"/>
  <c r="CH80" i="23"/>
  <c r="BR67" i="23"/>
  <c r="BR80" i="23"/>
  <c r="BY66" i="23"/>
  <c r="BJ66" i="23"/>
  <c r="BD66" i="23"/>
  <c r="BX70" i="23"/>
  <c r="BX67" i="23"/>
  <c r="BG68" i="23"/>
  <c r="BY78" i="23"/>
  <c r="BV78" i="23"/>
  <c r="BF78" i="23"/>
  <c r="BE70" i="23"/>
  <c r="BY68" i="23"/>
  <c r="BI68" i="23"/>
  <c r="BQ77" i="23"/>
  <c r="BQ65" i="23"/>
  <c r="BO78" i="23"/>
  <c r="BN68" i="23"/>
  <c r="BH66" i="23"/>
  <c r="BK81" i="23"/>
  <c r="BO70" i="23"/>
  <c r="BS68" i="23"/>
  <c r="CG80" i="23"/>
  <c r="CG70" i="23"/>
  <c r="CG67" i="23"/>
  <c r="BY74" i="23"/>
  <c r="CI67" i="23"/>
  <c r="CI70" i="23"/>
  <c r="BG77" i="23"/>
  <c r="BG65" i="23"/>
  <c r="BQ67" i="23"/>
  <c r="BQ80" i="23"/>
  <c r="BC77" i="23"/>
  <c r="BC65" i="23"/>
  <c r="DG52" i="24"/>
  <c r="DR32" i="24"/>
  <c r="EM57" i="24"/>
  <c r="EM56" i="24"/>
  <c r="EB54" i="24"/>
  <c r="DG57" i="24"/>
  <c r="DG56" i="24"/>
  <c r="CV54" i="24"/>
  <c r="EO32" i="24"/>
  <c r="DU39" i="24"/>
  <c r="DU40" i="24"/>
  <c r="DU37" i="24"/>
  <c r="DJ18" i="24"/>
  <c r="CS57" i="24"/>
  <c r="CS56" i="24"/>
  <c r="CH54" i="24"/>
  <c r="DT57" i="24"/>
  <c r="DT56" i="24"/>
  <c r="DI54" i="24"/>
  <c r="DD57" i="24"/>
  <c r="DD56" i="24"/>
  <c r="CS54" i="24"/>
  <c r="EN32" i="24"/>
  <c r="EK57" i="24"/>
  <c r="EK56" i="24"/>
  <c r="DZ54" i="24"/>
  <c r="ER40" i="24"/>
  <c r="ER39" i="24"/>
  <c r="ER37" i="24"/>
  <c r="EG18" i="24"/>
  <c r="EB40" i="24"/>
  <c r="EB39" i="24"/>
  <c r="DQ18" i="24"/>
  <c r="EB37" i="24"/>
  <c r="DS39" i="24"/>
  <c r="DS40" i="24"/>
  <c r="DS37" i="24"/>
  <c r="DH18" i="24"/>
  <c r="CW40" i="24"/>
  <c r="CW39" i="24"/>
  <c r="CU37" i="24"/>
  <c r="CW37" i="24"/>
  <c r="CL18" i="24"/>
  <c r="CV37" i="24"/>
  <c r="BS54" i="24"/>
  <c r="CD57" i="24"/>
  <c r="CD56" i="24"/>
  <c r="DX52" i="24"/>
  <c r="EI32" i="24"/>
  <c r="DH52" i="24"/>
  <c r="DS32" i="24"/>
  <c r="CR52" i="24"/>
  <c r="DC32" i="24"/>
  <c r="EH56" i="24"/>
  <c r="EH57" i="24"/>
  <c r="DW54" i="24"/>
  <c r="DR56" i="24"/>
  <c r="DR57" i="24"/>
  <c r="DG54" i="24"/>
  <c r="DB56" i="24"/>
  <c r="DB57" i="24"/>
  <c r="CQ54" i="24"/>
  <c r="DY55" i="24"/>
  <c r="EA40" i="24"/>
  <c r="CR57" i="24"/>
  <c r="CB57" i="24"/>
  <c r="EM55" i="24"/>
  <c r="DW55" i="24"/>
  <c r="CQ56" i="24"/>
  <c r="CM57" i="24"/>
  <c r="CA56" i="24"/>
  <c r="BW57" i="24"/>
  <c r="ED55" i="24"/>
  <c r="DN55" i="24"/>
  <c r="CH57" i="24"/>
  <c r="CP57" i="24"/>
  <c r="BZ57" i="24"/>
  <c r="EK55" i="24"/>
  <c r="DQ55" i="24"/>
  <c r="BY56" i="24"/>
  <c r="BU57" i="24"/>
  <c r="CR39" i="24"/>
  <c r="EF55" i="24"/>
  <c r="DP55" i="24"/>
  <c r="DZ40" i="24"/>
  <c r="DA40" i="24"/>
  <c r="DX40" i="24"/>
  <c r="DX39" i="24"/>
  <c r="DM18" i="24"/>
  <c r="DX37" i="24"/>
  <c r="DP40" i="24"/>
  <c r="DP39" i="24"/>
  <c r="DP37" i="24"/>
  <c r="DE18" i="24"/>
  <c r="DH40" i="24"/>
  <c r="DH39" i="24"/>
  <c r="CW18" i="24"/>
  <c r="DH37" i="24"/>
  <c r="CT39" i="24"/>
  <c r="CT37" i="24"/>
  <c r="CT40" i="24"/>
  <c r="CI18" i="24"/>
  <c r="DM32" i="24"/>
  <c r="EI39" i="24"/>
  <c r="EI37" i="24"/>
  <c r="DX18" i="24"/>
  <c r="EI40" i="24"/>
  <c r="DN37" i="24"/>
  <c r="DN39" i="24"/>
  <c r="DN40" i="24"/>
  <c r="DC18" i="24"/>
  <c r="DE39" i="24"/>
  <c r="DE40" i="24"/>
  <c r="DE37" i="24"/>
  <c r="DD37" i="24"/>
  <c r="CT18" i="24"/>
  <c r="CI54" i="24"/>
  <c r="CT57" i="24"/>
  <c r="CT56" i="24"/>
  <c r="DS52" i="24"/>
  <c r="ED32" i="24"/>
  <c r="DC52" i="24"/>
  <c r="DN32" i="24"/>
  <c r="EC56" i="24"/>
  <c r="DM56" i="24"/>
  <c r="CW56" i="24"/>
  <c r="DK39" i="24"/>
  <c r="DX32" i="24"/>
  <c r="CU57" i="24"/>
  <c r="CU56" i="24"/>
  <c r="CJ54" i="24"/>
  <c r="DQ40" i="24"/>
  <c r="DQ39" i="24"/>
  <c r="DF18" i="24"/>
  <c r="DQ37" i="24"/>
  <c r="EH37" i="24"/>
  <c r="EH40" i="24"/>
  <c r="EH39" i="24"/>
  <c r="EG37" i="24"/>
  <c r="DW18" i="24"/>
  <c r="DY37" i="24"/>
  <c r="DI39" i="24"/>
  <c r="DI40" i="24"/>
  <c r="DI37" i="24"/>
  <c r="CX18" i="24"/>
  <c r="CS39" i="24"/>
  <c r="CS37" i="24"/>
  <c r="CR37" i="24"/>
  <c r="CQ37" i="24"/>
  <c r="CS40" i="24"/>
  <c r="CH18" i="24"/>
  <c r="ER57" i="24"/>
  <c r="ER56" i="24"/>
  <c r="EG54" i="24"/>
  <c r="EN57" i="24"/>
  <c r="EN56" i="24"/>
  <c r="EC54" i="24"/>
  <c r="EJ57" i="24"/>
  <c r="EJ56" i="24"/>
  <c r="DY54" i="24"/>
  <c r="EF57" i="24"/>
  <c r="EF56" i="24"/>
  <c r="DU54" i="24"/>
  <c r="EB57" i="24"/>
  <c r="EB56" i="24"/>
  <c r="DQ54" i="24"/>
  <c r="DX57" i="24"/>
  <c r="DX56" i="24"/>
  <c r="DM54" i="24"/>
  <c r="DH57" i="24"/>
  <c r="DH56" i="24"/>
  <c r="CW54" i="24"/>
  <c r="CN52" i="24"/>
  <c r="CY32" i="24"/>
  <c r="DF37" i="24"/>
  <c r="CL39" i="24"/>
  <c r="CL40" i="24"/>
  <c r="CO40" i="24"/>
  <c r="CI39" i="24"/>
  <c r="CP40" i="24"/>
  <c r="DQ32" i="24"/>
  <c r="CR26" i="24"/>
  <c r="CW45" i="24"/>
  <c r="EJ40" i="24"/>
  <c r="EJ39" i="24"/>
  <c r="EJ37" i="24"/>
  <c r="DY18" i="24"/>
  <c r="DG40" i="24"/>
  <c r="DG39" i="24"/>
  <c r="CV18" i="24"/>
  <c r="DG37" i="24"/>
  <c r="DT52" i="24"/>
  <c r="EE32" i="24"/>
  <c r="DD52" i="24"/>
  <c r="DO32" i="24"/>
  <c r="CM52" i="24"/>
  <c r="CX32" i="24"/>
  <c r="EL57" i="24"/>
  <c r="EA54" i="24"/>
  <c r="EL56" i="24"/>
  <c r="DV57" i="24"/>
  <c r="DK54" i="24"/>
  <c r="DV56" i="24"/>
  <c r="DF57" i="24"/>
  <c r="CU54" i="24"/>
  <c r="DF56" i="24"/>
  <c r="CO32" i="24"/>
  <c r="DL32" i="24"/>
  <c r="EI57" i="24"/>
  <c r="EI56" i="24"/>
  <c r="DX54" i="24"/>
  <c r="DK57" i="24"/>
  <c r="DK56" i="24"/>
  <c r="CZ54" i="24"/>
  <c r="DC57" i="24"/>
  <c r="DC56" i="24"/>
  <c r="CR54" i="24"/>
  <c r="DV40" i="24"/>
  <c r="DV37" i="24"/>
  <c r="DV39" i="24"/>
  <c r="DK18" i="24"/>
  <c r="EE39" i="24"/>
  <c r="EE40" i="24"/>
  <c r="EE37" i="24"/>
  <c r="DT18" i="24"/>
  <c r="DO57" i="24"/>
  <c r="DO56" i="24"/>
  <c r="DD54" i="24"/>
  <c r="CJ56" i="24"/>
  <c r="EI55" i="24"/>
  <c r="CQ57" i="24"/>
  <c r="DZ55" i="24"/>
  <c r="DJ55" i="24"/>
  <c r="CH56" i="24"/>
  <c r="EG55" i="24"/>
  <c r="DM55" i="24"/>
  <c r="BY57" i="24"/>
  <c r="CR40" i="24"/>
  <c r="EO55" i="24"/>
  <c r="EB55" i="24"/>
  <c r="DL55" i="24"/>
  <c r="DZ37" i="24"/>
  <c r="DT37" i="24"/>
  <c r="CU39" i="24"/>
  <c r="DT39" i="24"/>
  <c r="EE52" i="24"/>
  <c r="EP32" i="24"/>
  <c r="DO52" i="24"/>
  <c r="DZ32" i="24"/>
  <c r="CY52" i="24"/>
  <c r="DJ32" i="24"/>
  <c r="CL52" i="24"/>
  <c r="CW32" i="24"/>
  <c r="EG56" i="24"/>
  <c r="EC57" i="24"/>
  <c r="DQ56" i="24"/>
  <c r="DM57" i="24"/>
  <c r="DA56" i="24"/>
  <c r="CW57" i="24"/>
  <c r="CK37" i="24"/>
  <c r="DB40" i="24"/>
  <c r="CX37" i="24"/>
  <c r="DI32" i="24"/>
  <c r="EP39" i="24"/>
  <c r="EP37" i="24"/>
  <c r="EP40" i="24"/>
  <c r="EE18" i="24"/>
  <c r="DY40" i="24"/>
  <c r="CO52" i="24"/>
  <c r="CZ32" i="24"/>
  <c r="DL57" i="24"/>
  <c r="DL56" i="24"/>
  <c r="DA54" i="24"/>
  <c r="CV57" i="24"/>
  <c r="CV56" i="24"/>
  <c r="CK54" i="24"/>
  <c r="ER32" i="24"/>
  <c r="DF40" i="24"/>
  <c r="CI37" i="24"/>
  <c r="CJ37" i="24"/>
  <c r="CK39" i="24"/>
  <c r="CH39" i="24"/>
  <c r="CH37" i="24"/>
  <c r="CO39" i="24"/>
  <c r="CJ40" i="24"/>
  <c r="DW40" i="24"/>
  <c r="DL18" i="24"/>
  <c r="DW39" i="24"/>
  <c r="DW37" i="24"/>
  <c r="EF52" i="24"/>
  <c r="EQ58" i="24" s="1"/>
  <c r="EQ32" i="24"/>
  <c r="DP52" i="24"/>
  <c r="EA32" i="24"/>
  <c r="CZ52" i="24"/>
  <c r="DK32" i="24"/>
  <c r="EE54" i="24"/>
  <c r="EP57" i="24"/>
  <c r="EP56" i="24"/>
  <c r="DO54" i="24"/>
  <c r="DZ57" i="24"/>
  <c r="DZ56" i="24"/>
  <c r="CY54" i="24"/>
  <c r="DJ57" i="24"/>
  <c r="DJ56" i="24"/>
  <c r="EA37" i="24"/>
  <c r="DA32" i="24"/>
  <c r="EK39" i="24"/>
  <c r="EK40" i="24"/>
  <c r="EK37" i="24"/>
  <c r="DZ18" i="24"/>
  <c r="EO39" i="24"/>
  <c r="EO37" i="24"/>
  <c r="EO40" i="24"/>
  <c r="ED18" i="24"/>
  <c r="DW52" i="24"/>
  <c r="EH32" i="24"/>
  <c r="DK37" i="24"/>
  <c r="EA57" i="24"/>
  <c r="EA56" i="24"/>
  <c r="DP54" i="24"/>
  <c r="CN56" i="24"/>
  <c r="CJ57" i="24"/>
  <c r="DO55" i="24"/>
  <c r="CI56" i="24"/>
  <c r="DF55" i="24"/>
  <c r="CP56" i="24"/>
  <c r="CL57" i="24"/>
  <c r="BZ56" i="24"/>
  <c r="BV57" i="24"/>
  <c r="DI55" i="24"/>
  <c r="CI58" i="24"/>
  <c r="CV39" i="24"/>
  <c r="DK55" i="24"/>
  <c r="DZ39" i="24"/>
  <c r="CQ39" i="24"/>
  <c r="EC40" i="24"/>
  <c r="EC39" i="24"/>
  <c r="EC37" i="24"/>
  <c r="DR18" i="24"/>
  <c r="CU40" i="24"/>
  <c r="DT40" i="24"/>
  <c r="DL40" i="24"/>
  <c r="DL39" i="24"/>
  <c r="DA18" i="24"/>
  <c r="DL37" i="24"/>
  <c r="CO57" i="24"/>
  <c r="CO56" i="24"/>
  <c r="CD54" i="24"/>
  <c r="EL40" i="24"/>
  <c r="EL37" i="24"/>
  <c r="EL39" i="24"/>
  <c r="EA18" i="24"/>
  <c r="EM40" i="24"/>
  <c r="EM39" i="24"/>
  <c r="EB18" i="24"/>
  <c r="EM37" i="24"/>
  <c r="DR37" i="24"/>
  <c r="DR40" i="24"/>
  <c r="DR39" i="24"/>
  <c r="DG18" i="24"/>
  <c r="DJ39" i="24"/>
  <c r="DJ37" i="24"/>
  <c r="DJ40" i="24"/>
  <c r="CY18" i="24"/>
  <c r="CC57" i="24"/>
  <c r="CC56" i="24"/>
  <c r="BR54" i="24"/>
  <c r="EA52" i="24"/>
  <c r="EL32" i="24"/>
  <c r="EK32" i="24"/>
  <c r="DK52" i="24"/>
  <c r="DV32" i="24"/>
  <c r="DU32" i="24"/>
  <c r="CU52" i="24"/>
  <c r="DF32" i="24"/>
  <c r="DE32" i="24"/>
  <c r="EO56" i="24"/>
  <c r="EG57" i="24"/>
  <c r="DU56" i="24"/>
  <c r="DQ57" i="24"/>
  <c r="DE56" i="24"/>
  <c r="DA57" i="24"/>
  <c r="EF32" i="24"/>
  <c r="DP32" i="24"/>
  <c r="CM32" i="24"/>
  <c r="CN32" i="24"/>
  <c r="EG39" i="24"/>
  <c r="DB37" i="24"/>
  <c r="CS32" i="24"/>
  <c r="ED37" i="24"/>
  <c r="ED39" i="24"/>
  <c r="ED40" i="24"/>
  <c r="DS18" i="24"/>
  <c r="DY39" i="24"/>
  <c r="DM40" i="24"/>
  <c r="DM39" i="24"/>
  <c r="DM37" i="24"/>
  <c r="DB18" i="24"/>
  <c r="DC39" i="24"/>
  <c r="DC40" i="24"/>
  <c r="DC37" i="24"/>
  <c r="CR18" i="24"/>
  <c r="DA37" i="24"/>
  <c r="BT56" i="24"/>
  <c r="CK52" i="24"/>
  <c r="CV32" i="24"/>
  <c r="DP57" i="24"/>
  <c r="DP56" i="24"/>
  <c r="DE54" i="24"/>
  <c r="CZ57" i="24"/>
  <c r="CZ56" i="24"/>
  <c r="CO54" i="24"/>
  <c r="ER58" i="24"/>
  <c r="DH32" i="24"/>
  <c r="EQ57" i="24"/>
  <c r="EQ56" i="24"/>
  <c r="EF54" i="24"/>
  <c r="EE57" i="24"/>
  <c r="EE56" i="24"/>
  <c r="DT54" i="24"/>
  <c r="DW57" i="24"/>
  <c r="DW56" i="24"/>
  <c r="DL54" i="24"/>
  <c r="DS57" i="24"/>
  <c r="DS56" i="24"/>
  <c r="DH54" i="24"/>
  <c r="CY57" i="24"/>
  <c r="CY56" i="24"/>
  <c r="CN54" i="24"/>
  <c r="EQ40" i="24"/>
  <c r="EQ39" i="24"/>
  <c r="EQ37" i="24"/>
  <c r="EF18" i="24"/>
  <c r="CN37" i="24"/>
  <c r="CO37" i="24"/>
  <c r="CP39" i="24"/>
  <c r="CM39" i="24"/>
  <c r="CL37" i="24"/>
  <c r="CJ39" i="24"/>
  <c r="CN40" i="24"/>
  <c r="EN40" i="24"/>
  <c r="EN39" i="24"/>
  <c r="EC18" i="24"/>
  <c r="EN37" i="24"/>
  <c r="EF40" i="24"/>
  <c r="EF39" i="24"/>
  <c r="EF37" i="24"/>
  <c r="DU18" i="24"/>
  <c r="DO39" i="24"/>
  <c r="DO40" i="24"/>
  <c r="DO37" i="24"/>
  <c r="DD18" i="24"/>
  <c r="EB52" i="24"/>
  <c r="EM32" i="24"/>
  <c r="DL52" i="24"/>
  <c r="DW32" i="24"/>
  <c r="CV52" i="24"/>
  <c r="DG32" i="24"/>
  <c r="ED56" i="24"/>
  <c r="DS54" i="24"/>
  <c r="ED57" i="24"/>
  <c r="DN56" i="24"/>
  <c r="DC54" i="24"/>
  <c r="DN57" i="24"/>
  <c r="CX56" i="24"/>
  <c r="CM54" i="24"/>
  <c r="CX57" i="24"/>
  <c r="EA39" i="24"/>
  <c r="EB32" i="24"/>
  <c r="CJ52" i="24"/>
  <c r="CU32" i="24"/>
  <c r="CK32" i="24"/>
  <c r="AM65" i="25"/>
  <c r="AU65" i="25"/>
  <c r="AH64" i="25"/>
  <c r="AS65" i="25"/>
  <c r="BI65" i="25"/>
  <c r="BP44" i="25"/>
  <c r="BH44" i="25"/>
  <c r="AZ44" i="25"/>
  <c r="BE23" i="25"/>
  <c r="AS44" i="25"/>
  <c r="BL23" i="25"/>
  <c r="BK23" i="25"/>
  <c r="BN23" i="25"/>
  <c r="AP65" i="25"/>
  <c r="AK64" i="25"/>
  <c r="AW65" i="25"/>
  <c r="BD64" i="25"/>
  <c r="AV64" i="25"/>
  <c r="AK44" i="25"/>
  <c r="AG44" i="25"/>
  <c r="AX44" i="25"/>
  <c r="AL44" i="25"/>
  <c r="BE44" i="25"/>
  <c r="AN44" i="25"/>
  <c r="BA23" i="25"/>
  <c r="AK23" i="25"/>
  <c r="AQ23" i="25"/>
  <c r="BH23" i="25"/>
  <c r="AR23" i="25"/>
  <c r="BC23" i="25"/>
  <c r="BI44" i="25"/>
  <c r="BJ23" i="25"/>
  <c r="BN65" i="25"/>
  <c r="AH65" i="25"/>
  <c r="BD65" i="25"/>
  <c r="AV65" i="25"/>
  <c r="AN65" i="25"/>
  <c r="AF65" i="25"/>
  <c r="AO65" i="25"/>
  <c r="BO65" i="25"/>
  <c r="BG65" i="25"/>
  <c r="AQ65" i="25"/>
  <c r="BJ65" i="25"/>
  <c r="BK44" i="25"/>
  <c r="BC44" i="25"/>
  <c r="AU44" i="25"/>
  <c r="AM44" i="25"/>
  <c r="AE44" i="25"/>
  <c r="AD65" i="25"/>
  <c r="AL65" i="25"/>
  <c r="AD64" i="25"/>
  <c r="AK65" i="25"/>
  <c r="BJ44" i="25"/>
  <c r="AT44" i="25"/>
  <c r="AO44" i="25"/>
  <c r="BL44" i="25"/>
  <c r="BD44" i="25"/>
  <c r="AJ44" i="25"/>
  <c r="BM23" i="25"/>
  <c r="AW23" i="25"/>
  <c r="AG23" i="25"/>
  <c r="BO23" i="25"/>
  <c r="AI23" i="25"/>
  <c r="AN23" i="25"/>
  <c r="AU23" i="25"/>
  <c r="BF23" i="25"/>
  <c r="AL23" i="25"/>
  <c r="BF65" i="25"/>
  <c r="AG65" i="25"/>
  <c r="AZ64" i="25"/>
  <c r="BA65" i="25"/>
  <c r="BM44" i="25"/>
  <c r="AE43" i="25"/>
  <c r="AZ22" i="25"/>
  <c r="AR44" i="25"/>
  <c r="AS23" i="25"/>
  <c r="AH23" i="25"/>
  <c r="BP23" i="25"/>
  <c r="AZ23" i="25"/>
  <c r="AJ23" i="25"/>
  <c r="AM23" i="25"/>
  <c r="AP23" i="25"/>
  <c r="CB73" i="23" l="1"/>
  <c r="CB80" i="23"/>
  <c r="CD74" i="23"/>
  <c r="EF58" i="24"/>
  <c r="CH68" i="23"/>
  <c r="CF68" i="23"/>
  <c r="CB68" i="23"/>
  <c r="CB78" i="23"/>
  <c r="CD78" i="23"/>
  <c r="CI68" i="23"/>
  <c r="CD68" i="23"/>
  <c r="CG68" i="23"/>
  <c r="CI78" i="23"/>
  <c r="CJ81" i="23"/>
  <c r="CO58" i="24"/>
  <c r="CB81" i="23"/>
  <c r="CB70" i="23"/>
  <c r="CC68" i="23"/>
  <c r="CJ66" i="23"/>
  <c r="CG66" i="23"/>
  <c r="CE78" i="23"/>
  <c r="CE74" i="23"/>
  <c r="CE81" i="23"/>
  <c r="CE68" i="23"/>
  <c r="CH74" i="23"/>
  <c r="CD81" i="23"/>
  <c r="CC78" i="23"/>
  <c r="CJ71" i="23"/>
  <c r="CI81" i="23"/>
  <c r="CF81" i="23"/>
  <c r="CA77" i="23"/>
  <c r="CD66" i="23"/>
  <c r="CD71" i="23"/>
  <c r="CJ68" i="23"/>
  <c r="CH71" i="23"/>
  <c r="CG78" i="23"/>
  <c r="CE66" i="23"/>
  <c r="CF71" i="23"/>
  <c r="EM58" i="24"/>
  <c r="CB67" i="23"/>
  <c r="CC66" i="23"/>
  <c r="CG74" i="23"/>
  <c r="CJ74" i="23"/>
  <c r="CB74" i="23"/>
  <c r="CD73" i="23"/>
  <c r="CJ78" i="23"/>
  <c r="CB71" i="23"/>
  <c r="CD67" i="23"/>
  <c r="CH81" i="23"/>
  <c r="BX80" i="23"/>
  <c r="BX73" i="23"/>
  <c r="BR70" i="23"/>
  <c r="CC71" i="23"/>
  <c r="BR73" i="23"/>
  <c r="CF78" i="23"/>
  <c r="CZ58" i="24"/>
  <c r="DP58" i="24"/>
  <c r="DH58" i="24"/>
  <c r="EL58" i="24"/>
  <c r="EK58" i="24"/>
  <c r="DX58" i="24"/>
  <c r="CX58" i="24"/>
  <c r="DN58" i="24"/>
  <c r="DM58" i="24"/>
  <c r="DC58" i="24"/>
  <c r="DA58" i="24"/>
  <c r="EI58" i="24"/>
  <c r="CU58" i="24"/>
  <c r="CS58" i="24"/>
  <c r="CT58" i="24"/>
  <c r="DW58" i="24"/>
  <c r="DV58" i="24"/>
  <c r="DU58" i="24"/>
  <c r="CJ58" i="24"/>
  <c r="EJ58" i="24"/>
  <c r="CW58" i="24"/>
  <c r="DZ58" i="24"/>
  <c r="DY58" i="24"/>
  <c r="CM58" i="24"/>
  <c r="CN58" i="24"/>
  <c r="CR58" i="24"/>
  <c r="EA58" i="24"/>
  <c r="DF58" i="24"/>
  <c r="DE58" i="24"/>
  <c r="DL58" i="24"/>
  <c r="DK58" i="24"/>
  <c r="EN58" i="24"/>
  <c r="DO58" i="24"/>
  <c r="DB58" i="24"/>
  <c r="ED58" i="24"/>
  <c r="EC58" i="24"/>
  <c r="CP58" i="24"/>
  <c r="DS58" i="24"/>
  <c r="EH58" i="24"/>
  <c r="EG58" i="24"/>
  <c r="EE58" i="24"/>
  <c r="DG58" i="24"/>
  <c r="CV58" i="24"/>
  <c r="CK58" i="24"/>
  <c r="DT58" i="24"/>
  <c r="DD58" i="24"/>
  <c r="DJ58" i="24"/>
  <c r="DI58" i="24"/>
  <c r="EP58" i="24"/>
  <c r="EO58" i="24"/>
  <c r="CL58" i="24"/>
  <c r="CY58" i="24"/>
  <c r="EB58" i="24"/>
  <c r="CQ58" i="24"/>
  <c r="DR58" i="24"/>
  <c r="DQ58" i="24"/>
  <c r="T9" i="28" l="1"/>
  <c r="R10" i="28"/>
  <c r="T10" i="28"/>
  <c r="S10" i="28"/>
  <c r="T7" i="28"/>
  <c r="S7" i="28"/>
  <c r="T8" i="28"/>
  <c r="S8" i="28"/>
  <c r="Q10" i="28"/>
  <c r="S9" i="28"/>
  <c r="R8" i="28"/>
  <c r="Q8" i="28"/>
  <c r="R7" i="28"/>
  <c r="Q7" i="28"/>
  <c r="R9" i="28"/>
  <c r="Q9" i="28"/>
  <c r="D2" i="26" l="1"/>
  <c r="D3" i="26"/>
  <c r="D4" i="26"/>
  <c r="D5" i="26"/>
  <c r="D6" i="26"/>
  <c r="D7" i="26"/>
  <c r="D8" i="26"/>
  <c r="D9" i="26"/>
  <c r="D10" i="26"/>
  <c r="D11" i="26"/>
  <c r="D12" i="26"/>
  <c r="D13" i="26"/>
  <c r="D14" i="26"/>
  <c r="E14" i="26"/>
  <c r="E13" i="26"/>
  <c r="E12" i="26"/>
  <c r="E11" i="26"/>
  <c r="E10" i="26"/>
  <c r="Q3" i="28"/>
  <c r="T4" i="26" l="1" a="1"/>
  <c r="T4" i="26" s="1"/>
  <c r="T3" i="26" a="1"/>
  <c r="T3" i="26" s="1"/>
  <c r="T2" i="26" a="1"/>
  <c r="T2" i="26" s="1"/>
  <c r="E2" i="26"/>
  <c r="E3" i="26" l="1"/>
  <c r="E4" i="26"/>
  <c r="E5" i="26"/>
  <c r="E6" i="26"/>
  <c r="E7" i="26"/>
  <c r="E8" i="26"/>
  <c r="E9" i="26"/>
  <c r="D23" i="15" l="1"/>
  <c r="Q8" i="20" l="1"/>
  <c r="CP142" i="23" l="1"/>
  <c r="CM22" i="23"/>
  <c r="CQ22" i="23" s="1"/>
  <c r="CO22" i="23"/>
  <c r="CM23" i="23"/>
  <c r="CQ23" i="23" s="1"/>
  <c r="CO23" i="23"/>
  <c r="CM24" i="23"/>
  <c r="CO24" i="23"/>
  <c r="CM25" i="23"/>
  <c r="CO25" i="23"/>
  <c r="CM26" i="23"/>
  <c r="CO26" i="23"/>
  <c r="CM27" i="23"/>
  <c r="CO27" i="23"/>
  <c r="CM28" i="23"/>
  <c r="CO28" i="23"/>
  <c r="CM29" i="23"/>
  <c r="CO29" i="23"/>
  <c r="CM30" i="23"/>
  <c r="CO30" i="23"/>
  <c r="CM31" i="23"/>
  <c r="CO31" i="23"/>
  <c r="CM32" i="23"/>
  <c r="CO32" i="23"/>
  <c r="CM33" i="23"/>
  <c r="CQ33" i="23" s="1"/>
  <c r="CO33" i="23"/>
  <c r="CM34" i="23"/>
  <c r="CQ34" i="23" s="1"/>
  <c r="CO34" i="23"/>
  <c r="CM35" i="23"/>
  <c r="CR35" i="23" s="1"/>
  <c r="CO35" i="23"/>
  <c r="CM36" i="23"/>
  <c r="CQ36" i="23" s="1"/>
  <c r="CO36" i="23"/>
  <c r="CM37" i="23"/>
  <c r="CO37" i="23"/>
  <c r="CM38" i="23"/>
  <c r="CQ38" i="23" s="1"/>
  <c r="CO38" i="23"/>
  <c r="CM39" i="23"/>
  <c r="CO39" i="23"/>
  <c r="CM40" i="23"/>
  <c r="CO40" i="23"/>
  <c r="CM41" i="23"/>
  <c r="CO41" i="23"/>
  <c r="CM42" i="23"/>
  <c r="CQ42" i="23" s="1"/>
  <c r="CO42" i="23"/>
  <c r="CM43" i="23"/>
  <c r="CO43" i="23"/>
  <c r="CM44" i="23"/>
  <c r="CR44" i="23" s="1"/>
  <c r="CO44" i="23"/>
  <c r="CM45" i="23"/>
  <c r="CO45" i="23"/>
  <c r="CM46" i="23"/>
  <c r="CO46" i="23"/>
  <c r="CM47" i="23"/>
  <c r="CQ47" i="23" s="1"/>
  <c r="CO47" i="23"/>
  <c r="CM48" i="23"/>
  <c r="CR48" i="23" s="1"/>
  <c r="CO48" i="23"/>
  <c r="CM49" i="23"/>
  <c r="CQ49" i="23" s="1"/>
  <c r="CO49" i="23"/>
  <c r="CM50" i="23"/>
  <c r="CO50" i="23"/>
  <c r="CM51" i="23"/>
  <c r="CO51" i="23"/>
  <c r="CM52" i="23"/>
  <c r="CO52" i="23"/>
  <c r="CM53" i="23"/>
  <c r="CQ53" i="23" s="1"/>
  <c r="CO53" i="23"/>
  <c r="CM54" i="23"/>
  <c r="CQ54" i="23" s="1"/>
  <c r="CO54" i="23"/>
  <c r="CM55" i="23"/>
  <c r="CQ55" i="23" s="1"/>
  <c r="CO55" i="23"/>
  <c r="CM56" i="23"/>
  <c r="CQ56" i="23" s="1"/>
  <c r="CO56" i="23"/>
  <c r="CM57" i="23"/>
  <c r="CQ57" i="23" s="1"/>
  <c r="CO57" i="23"/>
  <c r="CM58" i="23"/>
  <c r="CO58" i="23"/>
  <c r="CM59" i="23"/>
  <c r="CQ59" i="23" s="1"/>
  <c r="CO59" i="23"/>
  <c r="CM60" i="23"/>
  <c r="CQ60" i="23" s="1"/>
  <c r="CO60" i="23"/>
  <c r="CM61" i="23"/>
  <c r="CQ61" i="23" s="1"/>
  <c r="CO61" i="23"/>
  <c r="CM62" i="23"/>
  <c r="CO62" i="23"/>
  <c r="CM63" i="23"/>
  <c r="CO63" i="23"/>
  <c r="CM64" i="23"/>
  <c r="CR64" i="23" s="1"/>
  <c r="CO64" i="23"/>
  <c r="CM65" i="23"/>
  <c r="CR65" i="23" s="1"/>
  <c r="CO65" i="23"/>
  <c r="CM66" i="23"/>
  <c r="CR66" i="23" s="1"/>
  <c r="CO66" i="23"/>
  <c r="CM67" i="23"/>
  <c r="CR67" i="23" s="1"/>
  <c r="CO67" i="23"/>
  <c r="CM68" i="23"/>
  <c r="CR68" i="23" s="1"/>
  <c r="CO68" i="23"/>
  <c r="CM69" i="23"/>
  <c r="CR69" i="23" s="1"/>
  <c r="CO69" i="23"/>
  <c r="CM70" i="23"/>
  <c r="CO70" i="23"/>
  <c r="CM71" i="23"/>
  <c r="CR71" i="23" s="1"/>
  <c r="CO71" i="23"/>
  <c r="CM72" i="23"/>
  <c r="CR72" i="23" s="1"/>
  <c r="CO72" i="23"/>
  <c r="CM73" i="23"/>
  <c r="CQ73" i="23" s="1"/>
  <c r="CO73" i="23"/>
  <c r="CM74" i="23"/>
  <c r="CQ74" i="23" s="1"/>
  <c r="CO74" i="23"/>
  <c r="CM75" i="23"/>
  <c r="CQ75" i="23" s="1"/>
  <c r="CO75" i="23"/>
  <c r="CM76" i="23"/>
  <c r="CO76" i="23"/>
  <c r="CM77" i="23"/>
  <c r="CQ77" i="23" s="1"/>
  <c r="CO77" i="23"/>
  <c r="CM78" i="23"/>
  <c r="CQ78" i="23" s="1"/>
  <c r="CO78" i="23"/>
  <c r="CM79" i="23"/>
  <c r="CR79" i="23" s="1"/>
  <c r="CO79" i="23"/>
  <c r="CM80" i="23"/>
  <c r="CR80" i="23" s="1"/>
  <c r="CO80" i="23"/>
  <c r="CM81" i="23"/>
  <c r="CO81" i="23"/>
  <c r="CM82" i="23"/>
  <c r="CQ82" i="23" s="1"/>
  <c r="CO82" i="23"/>
  <c r="CM83" i="23"/>
  <c r="CQ83" i="23" s="1"/>
  <c r="CO83" i="23"/>
  <c r="CM84" i="23"/>
  <c r="CQ84" i="23" s="1"/>
  <c r="CO84" i="23"/>
  <c r="CM85" i="23"/>
  <c r="CO85" i="23"/>
  <c r="CM86" i="23"/>
  <c r="CQ86" i="23" s="1"/>
  <c r="CO86" i="23"/>
  <c r="CM87" i="23"/>
  <c r="CQ87" i="23" s="1"/>
  <c r="CO87" i="23"/>
  <c r="CM88" i="23"/>
  <c r="CQ88" i="23" s="1"/>
  <c r="CO88" i="23"/>
  <c r="CM89" i="23"/>
  <c r="CR89" i="23" s="1"/>
  <c r="CO89" i="23"/>
  <c r="CM90" i="23"/>
  <c r="CQ90" i="23" s="1"/>
  <c r="CO90" i="23"/>
  <c r="CM91" i="23"/>
  <c r="CQ91" i="23" s="1"/>
  <c r="CO91" i="23"/>
  <c r="CM92" i="23"/>
  <c r="CR92" i="23" s="1"/>
  <c r="CO92" i="23"/>
  <c r="CM93" i="23"/>
  <c r="CQ93" i="23" s="1"/>
  <c r="CO93" i="23"/>
  <c r="CM94" i="23"/>
  <c r="CQ94" i="23" s="1"/>
  <c r="CO94" i="23"/>
  <c r="CM95" i="23"/>
  <c r="CO95" i="23"/>
  <c r="CM96" i="23"/>
  <c r="CO96" i="23"/>
  <c r="CM97" i="23"/>
  <c r="CQ97" i="23" s="1"/>
  <c r="CO97" i="23"/>
  <c r="CM98" i="23"/>
  <c r="CO98" i="23"/>
  <c r="CM99" i="23"/>
  <c r="CQ99" i="23" s="1"/>
  <c r="CO99" i="23"/>
  <c r="CM100" i="23"/>
  <c r="CQ100" i="23" s="1"/>
  <c r="CO100" i="23"/>
  <c r="CM101" i="23"/>
  <c r="CQ101" i="23" s="1"/>
  <c r="CO101" i="23"/>
  <c r="CM102" i="23"/>
  <c r="CQ102" i="23" s="1"/>
  <c r="CO102" i="23"/>
  <c r="CM103" i="23"/>
  <c r="CO103" i="23"/>
  <c r="CM104" i="23"/>
  <c r="CO104" i="23"/>
  <c r="CM105" i="23"/>
  <c r="CQ105" i="23" s="1"/>
  <c r="CO105" i="23"/>
  <c r="CM106" i="23"/>
  <c r="CO106" i="23"/>
  <c r="CM107" i="23"/>
  <c r="CQ107" i="23" s="1"/>
  <c r="CO107" i="23"/>
  <c r="CM108" i="23"/>
  <c r="CQ108" i="23" s="1"/>
  <c r="CO108" i="23"/>
  <c r="CM109" i="23"/>
  <c r="CQ109" i="23" s="1"/>
  <c r="CO109" i="23"/>
  <c r="CM110" i="23"/>
  <c r="CQ110" i="23" s="1"/>
  <c r="CO110" i="23"/>
  <c r="CM111" i="23"/>
  <c r="CR111" i="23" s="1"/>
  <c r="CO111" i="23"/>
  <c r="CM112" i="23"/>
  <c r="CO112" i="23"/>
  <c r="CM113" i="23"/>
  <c r="CQ113" i="23" s="1"/>
  <c r="CO113" i="23"/>
  <c r="CM114" i="23"/>
  <c r="CO114" i="23"/>
  <c r="CM115" i="23"/>
  <c r="CQ115" i="23" s="1"/>
  <c r="CO115" i="23"/>
  <c r="CM116" i="23"/>
  <c r="CQ116" i="23" s="1"/>
  <c r="CO116" i="23"/>
  <c r="CM117" i="23"/>
  <c r="CQ117" i="23" s="1"/>
  <c r="CO117" i="23"/>
  <c r="CM118" i="23"/>
  <c r="CQ118" i="23" s="1"/>
  <c r="CO118" i="23"/>
  <c r="CM119" i="23"/>
  <c r="CO119" i="23"/>
  <c r="CM120" i="23"/>
  <c r="CR120" i="23" s="1"/>
  <c r="CO120" i="23"/>
  <c r="CM121" i="23"/>
  <c r="CO121" i="23"/>
  <c r="CM122" i="23"/>
  <c r="CO122" i="23"/>
  <c r="CM123" i="23"/>
  <c r="CQ123" i="23" s="1"/>
  <c r="CO123" i="23"/>
  <c r="CM124" i="23"/>
  <c r="CQ124" i="23" s="1"/>
  <c r="CO124" i="23"/>
  <c r="CM125" i="23"/>
  <c r="CQ125" i="23" s="1"/>
  <c r="CO125" i="23"/>
  <c r="CM126" i="23"/>
  <c r="CQ126" i="23" s="1"/>
  <c r="CO126" i="23"/>
  <c r="CM127" i="23"/>
  <c r="CO127" i="23"/>
  <c r="CM128" i="23"/>
  <c r="CO128" i="23"/>
  <c r="CM129" i="23"/>
  <c r="CO129" i="23"/>
  <c r="CM130" i="23"/>
  <c r="CO130" i="23"/>
  <c r="CM131" i="23"/>
  <c r="CQ131" i="23" s="1"/>
  <c r="CO131" i="23"/>
  <c r="CM132" i="23"/>
  <c r="CQ132" i="23" s="1"/>
  <c r="CO132" i="23"/>
  <c r="CM133" i="23"/>
  <c r="CQ133" i="23" s="1"/>
  <c r="CO133" i="23"/>
  <c r="CM134" i="23"/>
  <c r="CQ134" i="23" s="1"/>
  <c r="CO134" i="23"/>
  <c r="CM135" i="23"/>
  <c r="CO135" i="23"/>
  <c r="CM136" i="23"/>
  <c r="CR136" i="23" s="1"/>
  <c r="CO136" i="23"/>
  <c r="CM137" i="23"/>
  <c r="CO137" i="23"/>
  <c r="CM138" i="23"/>
  <c r="CO138" i="23"/>
  <c r="CM139" i="23"/>
  <c r="CQ139" i="23" s="1"/>
  <c r="CO139" i="23"/>
  <c r="CM140" i="23"/>
  <c r="CQ140" i="23" s="1"/>
  <c r="CO140" i="23"/>
  <c r="CM141" i="23"/>
  <c r="CQ141" i="23" s="1"/>
  <c r="CO141" i="23"/>
  <c r="CM142" i="23"/>
  <c r="CQ142" i="23" s="1"/>
  <c r="CO142" i="23"/>
  <c r="CM143" i="23"/>
  <c r="CO143" i="23"/>
  <c r="CM144" i="23"/>
  <c r="CQ144" i="23" s="1"/>
  <c r="CO144" i="23"/>
  <c r="CM145" i="23"/>
  <c r="CO145" i="23"/>
  <c r="CM146" i="23"/>
  <c r="CO146" i="23"/>
  <c r="CM147" i="23"/>
  <c r="CO147" i="23"/>
  <c r="CM148" i="23"/>
  <c r="CR148" i="23" s="1"/>
  <c r="CO148" i="23"/>
  <c r="CM149" i="23"/>
  <c r="CO149" i="23"/>
  <c r="CM150" i="23"/>
  <c r="CQ150" i="23" s="1"/>
  <c r="CO150" i="23"/>
  <c r="CM151" i="23"/>
  <c r="CR151" i="23" s="1"/>
  <c r="CO151" i="23"/>
  <c r="CM152" i="23"/>
  <c r="CR152" i="23" s="1"/>
  <c r="CO152" i="23"/>
  <c r="CM153" i="23"/>
  <c r="CQ153" i="23" s="1"/>
  <c r="CO153" i="23"/>
  <c r="CM154" i="23"/>
  <c r="CO154" i="23"/>
  <c r="CM155" i="23"/>
  <c r="CO155" i="23"/>
  <c r="CM156" i="23"/>
  <c r="CO156" i="23"/>
  <c r="CM157" i="23"/>
  <c r="CO157" i="23"/>
  <c r="CM158" i="23"/>
  <c r="CQ158" i="23" s="1"/>
  <c r="CO158" i="23"/>
  <c r="CM159" i="23"/>
  <c r="CR159" i="23" s="1"/>
  <c r="CO159" i="23"/>
  <c r="CM160" i="23"/>
  <c r="CR160" i="23" s="1"/>
  <c r="CO160" i="23"/>
  <c r="CM161" i="23"/>
  <c r="CQ161" i="23" s="1"/>
  <c r="CO161" i="23"/>
  <c r="CM162" i="23"/>
  <c r="CO162" i="23"/>
  <c r="CM163" i="23"/>
  <c r="CR163" i="23" s="1"/>
  <c r="CO163" i="23"/>
  <c r="CM164" i="23"/>
  <c r="CO164" i="23"/>
  <c r="CM165" i="23"/>
  <c r="CQ165" i="23" s="1"/>
  <c r="CO165" i="23"/>
  <c r="CM166" i="23"/>
  <c r="CQ166" i="23" s="1"/>
  <c r="CO166" i="23"/>
  <c r="CM167" i="23"/>
  <c r="CQ167" i="23" s="1"/>
  <c r="CO167" i="23"/>
  <c r="CM168" i="23"/>
  <c r="CR168" i="23" s="1"/>
  <c r="CO168" i="23"/>
  <c r="CM169" i="23"/>
  <c r="CO169" i="23"/>
  <c r="CM170" i="23"/>
  <c r="CQ170" i="23" s="1"/>
  <c r="CO170" i="23"/>
  <c r="CM171" i="23"/>
  <c r="CR171" i="23" s="1"/>
  <c r="CO171" i="23"/>
  <c r="CM172" i="23"/>
  <c r="CR172" i="23" s="1"/>
  <c r="CO172" i="23"/>
  <c r="CM173" i="23"/>
  <c r="CQ173" i="23" s="1"/>
  <c r="CO173" i="23"/>
  <c r="CM174" i="23"/>
  <c r="CQ174" i="23" s="1"/>
  <c r="CO174" i="23"/>
  <c r="CM175" i="23"/>
  <c r="CO175" i="23"/>
  <c r="CM176" i="23"/>
  <c r="CO176" i="23"/>
  <c r="CM177" i="23"/>
  <c r="CO177" i="23"/>
  <c r="CM178" i="23"/>
  <c r="CQ178" i="23" s="1"/>
  <c r="CO178" i="23"/>
  <c r="CM179" i="23"/>
  <c r="CR179" i="23" s="1"/>
  <c r="CO179" i="23"/>
  <c r="CM180" i="23"/>
  <c r="CR180" i="23" s="1"/>
  <c r="CO180" i="23"/>
  <c r="CM181" i="23"/>
  <c r="CQ181" i="23" s="1"/>
  <c r="CO181" i="23"/>
  <c r="CM182" i="23"/>
  <c r="CO182" i="23"/>
  <c r="CM183" i="23"/>
  <c r="CO183" i="23"/>
  <c r="CM184" i="23"/>
  <c r="CO184" i="23"/>
  <c r="CM185" i="23"/>
  <c r="CQ185" i="23" s="1"/>
  <c r="CO185" i="23"/>
  <c r="CM186" i="23"/>
  <c r="CQ186" i="23" s="1"/>
  <c r="CO186" i="23"/>
  <c r="CM187" i="23"/>
  <c r="CR187" i="23" s="1"/>
  <c r="CO187" i="23"/>
  <c r="CM188" i="23"/>
  <c r="CR188" i="23" s="1"/>
  <c r="CO188" i="23"/>
  <c r="CM189" i="23"/>
  <c r="CQ189" i="23" s="1"/>
  <c r="CO189" i="23"/>
  <c r="CM190" i="23"/>
  <c r="CQ190" i="23" s="1"/>
  <c r="CO190" i="23"/>
  <c r="CM191" i="23"/>
  <c r="CQ191" i="23" s="1"/>
  <c r="CO191" i="23"/>
  <c r="CM192" i="23"/>
  <c r="CR192" i="23" s="1"/>
  <c r="CO192" i="23"/>
  <c r="CM193" i="23"/>
  <c r="CQ193" i="23" s="1"/>
  <c r="CO193" i="23"/>
  <c r="CM194" i="23"/>
  <c r="CO194" i="23"/>
  <c r="CM195" i="23"/>
  <c r="CO195" i="23"/>
  <c r="CM196" i="23"/>
  <c r="CO196" i="23"/>
  <c r="CM197" i="23"/>
  <c r="CO197" i="23"/>
  <c r="CM198" i="23"/>
  <c r="CQ198" i="23" s="1"/>
  <c r="CO198" i="23"/>
  <c r="CM199" i="23"/>
  <c r="CR199" i="23" s="1"/>
  <c r="CO199" i="23"/>
  <c r="CM200" i="23"/>
  <c r="CR200" i="23" s="1"/>
  <c r="CO200" i="23"/>
  <c r="CM201" i="23"/>
  <c r="CQ201" i="23" s="1"/>
  <c r="CO201" i="23"/>
  <c r="CM202" i="23"/>
  <c r="CO202" i="23"/>
  <c r="CM203" i="23"/>
  <c r="CO203" i="23"/>
  <c r="CM204" i="23"/>
  <c r="CR204" i="23" s="1"/>
  <c r="CO204" i="23"/>
  <c r="CM205" i="23"/>
  <c r="CO205" i="23"/>
  <c r="CM206" i="23"/>
  <c r="CQ206" i="23" s="1"/>
  <c r="CO206" i="23"/>
  <c r="CM207" i="23"/>
  <c r="CR207" i="23" s="1"/>
  <c r="CO207" i="23"/>
  <c r="CM208" i="23"/>
  <c r="CR208" i="23" s="1"/>
  <c r="CO208" i="23"/>
  <c r="CM209" i="23"/>
  <c r="CQ209" i="23" s="1"/>
  <c r="CO209" i="23"/>
  <c r="CM210" i="23"/>
  <c r="CO210" i="23"/>
  <c r="CM211" i="23"/>
  <c r="CR211" i="23" s="1"/>
  <c r="CO211" i="23"/>
  <c r="CM212" i="23"/>
  <c r="CO212" i="23"/>
  <c r="CM213" i="23"/>
  <c r="CQ213" i="23" s="1"/>
  <c r="CO213" i="23"/>
  <c r="CM214" i="23"/>
  <c r="CQ214" i="23" s="1"/>
  <c r="CO214" i="23"/>
  <c r="CM215" i="23"/>
  <c r="CR215" i="23" s="1"/>
  <c r="CO215" i="23"/>
  <c r="CM216" i="23"/>
  <c r="CQ216" i="23" s="1"/>
  <c r="CO216" i="23"/>
  <c r="CM217" i="23"/>
  <c r="CO217" i="23"/>
  <c r="CM218" i="23"/>
  <c r="CQ218" i="23" s="1"/>
  <c r="CO218" i="23"/>
  <c r="CM219" i="23"/>
  <c r="CR219" i="23" s="1"/>
  <c r="CO219" i="23"/>
  <c r="CM220" i="23"/>
  <c r="CR220" i="23" s="1"/>
  <c r="CO220" i="23"/>
  <c r="CM221" i="23"/>
  <c r="CQ221" i="23" s="1"/>
  <c r="CO221" i="23"/>
  <c r="CM222" i="23"/>
  <c r="CQ222" i="23" s="1"/>
  <c r="CO222" i="23"/>
  <c r="CM223" i="23"/>
  <c r="CQ223" i="23" s="1"/>
  <c r="CO223" i="23"/>
  <c r="CM224" i="23"/>
  <c r="CO224" i="23"/>
  <c r="CM225" i="23"/>
  <c r="CO225" i="23"/>
  <c r="CM226" i="23"/>
  <c r="CQ226" i="23" s="1"/>
  <c r="CO226" i="23"/>
  <c r="CM227" i="23"/>
  <c r="CR227" i="23" s="1"/>
  <c r="CO227" i="23"/>
  <c r="CM228" i="23"/>
  <c r="CR228" i="23" s="1"/>
  <c r="CO228" i="23"/>
  <c r="CM229" i="23"/>
  <c r="CQ229" i="23" s="1"/>
  <c r="CO229" i="23"/>
  <c r="CM230" i="23"/>
  <c r="CQ230" i="23" s="1"/>
  <c r="CO230" i="23"/>
  <c r="CM231" i="23"/>
  <c r="CQ231" i="23" s="1"/>
  <c r="CO231" i="23"/>
  <c r="CM232" i="23"/>
  <c r="CQ232" i="23" s="1"/>
  <c r="CO232" i="23"/>
  <c r="CM233" i="23"/>
  <c r="CO233" i="23"/>
  <c r="CM234" i="23"/>
  <c r="CQ234" i="23" s="1"/>
  <c r="CO234" i="23"/>
  <c r="CM235" i="23"/>
  <c r="CR235" i="23" s="1"/>
  <c r="CO235" i="23"/>
  <c r="CM236" i="23"/>
  <c r="CR236" i="23" s="1"/>
  <c r="CO236" i="23"/>
  <c r="CM237" i="23"/>
  <c r="CQ237" i="23" s="1"/>
  <c r="CO237" i="23"/>
  <c r="CM238" i="23"/>
  <c r="CQ238" i="23" s="1"/>
  <c r="CO238" i="23"/>
  <c r="CM239" i="23"/>
  <c r="CQ239" i="23" s="1"/>
  <c r="CO239" i="23"/>
  <c r="CM240" i="23"/>
  <c r="CR240" i="23" s="1"/>
  <c r="CO240" i="23"/>
  <c r="CM241" i="23"/>
  <c r="CQ241" i="23" s="1"/>
  <c r="CO241" i="23"/>
  <c r="CM242" i="23"/>
  <c r="CO242" i="23"/>
  <c r="CM243" i="23"/>
  <c r="CO243" i="23"/>
  <c r="CM244" i="23"/>
  <c r="CO244" i="23"/>
  <c r="CM245" i="23"/>
  <c r="CO245" i="23"/>
  <c r="CM246" i="23"/>
  <c r="CQ246" i="23" s="1"/>
  <c r="CO246" i="23"/>
  <c r="CM247" i="23"/>
  <c r="CQ247" i="23" s="1"/>
  <c r="CO247" i="23"/>
  <c r="CM248" i="23"/>
  <c r="CQ248" i="23" s="1"/>
  <c r="CO248" i="23"/>
  <c r="CM249" i="23"/>
  <c r="CQ249" i="23" s="1"/>
  <c r="CO249" i="23"/>
  <c r="CM250" i="23"/>
  <c r="CO250" i="23"/>
  <c r="CM251" i="23"/>
  <c r="CO251" i="23"/>
  <c r="CM252" i="23"/>
  <c r="CO252" i="23"/>
  <c r="CM253" i="23"/>
  <c r="CQ253" i="23" s="1"/>
  <c r="CO253" i="23"/>
  <c r="CM254" i="23"/>
  <c r="CQ254" i="23" s="1"/>
  <c r="CO254" i="23"/>
  <c r="CM255" i="23"/>
  <c r="CQ255" i="23" s="1"/>
  <c r="CO255" i="23"/>
  <c r="CM256" i="23"/>
  <c r="CQ256" i="23" s="1"/>
  <c r="CO256" i="23"/>
  <c r="CM257" i="23"/>
  <c r="CQ257" i="23" s="1"/>
  <c r="CO257" i="23"/>
  <c r="CM258" i="23"/>
  <c r="CO258" i="23"/>
  <c r="CM259" i="23"/>
  <c r="CO259" i="23"/>
  <c r="CM260" i="23"/>
  <c r="CO260" i="23"/>
  <c r="CM261" i="23"/>
  <c r="CO261" i="23"/>
  <c r="CM262" i="23"/>
  <c r="CR262" i="23" s="1"/>
  <c r="CS262" i="23"/>
  <c r="CV262" i="23"/>
  <c r="CM263" i="23"/>
  <c r="CQ263" i="23" s="1"/>
  <c r="CS263" i="23"/>
  <c r="CV263" i="23"/>
  <c r="CM264" i="23"/>
  <c r="CR264" i="23" s="1"/>
  <c r="CS264" i="23"/>
  <c r="CV264" i="23"/>
  <c r="CM265" i="23"/>
  <c r="CR265" i="23" s="1"/>
  <c r="CS265" i="23"/>
  <c r="CT265" i="23"/>
  <c r="CV265" i="23"/>
  <c r="CM266" i="23"/>
  <c r="CR266" i="23" s="1"/>
  <c r="CS266" i="23"/>
  <c r="CV266" i="23"/>
  <c r="CM267" i="23"/>
  <c r="CR267" i="23" s="1"/>
  <c r="CS267" i="23"/>
  <c r="CV267" i="23"/>
  <c r="CM268" i="23"/>
  <c r="CR268" i="23" s="1"/>
  <c r="CS268" i="23"/>
  <c r="CV268" i="23"/>
  <c r="CM269" i="23"/>
  <c r="CR269" i="23" s="1"/>
  <c r="CS269" i="23"/>
  <c r="CV269" i="23"/>
  <c r="CM270" i="23"/>
  <c r="CR270" i="23" s="1"/>
  <c r="CS270" i="23"/>
  <c r="CV270" i="23"/>
  <c r="CM271" i="23"/>
  <c r="CR271" i="23" s="1"/>
  <c r="CS271" i="23"/>
  <c r="CV271" i="23"/>
  <c r="CM272" i="23"/>
  <c r="CR272" i="23" s="1"/>
  <c r="CS272" i="23"/>
  <c r="CV272" i="23"/>
  <c r="CM273" i="23"/>
  <c r="CR273" i="23" s="1"/>
  <c r="CS273" i="23"/>
  <c r="CV273" i="23"/>
  <c r="CM274" i="23"/>
  <c r="CR274" i="23" s="1"/>
  <c r="CS274" i="23"/>
  <c r="CV274" i="23"/>
  <c r="CM275" i="23"/>
  <c r="CQ275" i="23" s="1"/>
  <c r="CS275" i="23"/>
  <c r="CV275" i="23"/>
  <c r="CM276" i="23"/>
  <c r="CR276" i="23" s="1"/>
  <c r="CS276" i="23"/>
  <c r="CV276" i="23"/>
  <c r="CM277" i="23"/>
  <c r="CS277" i="23"/>
  <c r="CV277" i="23"/>
  <c r="CM278" i="23"/>
  <c r="CR278" i="23" s="1"/>
  <c r="CS278" i="23"/>
  <c r="CV278" i="23"/>
  <c r="CM279" i="23"/>
  <c r="CR279" i="23" s="1"/>
  <c r="CS279" i="23"/>
  <c r="CV279" i="23"/>
  <c r="CM280" i="23"/>
  <c r="CR280" i="23" s="1"/>
  <c r="CS280" i="23"/>
  <c r="CV280" i="23"/>
  <c r="CM281" i="23"/>
  <c r="CS281" i="23"/>
  <c r="CV281" i="23"/>
  <c r="CM282" i="23"/>
  <c r="CR282" i="23" s="1"/>
  <c r="CS282" i="23"/>
  <c r="CV282" i="23"/>
  <c r="CM283" i="23"/>
  <c r="CQ283" i="23" s="1"/>
  <c r="CS283" i="23"/>
  <c r="CV283" i="23"/>
  <c r="CM284" i="23"/>
  <c r="CR284" i="23" s="1"/>
  <c r="CS284" i="23"/>
  <c r="CV284" i="23"/>
  <c r="CM285" i="23"/>
  <c r="CR285" i="23" s="1"/>
  <c r="CS285" i="23"/>
  <c r="CV285" i="23"/>
  <c r="CM286" i="23"/>
  <c r="CR286" i="23" s="1"/>
  <c r="CS286" i="23"/>
  <c r="CV286" i="23"/>
  <c r="CM287" i="23"/>
  <c r="CQ287" i="23" s="1"/>
  <c r="CS287" i="23"/>
  <c r="CV287" i="23"/>
  <c r="CM288" i="23"/>
  <c r="CR288" i="23" s="1"/>
  <c r="CS288" i="23"/>
  <c r="CV288" i="23"/>
  <c r="CM289" i="23"/>
  <c r="CQ289" i="23" s="1"/>
  <c r="CS289" i="23"/>
  <c r="CV289" i="23"/>
  <c r="CM290" i="23"/>
  <c r="CR290" i="23" s="1"/>
  <c r="CS290" i="23"/>
  <c r="CV290" i="23"/>
  <c r="CM291" i="23"/>
  <c r="CQ291" i="23" s="1"/>
  <c r="CS291" i="23"/>
  <c r="CV291" i="23"/>
  <c r="CM292" i="23"/>
  <c r="CR292" i="23" s="1"/>
  <c r="CS292" i="23"/>
  <c r="CV292" i="23"/>
  <c r="CM293" i="23"/>
  <c r="CR293" i="23" s="1"/>
  <c r="CS293" i="23"/>
  <c r="CV293" i="23"/>
  <c r="CM294" i="23"/>
  <c r="CR294" i="23" s="1"/>
  <c r="CS294" i="23"/>
  <c r="CV294" i="23"/>
  <c r="CM295" i="23"/>
  <c r="CQ295" i="23" s="1"/>
  <c r="CS295" i="23"/>
  <c r="CV295" i="23"/>
  <c r="CM296" i="23"/>
  <c r="CR296" i="23" s="1"/>
  <c r="CS296" i="23"/>
  <c r="CV296" i="23"/>
  <c r="CM297" i="23"/>
  <c r="CS297" i="23"/>
  <c r="CV297" i="23"/>
  <c r="CM298" i="23"/>
  <c r="CR298" i="23" s="1"/>
  <c r="CS298" i="23"/>
  <c r="CV298" i="23"/>
  <c r="CM299" i="23"/>
  <c r="CQ299" i="23" s="1"/>
  <c r="CS299" i="23"/>
  <c r="CV299" i="23"/>
  <c r="CM300" i="23"/>
  <c r="CR300" i="23" s="1"/>
  <c r="CS300" i="23"/>
  <c r="CV300" i="23"/>
  <c r="CM301" i="23"/>
  <c r="CR301" i="23" s="1"/>
  <c r="CS301" i="23"/>
  <c r="CV301" i="23"/>
  <c r="CM302" i="23"/>
  <c r="CR302" i="23" s="1"/>
  <c r="CS302" i="23"/>
  <c r="CV302" i="23"/>
  <c r="CM303" i="23"/>
  <c r="CQ303" i="23" s="1"/>
  <c r="CS303" i="23"/>
  <c r="CV303" i="23"/>
  <c r="CM304" i="23"/>
  <c r="CR304" i="23" s="1"/>
  <c r="CS304" i="23"/>
  <c r="CV304" i="23"/>
  <c r="CM305" i="23"/>
  <c r="CS305" i="23"/>
  <c r="CV305" i="23"/>
  <c r="CM306" i="23"/>
  <c r="CR306" i="23" s="1"/>
  <c r="CS306" i="23"/>
  <c r="CV306" i="23"/>
  <c r="CM307" i="23"/>
  <c r="CQ307" i="23" s="1"/>
  <c r="CS307" i="23"/>
  <c r="CV307" i="23"/>
  <c r="CM308" i="23"/>
  <c r="CR308" i="23" s="1"/>
  <c r="CS308" i="23"/>
  <c r="CV308" i="23"/>
  <c r="CM309" i="23"/>
  <c r="CR309" i="23" s="1"/>
  <c r="CS309" i="23"/>
  <c r="CV309" i="23"/>
  <c r="CM310" i="23"/>
  <c r="CR310" i="23" s="1"/>
  <c r="CM311" i="23"/>
  <c r="CR311" i="23" s="1"/>
  <c r="CM312" i="23"/>
  <c r="CR312" i="23" s="1"/>
  <c r="CM313" i="23"/>
  <c r="CR313" i="23" s="1"/>
  <c r="CM314" i="23"/>
  <c r="CR314" i="23" s="1"/>
  <c r="CM315" i="23"/>
  <c r="CR315" i="23" s="1"/>
  <c r="CM316" i="23"/>
  <c r="CR316" i="23" s="1"/>
  <c r="CM317" i="23"/>
  <c r="CR317" i="23" s="1"/>
  <c r="CM318" i="23"/>
  <c r="CR318" i="23" s="1"/>
  <c r="CM319" i="23"/>
  <c r="CR319" i="23" s="1"/>
  <c r="CM320" i="23"/>
  <c r="CR320" i="23" s="1"/>
  <c r="CM321" i="23"/>
  <c r="CR321" i="23" s="1"/>
  <c r="CM322" i="23"/>
  <c r="CR322" i="23" s="1"/>
  <c r="CM323" i="23"/>
  <c r="CR323" i="23" s="1"/>
  <c r="CM324" i="23"/>
  <c r="CR324" i="23" s="1"/>
  <c r="CM325" i="23"/>
  <c r="CR325" i="23" s="1"/>
  <c r="CM326" i="23"/>
  <c r="CR326" i="23" s="1"/>
  <c r="CM327" i="23"/>
  <c r="CR327" i="23" s="1"/>
  <c r="CM328" i="23"/>
  <c r="CR328" i="23" s="1"/>
  <c r="CM329" i="23"/>
  <c r="CR329" i="23" s="1"/>
  <c r="CM330" i="23"/>
  <c r="CR330" i="23" s="1"/>
  <c r="CM331" i="23"/>
  <c r="CR331" i="23" s="1"/>
  <c r="CM332" i="23"/>
  <c r="CR332" i="23" s="1"/>
  <c r="CM333" i="23"/>
  <c r="CR333" i="23" s="1"/>
  <c r="CS333" i="23"/>
  <c r="CS332" i="23"/>
  <c r="CS331" i="23"/>
  <c r="CS330" i="23"/>
  <c r="CS329" i="23"/>
  <c r="CS328" i="23"/>
  <c r="CS327" i="23"/>
  <c r="CS326" i="23"/>
  <c r="CS325" i="23"/>
  <c r="CS324" i="23"/>
  <c r="CS323" i="23"/>
  <c r="CS322" i="23"/>
  <c r="CS321" i="23"/>
  <c r="CS320" i="23"/>
  <c r="CS319" i="23"/>
  <c r="CS318" i="23"/>
  <c r="CS317" i="23"/>
  <c r="CS316" i="23"/>
  <c r="CS315" i="23"/>
  <c r="CS314" i="23"/>
  <c r="CS313" i="23"/>
  <c r="CS312" i="23"/>
  <c r="CS311" i="23"/>
  <c r="CS310" i="23"/>
  <c r="CV333" i="23"/>
  <c r="CV332" i="23"/>
  <c r="CV331" i="23"/>
  <c r="CV330" i="23"/>
  <c r="CV329" i="23"/>
  <c r="CV328" i="23"/>
  <c r="CV327" i="23"/>
  <c r="CV326" i="23"/>
  <c r="CV325" i="23"/>
  <c r="CV324" i="23"/>
  <c r="CV323" i="23"/>
  <c r="CV322" i="23"/>
  <c r="CV321" i="23"/>
  <c r="CV320" i="23"/>
  <c r="CV319" i="23"/>
  <c r="CV318" i="23"/>
  <c r="CV317" i="23"/>
  <c r="CV316" i="23"/>
  <c r="CV315" i="23"/>
  <c r="CV314" i="23"/>
  <c r="CV313" i="23"/>
  <c r="CV312" i="23"/>
  <c r="CV311" i="23"/>
  <c r="CV310" i="23"/>
  <c r="CU308" i="23"/>
  <c r="CW307" i="23"/>
  <c r="CU303" i="23"/>
  <c r="CU300" i="23"/>
  <c r="CU295" i="23"/>
  <c r="CU292" i="23"/>
  <c r="CW284" i="23"/>
  <c r="CU281" i="23"/>
  <c r="CW279" i="23"/>
  <c r="CU278" i="23"/>
  <c r="CW277" i="23"/>
  <c r="CW276" i="23"/>
  <c r="CU273" i="23"/>
  <c r="CW272" i="23"/>
  <c r="CU270" i="23"/>
  <c r="CW268" i="23"/>
  <c r="CU265" i="23"/>
  <c r="CU264" i="23"/>
  <c r="CW263" i="23"/>
  <c r="CP166" i="23" l="1"/>
  <c r="CQ265" i="23"/>
  <c r="CW292" i="23"/>
  <c r="CQ92" i="23"/>
  <c r="CR231" i="23"/>
  <c r="CQ163" i="23"/>
  <c r="CR239" i="23"/>
  <c r="CR230" i="23"/>
  <c r="CR289" i="23"/>
  <c r="CR174" i="23"/>
  <c r="CQ285" i="23"/>
  <c r="CR213" i="23"/>
  <c r="CR73" i="23"/>
  <c r="CQ301" i="23"/>
  <c r="CQ273" i="23"/>
  <c r="CR223" i="23"/>
  <c r="CQ204" i="23"/>
  <c r="CQ120" i="23"/>
  <c r="CR36" i="23"/>
  <c r="CR191" i="23"/>
  <c r="CQ111" i="23"/>
  <c r="CR23" i="23"/>
  <c r="CT278" i="23"/>
  <c r="CQ261" i="23"/>
  <c r="CR261" i="23"/>
  <c r="CQ259" i="23"/>
  <c r="CR259" i="23"/>
  <c r="CT300" i="23"/>
  <c r="CT308" i="23"/>
  <c r="CQ217" i="23"/>
  <c r="CR217" i="23"/>
  <c r="CR183" i="23"/>
  <c r="CQ183" i="23"/>
  <c r="CQ130" i="23"/>
  <c r="CR130" i="23"/>
  <c r="CQ260" i="23"/>
  <c r="CR260" i="23"/>
  <c r="CQ242" i="23"/>
  <c r="CR242" i="23"/>
  <c r="CR232" i="23"/>
  <c r="CQ224" i="23"/>
  <c r="CR224" i="23"/>
  <c r="CR216" i="23"/>
  <c r="CR196" i="23"/>
  <c r="CQ196" i="23"/>
  <c r="CR127" i="23"/>
  <c r="CQ127" i="23"/>
  <c r="CQ106" i="23"/>
  <c r="CR106" i="23"/>
  <c r="CQ45" i="23"/>
  <c r="CR45" i="23"/>
  <c r="CR203" i="23"/>
  <c r="CQ203" i="23"/>
  <c r="CT304" i="23"/>
  <c r="CQ281" i="23"/>
  <c r="CR281" i="23"/>
  <c r="CQ233" i="23"/>
  <c r="CR233" i="23"/>
  <c r="CR95" i="23"/>
  <c r="CQ95" i="23"/>
  <c r="CR50" i="23"/>
  <c r="CQ50" i="23"/>
  <c r="CT301" i="23"/>
  <c r="CT305" i="23"/>
  <c r="CT309" i="23"/>
  <c r="CW264" i="23"/>
  <c r="CT302" i="23"/>
  <c r="CT306" i="23"/>
  <c r="CW285" i="23"/>
  <c r="CU285" i="23"/>
  <c r="CU287" i="23"/>
  <c r="CW287" i="23"/>
  <c r="CW291" i="23"/>
  <c r="CU291" i="23"/>
  <c r="CW299" i="23"/>
  <c r="CU299" i="23"/>
  <c r="CR251" i="23"/>
  <c r="CQ251" i="23"/>
  <c r="CR212" i="23"/>
  <c r="CQ212" i="23"/>
  <c r="CQ169" i="23"/>
  <c r="CR169" i="23"/>
  <c r="CR128" i="23"/>
  <c r="CQ128" i="23"/>
  <c r="CR119" i="23"/>
  <c r="CQ119" i="23"/>
  <c r="CQ98" i="23"/>
  <c r="CR98" i="23"/>
  <c r="CR85" i="23"/>
  <c r="CQ85" i="23"/>
  <c r="CQ28" i="23"/>
  <c r="CR28" i="23"/>
  <c r="CR305" i="23"/>
  <c r="CQ305" i="23"/>
  <c r="CR195" i="23"/>
  <c r="CQ195" i="23"/>
  <c r="CQ149" i="23"/>
  <c r="CR149" i="23"/>
  <c r="CQ145" i="23"/>
  <c r="CR145" i="23"/>
  <c r="CR135" i="23"/>
  <c r="CQ135" i="23"/>
  <c r="CQ37" i="23"/>
  <c r="CR37" i="23"/>
  <c r="CU277" i="23"/>
  <c r="CW295" i="23"/>
  <c r="CU307" i="23"/>
  <c r="CQ258" i="23"/>
  <c r="CR258" i="23"/>
  <c r="CQ205" i="23"/>
  <c r="CR205" i="23"/>
  <c r="CQ202" i="23"/>
  <c r="CR202" i="23"/>
  <c r="CQ114" i="23"/>
  <c r="CR114" i="23"/>
  <c r="CR103" i="23"/>
  <c r="CQ103" i="23"/>
  <c r="CQ76" i="23"/>
  <c r="CR76" i="23"/>
  <c r="CR74" i="23"/>
  <c r="CQ46" i="23"/>
  <c r="CR46" i="23"/>
  <c r="CP33" i="23"/>
  <c r="CW303" i="23"/>
  <c r="CR297" i="23"/>
  <c r="CQ297" i="23"/>
  <c r="CQ293" i="23"/>
  <c r="CR277" i="23"/>
  <c r="CQ277" i="23"/>
  <c r="CQ154" i="23"/>
  <c r="CR154" i="23"/>
  <c r="CQ138" i="23"/>
  <c r="CR138" i="23"/>
  <c r="CR75" i="23"/>
  <c r="CR51" i="23"/>
  <c r="CQ51" i="23"/>
  <c r="CW308" i="23"/>
  <c r="CQ269" i="23"/>
  <c r="CW288" i="23"/>
  <c r="CU288" i="23"/>
  <c r="CW296" i="23"/>
  <c r="CU296" i="23"/>
  <c r="CW304" i="23"/>
  <c r="CU304" i="23"/>
  <c r="CW300" i="23"/>
  <c r="CR164" i="23"/>
  <c r="CQ164" i="23"/>
  <c r="CP190" i="23"/>
  <c r="CR252" i="23"/>
  <c r="CQ252" i="23"/>
  <c r="CR184" i="23"/>
  <c r="CQ184" i="23"/>
  <c r="CX271" i="23"/>
  <c r="CX263" i="23"/>
  <c r="CU262" i="23"/>
  <c r="CY266" i="23"/>
  <c r="CY282" i="23"/>
  <c r="CX276" i="23"/>
  <c r="CX280" i="23"/>
  <c r="CX284" i="23"/>
  <c r="CT270" i="23"/>
  <c r="CU269" i="23"/>
  <c r="CX279" i="23"/>
  <c r="CQ245" i="23"/>
  <c r="CR245" i="23"/>
  <c r="CQ243" i="23"/>
  <c r="CR243" i="23"/>
  <c r="CQ225" i="23"/>
  <c r="CR225" i="23"/>
  <c r="CQ177" i="23"/>
  <c r="CR177" i="23"/>
  <c r="CQ175" i="23"/>
  <c r="CR175" i="23"/>
  <c r="CQ157" i="23"/>
  <c r="CR157" i="23"/>
  <c r="CQ155" i="23"/>
  <c r="CR155" i="23"/>
  <c r="CQ122" i="23"/>
  <c r="CR122" i="23"/>
  <c r="CR81" i="23"/>
  <c r="CQ81" i="23"/>
  <c r="CQ52" i="23"/>
  <c r="CR52" i="23"/>
  <c r="CQ40" i="23"/>
  <c r="CR40" i="23"/>
  <c r="CQ31" i="23"/>
  <c r="CR31" i="23"/>
  <c r="CT330" i="23"/>
  <c r="CX274" i="23"/>
  <c r="CX282" i="23"/>
  <c r="CT299" i="23"/>
  <c r="CT303" i="23"/>
  <c r="CT307" i="23"/>
  <c r="CX299" i="23"/>
  <c r="CQ309" i="23"/>
  <c r="CQ244" i="23"/>
  <c r="CR244" i="23"/>
  <c r="CQ176" i="23"/>
  <c r="CR176" i="23"/>
  <c r="CQ156" i="23"/>
  <c r="CR156" i="23"/>
  <c r="CR147" i="23"/>
  <c r="CQ147" i="23"/>
  <c r="CQ137" i="23"/>
  <c r="CR137" i="23"/>
  <c r="CW271" i="23"/>
  <c r="CW280" i="23"/>
  <c r="CT262" i="23"/>
  <c r="CQ197" i="23"/>
  <c r="CR197" i="23"/>
  <c r="CQ194" i="23"/>
  <c r="CR194" i="23"/>
  <c r="CP151" i="23"/>
  <c r="CP159" i="23"/>
  <c r="CP165" i="23"/>
  <c r="CR253" i="23"/>
  <c r="CR222" i="23"/>
  <c r="CQ211" i="23"/>
  <c r="CQ210" i="23"/>
  <c r="CR210" i="23"/>
  <c r="CR185" i="23"/>
  <c r="CQ168" i="23"/>
  <c r="CR165" i="23"/>
  <c r="CQ148" i="23"/>
  <c r="CQ129" i="23"/>
  <c r="CR129" i="23"/>
  <c r="CR112" i="23"/>
  <c r="CQ112" i="23"/>
  <c r="CR96" i="23"/>
  <c r="CQ96" i="23"/>
  <c r="CQ26" i="23"/>
  <c r="CR26" i="23"/>
  <c r="CQ24" i="23"/>
  <c r="CR24" i="23"/>
  <c r="CP143" i="23"/>
  <c r="CQ250" i="23"/>
  <c r="CR250" i="23"/>
  <c r="CQ182" i="23"/>
  <c r="CR182" i="23"/>
  <c r="CQ162" i="23"/>
  <c r="CR162" i="23"/>
  <c r="CQ136" i="23"/>
  <c r="CR104" i="23"/>
  <c r="CQ104" i="23"/>
  <c r="CQ25" i="23"/>
  <c r="CR25" i="23"/>
  <c r="CQ146" i="23"/>
  <c r="CR146" i="23"/>
  <c r="CQ143" i="23"/>
  <c r="CR143" i="23"/>
  <c r="CQ121" i="23"/>
  <c r="CR121" i="23"/>
  <c r="CQ63" i="23"/>
  <c r="CR63" i="23"/>
  <c r="CR43" i="23"/>
  <c r="CQ43" i="23"/>
  <c r="CQ32" i="23"/>
  <c r="CR32" i="23"/>
  <c r="CR113" i="23"/>
  <c r="CR105" i="23"/>
  <c r="CR97" i="23"/>
  <c r="CQ89" i="23"/>
  <c r="CR82" i="23"/>
  <c r="CQ72" i="23"/>
  <c r="CQ69" i="23"/>
  <c r="CQ68" i="23"/>
  <c r="CQ67" i="23"/>
  <c r="CQ66" i="23"/>
  <c r="CQ65" i="23"/>
  <c r="CQ64" i="23"/>
  <c r="CR53" i="23"/>
  <c r="CQ44" i="23"/>
  <c r="CQ35" i="23"/>
  <c r="CP154" i="23"/>
  <c r="CP43" i="23"/>
  <c r="CP24" i="23"/>
  <c r="CR307" i="23"/>
  <c r="CR303" i="23"/>
  <c r="CR299" i="23"/>
  <c r="CR295" i="23"/>
  <c r="CR291" i="23"/>
  <c r="CR287" i="23"/>
  <c r="CR283" i="23"/>
  <c r="CR275" i="23"/>
  <c r="CR263" i="23"/>
  <c r="CR256" i="23"/>
  <c r="CR255" i="23"/>
  <c r="CR248" i="23"/>
  <c r="CR247" i="23"/>
  <c r="CR246" i="23"/>
  <c r="CQ279" i="23"/>
  <c r="CQ271" i="23"/>
  <c r="CQ267" i="23"/>
  <c r="CR257" i="23"/>
  <c r="CR249" i="23"/>
  <c r="CR241" i="23"/>
  <c r="CQ240" i="23"/>
  <c r="CR238" i="23"/>
  <c r="CR237" i="23"/>
  <c r="CQ236" i="23"/>
  <c r="CQ235" i="23"/>
  <c r="CR229" i="23"/>
  <c r="CQ228" i="23"/>
  <c r="CQ227" i="23"/>
  <c r="CR221" i="23"/>
  <c r="CQ220" i="23"/>
  <c r="CQ219" i="23"/>
  <c r="CR209" i="23"/>
  <c r="CQ208" i="23"/>
  <c r="CQ207" i="23"/>
  <c r="CR201" i="23"/>
  <c r="CQ200" i="23"/>
  <c r="CQ199" i="23"/>
  <c r="CR193" i="23"/>
  <c r="CQ192" i="23"/>
  <c r="CR190" i="23"/>
  <c r="CR189" i="23"/>
  <c r="CQ188" i="23"/>
  <c r="CQ187" i="23"/>
  <c r="CR181" i="23"/>
  <c r="CQ180" i="23"/>
  <c r="CQ179" i="23"/>
  <c r="CR173" i="23"/>
  <c r="CQ172" i="23"/>
  <c r="CQ171" i="23"/>
  <c r="CR161" i="23"/>
  <c r="CQ160" i="23"/>
  <c r="CQ159" i="23"/>
  <c r="CR153" i="23"/>
  <c r="CQ152" i="23"/>
  <c r="CQ151" i="23"/>
  <c r="CR134" i="23"/>
  <c r="CR126" i="23"/>
  <c r="CR118" i="23"/>
  <c r="CR110" i="23"/>
  <c r="CR102" i="23"/>
  <c r="CR94" i="23"/>
  <c r="CR84" i="23"/>
  <c r="CQ80" i="23"/>
  <c r="CQ71" i="23"/>
  <c r="CR57" i="23"/>
  <c r="CR49" i="23"/>
  <c r="CQ48" i="23"/>
  <c r="CR42" i="23"/>
  <c r="CR34" i="23"/>
  <c r="CR22" i="23"/>
  <c r="CP23" i="23"/>
  <c r="CP28" i="23"/>
  <c r="CP34" i="23"/>
  <c r="CP160" i="23"/>
  <c r="CP164" i="23"/>
  <c r="CR167" i="23"/>
  <c r="CR144" i="23"/>
  <c r="CP29" i="23"/>
  <c r="CP35" i="23"/>
  <c r="CQ215" i="23"/>
  <c r="CR214" i="23"/>
  <c r="CR166" i="23"/>
  <c r="CR140" i="23"/>
  <c r="CR139" i="23"/>
  <c r="CR132" i="23"/>
  <c r="CR131" i="23"/>
  <c r="CR124" i="23"/>
  <c r="CR123" i="23"/>
  <c r="CR116" i="23"/>
  <c r="CR115" i="23"/>
  <c r="CR108" i="23"/>
  <c r="CR107" i="23"/>
  <c r="CR100" i="23"/>
  <c r="CR99" i="23"/>
  <c r="CR87" i="23"/>
  <c r="CR61" i="23"/>
  <c r="CR60" i="23"/>
  <c r="CR59" i="23"/>
  <c r="CR55" i="23"/>
  <c r="CR54" i="23"/>
  <c r="CP26" i="23"/>
  <c r="CP31" i="23"/>
  <c r="CP36" i="23"/>
  <c r="CP25" i="23"/>
  <c r="CP30" i="23"/>
  <c r="CR254" i="23"/>
  <c r="CR234" i="23"/>
  <c r="CR226" i="23"/>
  <c r="CR218" i="23"/>
  <c r="CR206" i="23"/>
  <c r="CR198" i="23"/>
  <c r="CR186" i="23"/>
  <c r="CR178" i="23"/>
  <c r="CR170" i="23"/>
  <c r="CR158" i="23"/>
  <c r="CR150" i="23"/>
  <c r="CR142" i="23"/>
  <c r="CR141" i="23"/>
  <c r="CR133" i="23"/>
  <c r="CR125" i="23"/>
  <c r="CR117" i="23"/>
  <c r="CR109" i="23"/>
  <c r="CR101" i="23"/>
  <c r="CR93" i="23"/>
  <c r="CQ79" i="23"/>
  <c r="CR56" i="23"/>
  <c r="CR47" i="23"/>
  <c r="CR38" i="23"/>
  <c r="CR33" i="23"/>
  <c r="CP22" i="23"/>
  <c r="CP27" i="23"/>
  <c r="CP32" i="23"/>
  <c r="CP155" i="23"/>
  <c r="CP153" i="23"/>
  <c r="CP147" i="23"/>
  <c r="CP158" i="23"/>
  <c r="CP163" i="23"/>
  <c r="CP149" i="23"/>
  <c r="CP152" i="23"/>
  <c r="CP148" i="23"/>
  <c r="CP144" i="23"/>
  <c r="CP145" i="23"/>
  <c r="CP150" i="23"/>
  <c r="CP161" i="23"/>
  <c r="CP146" i="23"/>
  <c r="CP157" i="23"/>
  <c r="CP162" i="23"/>
  <c r="CP238" i="23"/>
  <c r="CP156" i="23"/>
  <c r="CQ333" i="23"/>
  <c r="CQ332" i="23"/>
  <c r="CQ331" i="23"/>
  <c r="CQ330" i="23"/>
  <c r="CQ329" i="23"/>
  <c r="CQ328" i="23"/>
  <c r="CQ327" i="23"/>
  <c r="CQ326" i="23"/>
  <c r="CQ325" i="23"/>
  <c r="CQ324" i="23"/>
  <c r="CQ323" i="23"/>
  <c r="CQ322" i="23"/>
  <c r="CQ321" i="23"/>
  <c r="CQ320" i="23"/>
  <c r="CQ319" i="23"/>
  <c r="CQ318" i="23"/>
  <c r="CQ317" i="23"/>
  <c r="CQ316" i="23"/>
  <c r="CQ315" i="23"/>
  <c r="CQ314" i="23"/>
  <c r="CQ313" i="23"/>
  <c r="CQ312" i="23"/>
  <c r="CQ311" i="23"/>
  <c r="CQ310" i="23"/>
  <c r="CQ308" i="23"/>
  <c r="CQ306" i="23"/>
  <c r="CQ304" i="23"/>
  <c r="CQ302" i="23"/>
  <c r="CQ300" i="23"/>
  <c r="CQ298" i="23"/>
  <c r="CQ296" i="23"/>
  <c r="CQ294" i="23"/>
  <c r="CQ292" i="23"/>
  <c r="CQ290" i="23"/>
  <c r="CQ288" i="23"/>
  <c r="CQ286" i="23"/>
  <c r="CQ284" i="23"/>
  <c r="CQ282" i="23"/>
  <c r="CQ280" i="23"/>
  <c r="CQ278" i="23"/>
  <c r="CQ276" i="23"/>
  <c r="CQ274" i="23"/>
  <c r="CQ272" i="23"/>
  <c r="CQ270" i="23"/>
  <c r="CQ268" i="23"/>
  <c r="CQ266" i="23"/>
  <c r="CQ264" i="23"/>
  <c r="CQ262" i="23"/>
  <c r="CR90" i="23"/>
  <c r="CR86" i="23"/>
  <c r="CR78" i="23"/>
  <c r="CR77" i="23"/>
  <c r="CQ62" i="23"/>
  <c r="CR62" i="23"/>
  <c r="CQ41" i="23"/>
  <c r="CR41" i="23"/>
  <c r="CQ39" i="23"/>
  <c r="CR39" i="23"/>
  <c r="CQ58" i="23"/>
  <c r="CR58" i="23"/>
  <c r="CR91" i="23"/>
  <c r="CR88" i="23"/>
  <c r="CR83" i="23"/>
  <c r="CQ70" i="23"/>
  <c r="CR70" i="23"/>
  <c r="CQ29" i="23"/>
  <c r="CR29" i="23"/>
  <c r="CQ30" i="23"/>
  <c r="CR30" i="23"/>
  <c r="CQ27" i="23"/>
  <c r="CR27" i="23"/>
  <c r="CX297" i="23"/>
  <c r="CU286" i="23"/>
  <c r="CW286" i="23"/>
  <c r="CX309" i="23"/>
  <c r="CU298" i="23"/>
  <c r="CW298" i="23"/>
  <c r="CY265" i="23"/>
  <c r="CX307" i="23"/>
  <c r="CT297" i="23"/>
  <c r="CY264" i="23"/>
  <c r="CY268" i="23"/>
  <c r="CY272" i="23"/>
  <c r="CY276" i="23"/>
  <c r="CY280" i="23"/>
  <c r="CY284" i="23"/>
  <c r="CT325" i="23"/>
  <c r="CT329" i="23"/>
  <c r="CT333" i="23"/>
  <c r="CX273" i="23"/>
  <c r="CX269" i="23"/>
  <c r="CX265" i="23"/>
  <c r="CW262" i="23"/>
  <c r="CX272" i="23"/>
  <c r="CX268" i="23"/>
  <c r="CX264" i="23"/>
  <c r="CX277" i="23"/>
  <c r="CW266" i="23"/>
  <c r="CX281" i="23"/>
  <c r="CW270" i="23"/>
  <c r="CX285" i="23"/>
  <c r="CW274" i="23"/>
  <c r="CW278" i="23"/>
  <c r="CW282" i="23"/>
  <c r="CT273" i="23"/>
  <c r="CT281" i="23"/>
  <c r="CT293" i="23"/>
  <c r="CX302" i="23"/>
  <c r="CX266" i="23"/>
  <c r="CX298" i="23"/>
  <c r="CT286" i="23"/>
  <c r="CY267" i="23"/>
  <c r="CY279" i="23"/>
  <c r="CT268" i="23"/>
  <c r="CX293" i="23"/>
  <c r="CU306" i="23"/>
  <c r="CW306" i="23"/>
  <c r="CX291" i="23"/>
  <c r="CY277" i="23"/>
  <c r="CY285" i="23"/>
  <c r="CT326" i="23"/>
  <c r="CU263" i="23"/>
  <c r="CU267" i="23"/>
  <c r="CU271" i="23"/>
  <c r="CU275" i="23"/>
  <c r="CU279" i="23"/>
  <c r="CU283" i="23"/>
  <c r="CW267" i="23"/>
  <c r="CW275" i="23"/>
  <c r="CW283" i="23"/>
  <c r="CT266" i="23"/>
  <c r="CT274" i="23"/>
  <c r="CT282" i="23"/>
  <c r="CU266" i="23"/>
  <c r="CU274" i="23"/>
  <c r="CU282" i="23"/>
  <c r="CT290" i="23"/>
  <c r="CX303" i="23"/>
  <c r="CX267" i="23"/>
  <c r="CX275" i="23"/>
  <c r="CX283" i="23"/>
  <c r="CY273" i="23"/>
  <c r="CT289" i="23"/>
  <c r="CY263" i="23"/>
  <c r="CY271" i="23"/>
  <c r="CY275" i="23"/>
  <c r="CT264" i="23"/>
  <c r="CY283" i="23"/>
  <c r="CT272" i="23"/>
  <c r="CT324" i="23"/>
  <c r="CT276" i="23"/>
  <c r="CT328" i="23"/>
  <c r="CT280" i="23"/>
  <c r="CT332" i="23"/>
  <c r="CT284" i="23"/>
  <c r="CX289" i="23"/>
  <c r="CX301" i="23"/>
  <c r="CU290" i="23"/>
  <c r="CW290" i="23"/>
  <c r="CX305" i="23"/>
  <c r="CU294" i="23"/>
  <c r="CW294" i="23"/>
  <c r="CU302" i="23"/>
  <c r="CW302" i="23"/>
  <c r="CY281" i="23"/>
  <c r="CY269" i="23"/>
  <c r="CT269" i="23"/>
  <c r="CT277" i="23"/>
  <c r="CT285" i="23"/>
  <c r="CX288" i="23"/>
  <c r="CX292" i="23"/>
  <c r="CX296" i="23"/>
  <c r="CX300" i="23"/>
  <c r="CU289" i="23"/>
  <c r="CW289" i="23"/>
  <c r="CX304" i="23"/>
  <c r="CU293" i="23"/>
  <c r="CW293" i="23"/>
  <c r="CX308" i="23"/>
  <c r="CU297" i="23"/>
  <c r="CW297" i="23"/>
  <c r="CU301" i="23"/>
  <c r="CW301" i="23"/>
  <c r="CU305" i="23"/>
  <c r="CW305" i="23"/>
  <c r="CU309" i="23"/>
  <c r="CW309" i="23"/>
  <c r="CX262" i="23"/>
  <c r="CX270" i="23"/>
  <c r="CX278" i="23"/>
  <c r="CY274" i="23"/>
  <c r="CX290" i="23"/>
  <c r="CX306" i="23"/>
  <c r="CT294" i="23"/>
  <c r="CT323" i="23"/>
  <c r="CT327" i="23"/>
  <c r="CT331" i="23"/>
  <c r="CW265" i="23"/>
  <c r="CW269" i="23"/>
  <c r="CW273" i="23"/>
  <c r="CW281" i="23"/>
  <c r="CT263" i="23"/>
  <c r="CT267" i="23"/>
  <c r="CT271" i="23"/>
  <c r="CT275" i="23"/>
  <c r="CT279" i="23"/>
  <c r="CT283" i="23"/>
  <c r="CX286" i="23"/>
  <c r="CX294" i="23"/>
  <c r="CU268" i="23"/>
  <c r="CU272" i="23"/>
  <c r="CU276" i="23"/>
  <c r="CU280" i="23"/>
  <c r="CU284" i="23"/>
  <c r="CY262" i="23"/>
  <c r="CY270" i="23"/>
  <c r="CY278" i="23"/>
  <c r="CX287" i="23"/>
  <c r="CX295" i="23"/>
  <c r="CP214" i="23" l="1"/>
  <c r="CP168" i="23"/>
  <c r="CP38" i="23"/>
  <c r="CP67" i="23"/>
  <c r="CP39" i="23"/>
  <c r="CP41" i="23"/>
  <c r="CP209" i="23"/>
  <c r="CP197" i="23"/>
  <c r="CP205" i="23"/>
  <c r="CP82" i="23"/>
  <c r="CP54" i="23"/>
  <c r="CP251" i="23"/>
  <c r="CP86" i="23"/>
  <c r="CP253" i="23"/>
  <c r="CP116" i="23"/>
  <c r="CP114" i="23"/>
  <c r="CP131" i="23"/>
  <c r="CP57" i="23"/>
  <c r="CP252" i="23"/>
  <c r="CP58" i="23"/>
  <c r="CP216" i="23"/>
  <c r="CP194" i="23"/>
  <c r="CP217" i="23"/>
  <c r="CP227" i="23"/>
  <c r="CP65" i="23"/>
  <c r="CP254" i="23"/>
  <c r="CP61" i="23"/>
  <c r="CP87" i="23"/>
  <c r="CP51" i="23"/>
  <c r="CP208" i="23"/>
  <c r="CP230" i="23"/>
  <c r="CP192" i="23"/>
  <c r="CP167" i="23"/>
  <c r="CP239" i="23"/>
  <c r="CP92" i="23"/>
  <c r="CP219" i="23"/>
  <c r="CP136" i="23"/>
  <c r="CP250" i="23"/>
  <c r="CP135" i="23"/>
  <c r="CP106" i="23"/>
  <c r="CP126" i="23"/>
  <c r="CP130" i="23"/>
  <c r="CP108" i="23"/>
  <c r="CP112" i="23"/>
  <c r="CP79" i="23"/>
  <c r="CP123" i="23"/>
  <c r="CP117" i="23"/>
  <c r="CP181" i="23"/>
  <c r="CP200" i="23"/>
  <c r="CP191" i="23"/>
  <c r="CP240" i="23"/>
  <c r="CP134" i="23"/>
  <c r="CP78" i="23"/>
  <c r="CP83" i="23"/>
  <c r="CP127" i="23"/>
  <c r="CP71" i="23"/>
  <c r="CP60" i="23"/>
  <c r="CP235" i="23"/>
  <c r="CP183" i="23"/>
  <c r="CP204" i="23"/>
  <c r="CP255" i="23"/>
  <c r="CP258" i="23"/>
  <c r="CP176" i="23"/>
  <c r="CP175" i="23"/>
  <c r="CP241" i="23"/>
  <c r="CP243" i="23"/>
  <c r="CP193" i="23"/>
  <c r="CP128" i="23"/>
  <c r="CP46" i="23"/>
  <c r="CP72" i="23"/>
  <c r="CP179" i="23"/>
  <c r="CP81" i="23"/>
  <c r="CP188" i="23"/>
  <c r="CP115" i="23"/>
  <c r="CP211" i="23"/>
  <c r="CP220" i="23"/>
  <c r="CP242" i="23"/>
  <c r="CP195" i="23"/>
  <c r="CP222" i="23"/>
  <c r="CP186" i="23"/>
  <c r="CP236" i="23"/>
  <c r="CP202" i="23"/>
  <c r="CP68" i="23"/>
  <c r="CP104" i="23"/>
  <c r="CP76" i="23"/>
  <c r="CP96" i="23"/>
  <c r="CP169" i="23"/>
  <c r="CP50" i="23"/>
  <c r="CP185" i="23"/>
  <c r="CP231" i="23"/>
  <c r="CP105" i="23"/>
  <c r="CP85" i="23"/>
  <c r="CP69" i="23"/>
  <c r="CP101" i="23"/>
  <c r="CP124" i="23"/>
  <c r="CP225" i="23"/>
  <c r="CP259" i="23"/>
  <c r="CP248" i="23"/>
  <c r="CP221" i="23"/>
  <c r="CP218" i="23"/>
  <c r="CP247" i="23"/>
  <c r="CP257" i="23"/>
  <c r="CP177" i="23"/>
  <c r="CP139" i="23"/>
  <c r="CP74" i="23"/>
  <c r="CP62" i="23"/>
  <c r="CP84" i="23"/>
  <c r="CP80" i="23"/>
  <c r="CP120" i="23"/>
  <c r="CP198" i="23"/>
  <c r="CP99" i="23"/>
  <c r="CP73" i="23"/>
  <c r="CP56" i="23"/>
  <c r="CP91" i="23"/>
  <c r="CP111" i="23"/>
  <c r="CP55" i="23"/>
  <c r="CP47" i="23"/>
  <c r="CP261" i="23"/>
  <c r="CP122" i="23"/>
  <c r="CP212" i="23"/>
  <c r="CP256" i="23"/>
  <c r="CP232" i="23"/>
  <c r="CP228" i="23"/>
  <c r="CP77" i="23"/>
  <c r="CP53" i="23"/>
  <c r="CP141" i="23"/>
  <c r="CP113" i="23"/>
  <c r="CP133" i="23"/>
  <c r="CP129" i="23"/>
  <c r="CP125" i="23"/>
  <c r="CP97" i="23"/>
  <c r="CP110" i="23"/>
  <c r="CP45" i="23"/>
  <c r="CP244" i="23"/>
  <c r="CP215" i="23"/>
  <c r="CP207" i="23"/>
  <c r="CP249" i="23"/>
  <c r="CP210" i="23"/>
  <c r="CP173" i="23"/>
  <c r="CP234" i="23"/>
  <c r="CP172" i="23"/>
  <c r="CP196" i="23"/>
  <c r="CP223" i="23"/>
  <c r="CP171" i="23"/>
  <c r="CP199" i="23"/>
  <c r="CP246" i="23"/>
  <c r="CP88" i="23"/>
  <c r="CP229" i="23"/>
  <c r="CP201" i="23"/>
  <c r="CP170" i="23"/>
  <c r="CP237" i="23"/>
  <c r="CP233" i="23"/>
  <c r="CP224" i="23"/>
  <c r="CP206" i="23"/>
  <c r="CP174" i="23"/>
  <c r="CP178" i="23"/>
  <c r="CP226" i="23"/>
  <c r="CP118" i="23"/>
  <c r="CP103" i="23"/>
  <c r="CP90" i="23"/>
  <c r="CP52" i="23"/>
  <c r="CP132" i="23"/>
  <c r="CP100" i="23"/>
  <c r="CP203" i="23"/>
  <c r="CP245" i="23"/>
  <c r="CP89" i="23"/>
  <c r="CP66" i="23"/>
  <c r="CP42" i="23"/>
  <c r="CP63" i="23"/>
  <c r="CP59" i="23"/>
  <c r="CP107" i="23"/>
  <c r="CP75" i="23"/>
  <c r="CP95" i="23"/>
  <c r="CP213" i="23"/>
  <c r="CP189" i="23"/>
  <c r="CP98" i="23"/>
  <c r="CP70" i="23"/>
  <c r="CP260" i="23"/>
  <c r="CP187" i="23"/>
  <c r="CP182" i="23"/>
  <c r="CP184" i="23"/>
  <c r="CP180" i="23"/>
  <c r="CP140" i="23"/>
  <c r="CP94" i="23"/>
  <c r="CP93" i="23"/>
  <c r="CP64" i="23"/>
  <c r="CP44" i="23"/>
  <c r="CP137" i="23"/>
  <c r="CP121" i="23"/>
  <c r="CP109" i="23"/>
  <c r="CP49" i="23"/>
  <c r="CP40" i="23"/>
  <c r="CP138" i="23"/>
  <c r="CP102" i="23"/>
  <c r="CP48" i="23"/>
  <c r="CP119" i="23"/>
  <c r="CP37" i="23"/>
  <c r="CX315" i="23"/>
  <c r="CX312" i="23"/>
  <c r="CY292" i="23"/>
  <c r="CX317" i="23"/>
  <c r="CX332" i="23"/>
  <c r="CX331" i="23"/>
  <c r="CX320" i="23"/>
  <c r="CX314" i="23"/>
  <c r="CX311" i="23"/>
  <c r="CX310" i="23"/>
  <c r="CY305" i="23"/>
  <c r="CX316" i="23"/>
  <c r="CX330" i="23"/>
  <c r="CX319" i="23"/>
  <c r="CX325" i="23"/>
  <c r="CX333" i="23"/>
  <c r="CX323" i="23"/>
  <c r="CY291" i="23"/>
  <c r="CY310" i="23"/>
  <c r="CY317" i="23"/>
  <c r="CY301" i="23"/>
  <c r="CY303" i="23"/>
  <c r="CT292" i="23"/>
  <c r="CY315" i="23"/>
  <c r="CY312" i="23"/>
  <c r="CX318" i="23"/>
  <c r="CX329" i="23"/>
  <c r="CX313" i="23"/>
  <c r="CY296" i="23"/>
  <c r="CT298" i="23"/>
  <c r="CY309" i="23"/>
  <c r="CY287" i="23"/>
  <c r="CY323" i="23"/>
  <c r="CT312" i="23"/>
  <c r="CY311" i="23"/>
  <c r="CY300" i="23"/>
  <c r="CY329" i="23"/>
  <c r="CT318" i="23"/>
  <c r="CY321" i="23"/>
  <c r="CT310" i="23"/>
  <c r="CY320" i="23"/>
  <c r="CY308" i="23"/>
  <c r="CY290" i="23"/>
  <c r="CY293" i="23"/>
  <c r="CY326" i="23"/>
  <c r="CT315" i="23"/>
  <c r="CY298" i="23"/>
  <c r="CT287" i="23"/>
  <c r="CX328" i="23"/>
  <c r="CX321" i="23"/>
  <c r="CX327" i="23"/>
  <c r="CY331" i="23"/>
  <c r="CT320" i="23"/>
  <c r="CY319" i="23"/>
  <c r="CY333" i="23"/>
  <c r="CT322" i="23"/>
  <c r="CY325" i="23"/>
  <c r="CT314" i="23"/>
  <c r="CY313" i="23"/>
  <c r="CY332" i="23"/>
  <c r="CT321" i="23"/>
  <c r="CY318" i="23"/>
  <c r="CY306" i="23"/>
  <c r="CT295" i="23"/>
  <c r="CY304" i="23"/>
  <c r="CY307" i="23"/>
  <c r="CT296" i="23"/>
  <c r="CX326" i="23"/>
  <c r="CX324" i="23"/>
  <c r="CX322" i="23"/>
  <c r="CY330" i="23"/>
  <c r="CT319" i="23"/>
  <c r="CY322" i="23"/>
  <c r="CT311" i="23"/>
  <c r="CY314" i="23"/>
  <c r="CY289" i="23"/>
  <c r="CY302" i="23"/>
  <c r="CT291" i="23"/>
  <c r="CY294" i="23"/>
  <c r="CY286" i="23"/>
  <c r="CY288" i="23"/>
  <c r="CY295" i="23"/>
  <c r="CY327" i="23"/>
  <c r="CT316" i="23"/>
  <c r="CY297" i="23"/>
  <c r="CT317" i="23"/>
  <c r="CY328" i="23"/>
  <c r="CT313" i="23"/>
  <c r="CY324" i="23"/>
  <c r="CY316" i="23"/>
  <c r="CY299" i="23"/>
  <c r="CT288" i="23"/>
  <c r="D265" i="15" l="1"/>
  <c r="D253" i="15"/>
  <c r="D241" i="15"/>
  <c r="D229" i="15"/>
  <c r="D217" i="15"/>
  <c r="D205" i="15"/>
  <c r="D193" i="15"/>
  <c r="D181" i="15"/>
  <c r="D169" i="15"/>
  <c r="G156" i="15"/>
  <c r="G155" i="15"/>
  <c r="G154" i="15"/>
  <c r="G153" i="15"/>
  <c r="G152" i="15"/>
  <c r="G151" i="15"/>
  <c r="G150" i="15"/>
  <c r="G149" i="15"/>
  <c r="G146" i="15"/>
  <c r="D147" i="15"/>
  <c r="D148" i="15"/>
  <c r="D149" i="15"/>
  <c r="D150" i="15"/>
  <c r="D151" i="15"/>
  <c r="D152" i="15"/>
  <c r="D153" i="15"/>
  <c r="D154" i="15"/>
  <c r="D155" i="15"/>
  <c r="D156" i="15"/>
  <c r="D157" i="15"/>
  <c r="D146" i="15"/>
  <c r="D145" i="15"/>
  <c r="D133" i="15"/>
  <c r="D121" i="15"/>
  <c r="D109" i="15"/>
  <c r="G108" i="15"/>
  <c r="G107" i="15"/>
  <c r="G106" i="15"/>
  <c r="G105" i="15"/>
  <c r="G104" i="15"/>
  <c r="G103" i="15"/>
  <c r="G101" i="15"/>
  <c r="G100" i="15"/>
  <c r="D97" i="15"/>
  <c r="D85" i="15"/>
  <c r="G64" i="15"/>
  <c r="D65" i="15"/>
  <c r="D66" i="15"/>
  <c r="D67" i="15"/>
  <c r="D68" i="15"/>
  <c r="D69" i="15"/>
  <c r="D70" i="15"/>
  <c r="D61" i="15"/>
  <c r="D62" i="15"/>
  <c r="D63" i="15"/>
  <c r="D64" i="15"/>
  <c r="D71" i="15"/>
  <c r="D72" i="15"/>
  <c r="D73" i="15"/>
  <c r="D49" i="15"/>
  <c r="D37" i="15"/>
  <c r="D25" i="15"/>
  <c r="AA2" i="20" l="1"/>
  <c r="D264" i="15" l="1"/>
  <c r="D252" i="15"/>
  <c r="D240" i="15"/>
  <c r="D228" i="15"/>
  <c r="D216" i="15"/>
  <c r="D204" i="15"/>
  <c r="D192" i="15"/>
  <c r="D180" i="15"/>
  <c r="D168" i="15"/>
  <c r="D144" i="15"/>
  <c r="D132" i="15"/>
  <c r="D120" i="15"/>
  <c r="D108" i="15"/>
  <c r="D96" i="15"/>
  <c r="D84" i="15"/>
  <c r="D60" i="15"/>
  <c r="D48" i="15"/>
  <c r="D36" i="15"/>
  <c r="D24" i="15"/>
  <c r="D9" i="15"/>
  <c r="C8" i="15"/>
  <c r="B7" i="15"/>
  <c r="E9" i="15"/>
  <c r="E8" i="15"/>
  <c r="E7" i="15"/>
  <c r="D8" i="15"/>
  <c r="D7" i="15"/>
  <c r="C9" i="15"/>
  <c r="C7" i="15"/>
  <c r="B8" i="15"/>
  <c r="J3" i="15" l="1"/>
  <c r="B9" i="15"/>
  <c r="D263" i="15"/>
  <c r="D262" i="15"/>
  <c r="D261" i="15"/>
  <c r="D260" i="15"/>
  <c r="D259" i="15"/>
  <c r="D258" i="15"/>
  <c r="D257" i="15"/>
  <c r="D256" i="15"/>
  <c r="D255" i="15"/>
  <c r="D254" i="15"/>
  <c r="D251" i="15"/>
  <c r="D250" i="15"/>
  <c r="D249" i="15"/>
  <c r="D248" i="15"/>
  <c r="D247" i="15"/>
  <c r="D246" i="15"/>
  <c r="D245" i="15"/>
  <c r="D244" i="15"/>
  <c r="D243" i="15"/>
  <c r="D242" i="15"/>
  <c r="D239" i="15"/>
  <c r="D238" i="15"/>
  <c r="D237" i="15"/>
  <c r="D236" i="15"/>
  <c r="D235" i="15"/>
  <c r="D234" i="15"/>
  <c r="D233" i="15"/>
  <c r="D232" i="15"/>
  <c r="D231" i="15"/>
  <c r="D230" i="15"/>
  <c r="D227" i="15"/>
  <c r="D226" i="15"/>
  <c r="D225" i="15"/>
  <c r="D224" i="15"/>
  <c r="D223" i="15"/>
  <c r="D222" i="15"/>
  <c r="D221" i="15"/>
  <c r="D220" i="15"/>
  <c r="D219" i="15"/>
  <c r="D218" i="15"/>
  <c r="D215" i="15"/>
  <c r="D214" i="15"/>
  <c r="D213" i="15"/>
  <c r="D212" i="15"/>
  <c r="D211" i="15"/>
  <c r="D210" i="15"/>
  <c r="D209" i="15"/>
  <c r="D208" i="15"/>
  <c r="D207" i="15"/>
  <c r="D206" i="15"/>
  <c r="D203" i="15"/>
  <c r="D202" i="15"/>
  <c r="D201" i="15"/>
  <c r="D200" i="15"/>
  <c r="D199" i="15"/>
  <c r="D198" i="15"/>
  <c r="D197" i="15"/>
  <c r="D196" i="15"/>
  <c r="D195" i="15"/>
  <c r="D194" i="15"/>
  <c r="D191" i="15"/>
  <c r="D190" i="15"/>
  <c r="D189" i="15"/>
  <c r="D188" i="15"/>
  <c r="D187" i="15"/>
  <c r="D186" i="15"/>
  <c r="D185" i="15"/>
  <c r="D184" i="15"/>
  <c r="D183" i="15"/>
  <c r="D182" i="15"/>
  <c r="D179" i="15"/>
  <c r="D178" i="15"/>
  <c r="D177" i="15"/>
  <c r="D176" i="15"/>
  <c r="D175" i="15"/>
  <c r="D174" i="15"/>
  <c r="D173" i="15"/>
  <c r="D172" i="15"/>
  <c r="D171" i="15"/>
  <c r="D170" i="15"/>
  <c r="D167" i="15"/>
  <c r="D166" i="15"/>
  <c r="D165" i="15"/>
  <c r="D164" i="15"/>
  <c r="D163" i="15"/>
  <c r="D162" i="15"/>
  <c r="D161" i="15"/>
  <c r="D160" i="15"/>
  <c r="D159" i="15"/>
  <c r="D158" i="15"/>
  <c r="G143" i="15"/>
  <c r="D143" i="15"/>
  <c r="D142" i="15"/>
  <c r="D141" i="15"/>
  <c r="D140" i="15"/>
  <c r="D139" i="15"/>
  <c r="D138" i="15"/>
  <c r="D137" i="15"/>
  <c r="D136" i="15"/>
  <c r="D135" i="15"/>
  <c r="D134" i="15"/>
  <c r="G131" i="15"/>
  <c r="D131" i="15"/>
  <c r="G130" i="15"/>
  <c r="D130" i="15"/>
  <c r="D129" i="15"/>
  <c r="D128" i="15"/>
  <c r="D127" i="15"/>
  <c r="D126" i="15"/>
  <c r="D125" i="15"/>
  <c r="D124" i="15"/>
  <c r="D123" i="15"/>
  <c r="D122" i="15"/>
  <c r="D119" i="15"/>
  <c r="D118" i="15"/>
  <c r="D117" i="15"/>
  <c r="D116" i="15"/>
  <c r="D115" i="15"/>
  <c r="D114" i="15"/>
  <c r="D113" i="15"/>
  <c r="D112" i="15"/>
  <c r="D111" i="15"/>
  <c r="D110" i="15"/>
  <c r="D107" i="15"/>
  <c r="D106" i="15"/>
  <c r="D105" i="15"/>
  <c r="D104" i="15"/>
  <c r="D103" i="15"/>
  <c r="D102" i="15"/>
  <c r="D101" i="15"/>
  <c r="D100" i="15"/>
  <c r="D99" i="15"/>
  <c r="D98" i="15"/>
  <c r="G95" i="15"/>
  <c r="D95" i="15"/>
  <c r="G94" i="15"/>
  <c r="D94" i="15"/>
  <c r="D93" i="15"/>
  <c r="D92" i="15"/>
  <c r="D91" i="15"/>
  <c r="D90" i="15"/>
  <c r="D89" i="15"/>
  <c r="D88" i="15"/>
  <c r="D87" i="15"/>
  <c r="D86" i="15"/>
  <c r="D83" i="15"/>
  <c r="D82" i="15"/>
  <c r="D81" i="15"/>
  <c r="D80" i="15"/>
  <c r="D79" i="15"/>
  <c r="D78" i="15"/>
  <c r="D77" i="15"/>
  <c r="D76" i="15"/>
  <c r="D75" i="15"/>
  <c r="D74" i="15"/>
  <c r="G59" i="15"/>
  <c r="D59" i="15"/>
  <c r="G58" i="15"/>
  <c r="D58" i="15"/>
  <c r="D57" i="15"/>
  <c r="D56" i="15"/>
  <c r="D55" i="15"/>
  <c r="D54" i="15"/>
  <c r="D53" i="15"/>
  <c r="D52" i="15"/>
  <c r="D51" i="15"/>
  <c r="D50" i="15"/>
  <c r="D47" i="15"/>
  <c r="D46" i="15"/>
  <c r="D45" i="15"/>
  <c r="D44" i="15"/>
  <c r="D43" i="15"/>
  <c r="D42" i="15"/>
  <c r="D41" i="15"/>
  <c r="D40" i="15"/>
  <c r="D39" i="15"/>
  <c r="D38" i="15"/>
  <c r="D35" i="15"/>
  <c r="D34" i="15"/>
  <c r="D33" i="15"/>
  <c r="D32" i="15"/>
  <c r="D31" i="15"/>
  <c r="D30" i="15"/>
  <c r="D29" i="15"/>
  <c r="D28" i="15"/>
  <c r="D27" i="15"/>
  <c r="D26" i="15"/>
  <c r="G23" i="15"/>
  <c r="G22" i="15"/>
  <c r="D22" i="15"/>
  <c r="D21" i="15"/>
  <c r="D20" i="15"/>
  <c r="D19" i="15"/>
  <c r="D18" i="15"/>
  <c r="D17" i="15"/>
  <c r="D16" i="15"/>
  <c r="D15" i="15"/>
  <c r="D14" i="15"/>
  <c r="L3" i="15"/>
  <c r="K3" i="15"/>
  <c r="I3" i="15"/>
  <c r="H3" i="15"/>
  <c r="G3" i="15"/>
  <c r="L2" i="15"/>
  <c r="K2" i="15"/>
  <c r="J2" i="15"/>
  <c r="I2" i="15"/>
  <c r="H2" i="15"/>
  <c r="G2" i="15"/>
  <c r="J83" i="12"/>
  <c r="I83" i="12"/>
  <c r="H83" i="12"/>
  <c r="G83" i="12"/>
  <c r="F83" i="12"/>
  <c r="E83" i="12"/>
  <c r="D83" i="12"/>
  <c r="J82" i="12"/>
  <c r="I82" i="12"/>
  <c r="H82" i="12"/>
  <c r="G82" i="12"/>
  <c r="F82" i="12"/>
  <c r="E82" i="12"/>
  <c r="D82" i="12"/>
  <c r="J81" i="12"/>
  <c r="I81" i="12"/>
  <c r="H81" i="12"/>
  <c r="G81" i="12"/>
  <c r="F81" i="12"/>
  <c r="E81" i="12"/>
  <c r="D81" i="12"/>
  <c r="K81" i="12" s="1"/>
  <c r="J80" i="12"/>
  <c r="I80" i="12"/>
  <c r="H80" i="12"/>
  <c r="G80" i="12"/>
  <c r="F80" i="12"/>
  <c r="E80" i="12"/>
  <c r="D80" i="12"/>
  <c r="J79" i="12"/>
  <c r="I79" i="12"/>
  <c r="H79" i="12"/>
  <c r="G79" i="12"/>
  <c r="F79" i="12"/>
  <c r="E79" i="12"/>
  <c r="D79" i="12"/>
  <c r="K79" i="12" s="1"/>
  <c r="J78" i="12"/>
  <c r="I78" i="12"/>
  <c r="H78" i="12"/>
  <c r="G78" i="12"/>
  <c r="F78" i="12"/>
  <c r="E78" i="12"/>
  <c r="D78" i="12"/>
  <c r="J77" i="12"/>
  <c r="I77" i="12"/>
  <c r="H77" i="12"/>
  <c r="G77" i="12"/>
  <c r="F77" i="12"/>
  <c r="E77" i="12"/>
  <c r="D77" i="12"/>
  <c r="J76" i="12"/>
  <c r="I76" i="12"/>
  <c r="H76" i="12"/>
  <c r="G76" i="12"/>
  <c r="F76" i="12"/>
  <c r="E76" i="12"/>
  <c r="D76" i="12"/>
  <c r="J75" i="12"/>
  <c r="I75" i="12"/>
  <c r="H75" i="12"/>
  <c r="G75" i="12"/>
  <c r="F75" i="12"/>
  <c r="E75" i="12"/>
  <c r="D75" i="12"/>
  <c r="J74" i="12"/>
  <c r="I74" i="12"/>
  <c r="H74" i="12"/>
  <c r="G74" i="12"/>
  <c r="F74" i="12"/>
  <c r="E74" i="12"/>
  <c r="D74" i="12"/>
  <c r="J73" i="12"/>
  <c r="I73" i="12"/>
  <c r="H73" i="12"/>
  <c r="G73" i="12"/>
  <c r="F73" i="12"/>
  <c r="E73" i="12"/>
  <c r="D73" i="12"/>
  <c r="K73" i="12" s="1"/>
  <c r="J72" i="12"/>
  <c r="I72" i="12"/>
  <c r="H72" i="12"/>
  <c r="G72" i="12"/>
  <c r="F72" i="12"/>
  <c r="E72" i="12"/>
  <c r="D72" i="12"/>
  <c r="J71" i="12"/>
  <c r="I71" i="12"/>
  <c r="H71" i="12"/>
  <c r="G71" i="12"/>
  <c r="F71" i="12"/>
  <c r="E71" i="12"/>
  <c r="D71" i="12"/>
  <c r="K71" i="12" s="1"/>
  <c r="J70" i="12"/>
  <c r="I70" i="12"/>
  <c r="H70" i="12"/>
  <c r="G70" i="12"/>
  <c r="F70" i="12"/>
  <c r="E70" i="12"/>
  <c r="D70" i="12"/>
  <c r="J69" i="12"/>
  <c r="I69" i="12"/>
  <c r="H69" i="12"/>
  <c r="G69" i="12"/>
  <c r="F69" i="12"/>
  <c r="E69" i="12"/>
  <c r="D69" i="12"/>
  <c r="J68" i="12"/>
  <c r="I68" i="12"/>
  <c r="H68" i="12"/>
  <c r="G68" i="12"/>
  <c r="F68" i="12"/>
  <c r="E68" i="12"/>
  <c r="D68" i="12"/>
  <c r="J67" i="12"/>
  <c r="I67" i="12"/>
  <c r="H67" i="12"/>
  <c r="G67" i="12"/>
  <c r="F67" i="12"/>
  <c r="E67" i="12"/>
  <c r="D67" i="12"/>
  <c r="J66" i="12"/>
  <c r="I66" i="12"/>
  <c r="H66" i="12"/>
  <c r="G66" i="12"/>
  <c r="F66" i="12"/>
  <c r="E66" i="12"/>
  <c r="D66" i="12"/>
  <c r="J65" i="12"/>
  <c r="I65" i="12"/>
  <c r="H65" i="12"/>
  <c r="G65" i="12"/>
  <c r="F65" i="12"/>
  <c r="E65" i="12"/>
  <c r="D65" i="12"/>
  <c r="K65" i="12" s="1"/>
  <c r="J64" i="12"/>
  <c r="I64" i="12"/>
  <c r="H64" i="12"/>
  <c r="G64" i="12"/>
  <c r="F64" i="12"/>
  <c r="E64" i="12"/>
  <c r="D64" i="12"/>
  <c r="J63" i="12"/>
  <c r="I63" i="12"/>
  <c r="H63" i="12"/>
  <c r="G63" i="12"/>
  <c r="F63" i="12"/>
  <c r="E63" i="12"/>
  <c r="D63" i="12"/>
  <c r="K63" i="12" s="1"/>
  <c r="J62" i="12"/>
  <c r="I62" i="12"/>
  <c r="H62" i="12"/>
  <c r="G62" i="12"/>
  <c r="F62" i="12"/>
  <c r="E62" i="12"/>
  <c r="D62" i="12"/>
  <c r="K62" i="12" s="1"/>
  <c r="J61" i="12"/>
  <c r="I61" i="12"/>
  <c r="H61" i="12"/>
  <c r="G61" i="12"/>
  <c r="F61" i="12"/>
  <c r="E61" i="12"/>
  <c r="D61" i="12"/>
  <c r="K61" i="12" s="1"/>
  <c r="J60" i="12"/>
  <c r="I60" i="12"/>
  <c r="H60" i="12"/>
  <c r="G60" i="12"/>
  <c r="F60" i="12"/>
  <c r="E60" i="12"/>
  <c r="D60" i="12"/>
  <c r="K60" i="12" s="1"/>
  <c r="J59" i="12"/>
  <c r="I59" i="12"/>
  <c r="H59" i="12"/>
  <c r="G59" i="12"/>
  <c r="F59" i="12"/>
  <c r="E59" i="12"/>
  <c r="D59" i="12"/>
  <c r="J58" i="12"/>
  <c r="I58" i="12"/>
  <c r="H58" i="12"/>
  <c r="G58" i="12"/>
  <c r="F58" i="12"/>
  <c r="E58" i="12"/>
  <c r="D58" i="12"/>
  <c r="J57" i="12"/>
  <c r="I57" i="12"/>
  <c r="H57" i="12"/>
  <c r="G57" i="12"/>
  <c r="F57" i="12"/>
  <c r="E57" i="12"/>
  <c r="D57" i="12"/>
  <c r="J56" i="12"/>
  <c r="I56" i="12"/>
  <c r="H56" i="12"/>
  <c r="G56" i="12"/>
  <c r="F56" i="12"/>
  <c r="E56" i="12"/>
  <c r="D56" i="12"/>
  <c r="J55" i="12"/>
  <c r="I55" i="12"/>
  <c r="H55" i="12"/>
  <c r="G55" i="12"/>
  <c r="F55" i="12"/>
  <c r="E55" i="12"/>
  <c r="D55" i="12"/>
  <c r="J54" i="12"/>
  <c r="I54" i="12"/>
  <c r="H54" i="12"/>
  <c r="G54" i="12"/>
  <c r="F54" i="12"/>
  <c r="E54" i="12"/>
  <c r="D54" i="12"/>
  <c r="J53" i="12"/>
  <c r="I53" i="12"/>
  <c r="H53" i="12"/>
  <c r="G53" i="12"/>
  <c r="F53" i="12"/>
  <c r="E53" i="12"/>
  <c r="D53" i="12"/>
  <c r="J52" i="12"/>
  <c r="I52" i="12"/>
  <c r="H52" i="12"/>
  <c r="G52" i="12"/>
  <c r="F52" i="12"/>
  <c r="E52" i="12"/>
  <c r="D52" i="12"/>
  <c r="J51" i="12"/>
  <c r="I51" i="12"/>
  <c r="H51" i="12"/>
  <c r="G51" i="12"/>
  <c r="F51" i="12"/>
  <c r="E51" i="12"/>
  <c r="D51" i="12"/>
  <c r="K51" i="12" s="1"/>
  <c r="J50" i="12"/>
  <c r="I50" i="12"/>
  <c r="H50" i="12"/>
  <c r="G50" i="12"/>
  <c r="F50" i="12"/>
  <c r="E50" i="12"/>
  <c r="D50" i="12"/>
  <c r="K50" i="12" s="1"/>
  <c r="J49" i="12"/>
  <c r="I49" i="12"/>
  <c r="H49" i="12"/>
  <c r="G49" i="12"/>
  <c r="F49" i="12"/>
  <c r="E49" i="12"/>
  <c r="D49" i="12"/>
  <c r="K49" i="12" s="1"/>
  <c r="J48" i="12"/>
  <c r="I48" i="12"/>
  <c r="H48" i="12"/>
  <c r="G48" i="12"/>
  <c r="F48" i="12"/>
  <c r="E48" i="12"/>
  <c r="D48" i="12"/>
  <c r="K48" i="12" s="1"/>
  <c r="J47" i="12"/>
  <c r="I47" i="12"/>
  <c r="H47" i="12"/>
  <c r="G47" i="12"/>
  <c r="F47" i="12"/>
  <c r="E47" i="12"/>
  <c r="D47" i="12"/>
  <c r="K47" i="12" s="1"/>
  <c r="J46" i="12"/>
  <c r="I46" i="12"/>
  <c r="H46" i="12"/>
  <c r="G46" i="12"/>
  <c r="F46" i="12"/>
  <c r="E46" i="12"/>
  <c r="D46" i="12"/>
  <c r="K46" i="12" s="1"/>
  <c r="J45" i="12"/>
  <c r="I45" i="12"/>
  <c r="H45" i="12"/>
  <c r="G45" i="12"/>
  <c r="F45" i="12"/>
  <c r="E45" i="12"/>
  <c r="D45" i="12"/>
  <c r="K45" i="12" s="1"/>
  <c r="J44" i="12"/>
  <c r="I44" i="12"/>
  <c r="H44" i="12"/>
  <c r="G44" i="12"/>
  <c r="F44" i="12"/>
  <c r="E44" i="12"/>
  <c r="D44" i="12"/>
  <c r="J43" i="12"/>
  <c r="I43" i="12"/>
  <c r="H43" i="12"/>
  <c r="G43" i="12"/>
  <c r="F43" i="12"/>
  <c r="E43" i="12"/>
  <c r="D43" i="12"/>
  <c r="K43" i="12" s="1"/>
  <c r="J42" i="12"/>
  <c r="I42" i="12"/>
  <c r="H42" i="12"/>
  <c r="G42" i="12"/>
  <c r="F42" i="12"/>
  <c r="E42" i="12"/>
  <c r="D42" i="12"/>
  <c r="J41" i="12"/>
  <c r="I41" i="12"/>
  <c r="H41" i="12"/>
  <c r="G41" i="12"/>
  <c r="F41" i="12"/>
  <c r="E41" i="12"/>
  <c r="D41" i="12"/>
  <c r="J40" i="12"/>
  <c r="I40" i="12"/>
  <c r="H40" i="12"/>
  <c r="G40" i="12"/>
  <c r="F40" i="12"/>
  <c r="E40" i="12"/>
  <c r="D40" i="12"/>
  <c r="J39" i="12"/>
  <c r="I39" i="12"/>
  <c r="H39" i="12"/>
  <c r="G39" i="12"/>
  <c r="F39" i="12"/>
  <c r="E39" i="12"/>
  <c r="D39" i="12"/>
  <c r="K39" i="12" s="1"/>
  <c r="J38" i="12"/>
  <c r="I38" i="12"/>
  <c r="H38" i="12"/>
  <c r="G38" i="12"/>
  <c r="F38" i="12"/>
  <c r="E38" i="12"/>
  <c r="D38" i="12"/>
  <c r="J37" i="12"/>
  <c r="I37" i="12"/>
  <c r="H37" i="12"/>
  <c r="G37" i="12"/>
  <c r="F37" i="12"/>
  <c r="E37" i="12"/>
  <c r="D37" i="12"/>
  <c r="K37" i="12" s="1"/>
  <c r="J36" i="12"/>
  <c r="I36" i="12"/>
  <c r="H36" i="12"/>
  <c r="G36" i="12"/>
  <c r="F36" i="12"/>
  <c r="E36" i="12"/>
  <c r="D36" i="12"/>
  <c r="J35" i="12"/>
  <c r="I35" i="12"/>
  <c r="H35" i="12"/>
  <c r="G35" i="12"/>
  <c r="F35" i="12"/>
  <c r="E35" i="12"/>
  <c r="D35" i="12"/>
  <c r="K35" i="12" s="1"/>
  <c r="J34" i="12"/>
  <c r="I34" i="12"/>
  <c r="H34" i="12"/>
  <c r="G34" i="12"/>
  <c r="F34" i="12"/>
  <c r="E34" i="12"/>
  <c r="D34" i="12"/>
  <c r="J33" i="12"/>
  <c r="I33" i="12"/>
  <c r="H33" i="12"/>
  <c r="G33" i="12"/>
  <c r="F33" i="12"/>
  <c r="E33" i="12"/>
  <c r="D33" i="12"/>
  <c r="J32" i="12"/>
  <c r="I32" i="12"/>
  <c r="H32" i="12"/>
  <c r="G32" i="12"/>
  <c r="F32" i="12"/>
  <c r="E32" i="12"/>
  <c r="D32" i="12"/>
  <c r="J31" i="12"/>
  <c r="I31" i="12"/>
  <c r="H31" i="12"/>
  <c r="G31" i="12"/>
  <c r="F31" i="12"/>
  <c r="E31" i="12"/>
  <c r="D31" i="12"/>
  <c r="J30" i="12"/>
  <c r="I30" i="12"/>
  <c r="H30" i="12"/>
  <c r="G30" i="12"/>
  <c r="F30" i="12"/>
  <c r="E30" i="12"/>
  <c r="D30" i="12"/>
  <c r="J29" i="12"/>
  <c r="I29" i="12"/>
  <c r="H29" i="12"/>
  <c r="G29" i="12"/>
  <c r="F29" i="12"/>
  <c r="E29" i="12"/>
  <c r="D29" i="12"/>
  <c r="K29" i="12" s="1"/>
  <c r="J28" i="12"/>
  <c r="I28" i="12"/>
  <c r="H28" i="12"/>
  <c r="G28" i="12"/>
  <c r="F28" i="12"/>
  <c r="E28" i="12"/>
  <c r="D28" i="12"/>
  <c r="J27" i="12"/>
  <c r="I27" i="12"/>
  <c r="H27" i="12"/>
  <c r="G27" i="12"/>
  <c r="F27" i="12"/>
  <c r="E27" i="12"/>
  <c r="D27" i="12"/>
  <c r="K27" i="12" s="1"/>
  <c r="J26" i="12"/>
  <c r="I26" i="12"/>
  <c r="H26" i="12"/>
  <c r="G26" i="12"/>
  <c r="F26" i="12"/>
  <c r="E26" i="12"/>
  <c r="D26" i="12"/>
  <c r="J25" i="12"/>
  <c r="I25" i="12"/>
  <c r="H25" i="12"/>
  <c r="G25" i="12"/>
  <c r="F25" i="12"/>
  <c r="E25" i="12"/>
  <c r="D25" i="12"/>
  <c r="J24" i="12"/>
  <c r="I24" i="12"/>
  <c r="H24" i="12"/>
  <c r="G24" i="12"/>
  <c r="F24" i="12"/>
  <c r="E24" i="12"/>
  <c r="D24" i="12"/>
  <c r="J23" i="12"/>
  <c r="I23" i="12"/>
  <c r="H23" i="12"/>
  <c r="G23" i="12"/>
  <c r="F23" i="12"/>
  <c r="E23" i="12"/>
  <c r="D23" i="12"/>
  <c r="K23" i="12" s="1"/>
  <c r="J22" i="12"/>
  <c r="I22" i="12"/>
  <c r="H22" i="12"/>
  <c r="G22" i="12"/>
  <c r="F22" i="12"/>
  <c r="E22" i="12"/>
  <c r="D22" i="12"/>
  <c r="J21" i="12"/>
  <c r="I21" i="12"/>
  <c r="H21" i="12"/>
  <c r="G21" i="12"/>
  <c r="F21" i="12"/>
  <c r="E21" i="12"/>
  <c r="D21" i="12"/>
  <c r="K21" i="12" s="1"/>
  <c r="J20" i="12"/>
  <c r="I20" i="12"/>
  <c r="H20" i="12"/>
  <c r="G20" i="12"/>
  <c r="F20" i="12"/>
  <c r="E20" i="12"/>
  <c r="D20" i="12"/>
  <c r="J19" i="12"/>
  <c r="I19" i="12"/>
  <c r="H19" i="12"/>
  <c r="G19" i="12"/>
  <c r="F19" i="12"/>
  <c r="E19" i="12"/>
  <c r="D19" i="12"/>
  <c r="K19" i="12" s="1"/>
  <c r="J18" i="12"/>
  <c r="I18" i="12"/>
  <c r="H18" i="12"/>
  <c r="G18" i="12"/>
  <c r="F18" i="12"/>
  <c r="E18" i="12"/>
  <c r="D18" i="12"/>
  <c r="J17" i="12"/>
  <c r="I17" i="12"/>
  <c r="H17" i="12"/>
  <c r="G17" i="12"/>
  <c r="F17" i="12"/>
  <c r="E17" i="12"/>
  <c r="D17" i="12"/>
  <c r="J16" i="12"/>
  <c r="I16" i="12"/>
  <c r="H16" i="12"/>
  <c r="G16" i="12"/>
  <c r="F16" i="12"/>
  <c r="E16" i="12"/>
  <c r="D16" i="12"/>
  <c r="J15" i="12"/>
  <c r="I15" i="12"/>
  <c r="H15" i="12"/>
  <c r="G15" i="12"/>
  <c r="F15" i="12"/>
  <c r="E15" i="12"/>
  <c r="D15" i="12"/>
  <c r="K15" i="12" s="1"/>
  <c r="J14" i="12"/>
  <c r="I14" i="12"/>
  <c r="H14" i="12"/>
  <c r="G14" i="12"/>
  <c r="F14" i="12"/>
  <c r="E14" i="12"/>
  <c r="D14" i="12"/>
  <c r="J13" i="12"/>
  <c r="I13" i="12"/>
  <c r="H13" i="12"/>
  <c r="G13" i="12"/>
  <c r="F13" i="12"/>
  <c r="E13" i="12"/>
  <c r="D13" i="12"/>
  <c r="K13" i="12" s="1"/>
  <c r="J12" i="12"/>
  <c r="I12" i="12"/>
  <c r="H12" i="12"/>
  <c r="G12" i="12"/>
  <c r="F12" i="12"/>
  <c r="E12" i="12"/>
  <c r="D12" i="12"/>
  <c r="J11" i="12"/>
  <c r="I11" i="12"/>
  <c r="H11" i="12"/>
  <c r="G11" i="12"/>
  <c r="F11" i="12"/>
  <c r="E11" i="12"/>
  <c r="D11" i="12"/>
  <c r="K11" i="12" s="1"/>
  <c r="J10" i="12"/>
  <c r="I10" i="12"/>
  <c r="H10" i="12"/>
  <c r="G10" i="12"/>
  <c r="F10" i="12"/>
  <c r="E10" i="12"/>
  <c r="D10" i="12"/>
  <c r="J9" i="12"/>
  <c r="I9" i="12"/>
  <c r="H9" i="12"/>
  <c r="G9" i="12"/>
  <c r="F9" i="12"/>
  <c r="E9" i="12"/>
  <c r="D9" i="12"/>
  <c r="J8" i="12"/>
  <c r="I8" i="12"/>
  <c r="H8" i="12"/>
  <c r="G8" i="12"/>
  <c r="F8" i="12"/>
  <c r="E8" i="12"/>
  <c r="D8" i="12"/>
  <c r="J7" i="12"/>
  <c r="I7" i="12"/>
  <c r="H7" i="12"/>
  <c r="G7" i="12"/>
  <c r="F7" i="12"/>
  <c r="E7" i="12"/>
  <c r="D7" i="12"/>
  <c r="K7" i="12" s="1"/>
  <c r="J6" i="12"/>
  <c r="I6" i="12"/>
  <c r="H6" i="12"/>
  <c r="G6" i="12"/>
  <c r="F6" i="12"/>
  <c r="E6" i="12"/>
  <c r="D6" i="12"/>
  <c r="J5" i="12"/>
  <c r="I5" i="12"/>
  <c r="H5" i="12"/>
  <c r="G5" i="12"/>
  <c r="F5" i="12"/>
  <c r="E5" i="12"/>
  <c r="D5" i="12"/>
  <c r="K5" i="12" s="1"/>
  <c r="J4" i="12"/>
  <c r="I4" i="12"/>
  <c r="H4" i="12"/>
  <c r="G4" i="12"/>
  <c r="F4" i="12"/>
  <c r="E4" i="12"/>
  <c r="D4" i="12"/>
  <c r="J3" i="12"/>
  <c r="I3" i="12"/>
  <c r="H3" i="12"/>
  <c r="G3" i="12"/>
  <c r="F3" i="12"/>
  <c r="E3" i="12"/>
  <c r="D3" i="12"/>
  <c r="K3" i="12" s="1"/>
  <c r="S7" i="11"/>
  <c r="S6" i="11"/>
  <c r="D54" i="8"/>
  <c r="E52" i="8" s="1"/>
  <c r="Q83" i="9"/>
  <c r="J83" i="9"/>
  <c r="I83" i="9"/>
  <c r="H83" i="9"/>
  <c r="G83" i="9"/>
  <c r="F83" i="9"/>
  <c r="E83" i="9"/>
  <c r="D83" i="9"/>
  <c r="Q82" i="9"/>
  <c r="J82" i="9"/>
  <c r="I82" i="9"/>
  <c r="H82" i="9"/>
  <c r="G82" i="9"/>
  <c r="F82" i="9"/>
  <c r="E82" i="9"/>
  <c r="D82" i="9"/>
  <c r="Q81" i="9"/>
  <c r="J81" i="9"/>
  <c r="I81" i="9"/>
  <c r="H81" i="9"/>
  <c r="G81" i="9"/>
  <c r="F81" i="9"/>
  <c r="E81" i="9"/>
  <c r="D81" i="9"/>
  <c r="Q80" i="9"/>
  <c r="J80" i="9"/>
  <c r="I80" i="9"/>
  <c r="H80" i="9"/>
  <c r="G80" i="9"/>
  <c r="F80" i="9"/>
  <c r="E80" i="9"/>
  <c r="D80" i="9"/>
  <c r="Q79" i="9"/>
  <c r="J79" i="9"/>
  <c r="I79" i="9"/>
  <c r="H79" i="9"/>
  <c r="G79" i="9"/>
  <c r="F79" i="9"/>
  <c r="E79" i="9"/>
  <c r="D79" i="9"/>
  <c r="K79" i="9" s="1"/>
  <c r="Q78" i="9"/>
  <c r="J78" i="9"/>
  <c r="I78" i="9"/>
  <c r="H78" i="9"/>
  <c r="G78" i="9"/>
  <c r="F78" i="9"/>
  <c r="E78" i="9"/>
  <c r="D78" i="9"/>
  <c r="Q77" i="9"/>
  <c r="J77" i="9"/>
  <c r="I77" i="9"/>
  <c r="H77" i="9"/>
  <c r="G77" i="9"/>
  <c r="F77" i="9"/>
  <c r="E77" i="9"/>
  <c r="D77" i="9"/>
  <c r="K77" i="9" s="1"/>
  <c r="Q76" i="9"/>
  <c r="J76" i="9"/>
  <c r="I76" i="9"/>
  <c r="H76" i="9"/>
  <c r="G76" i="9"/>
  <c r="F76" i="9"/>
  <c r="E76" i="9"/>
  <c r="D76" i="9"/>
  <c r="Q75" i="9"/>
  <c r="J75" i="9"/>
  <c r="I75" i="9"/>
  <c r="H75" i="9"/>
  <c r="G75" i="9"/>
  <c r="F75" i="9"/>
  <c r="E75" i="9"/>
  <c r="D75" i="9"/>
  <c r="K75" i="9" s="1"/>
  <c r="Q74" i="9"/>
  <c r="J74" i="9"/>
  <c r="I74" i="9"/>
  <c r="H74" i="9"/>
  <c r="G74" i="9"/>
  <c r="F74" i="9"/>
  <c r="E74" i="9"/>
  <c r="D74" i="9"/>
  <c r="Q73" i="9"/>
  <c r="J73" i="9"/>
  <c r="I73" i="9"/>
  <c r="H73" i="9"/>
  <c r="G73" i="9"/>
  <c r="F73" i="9"/>
  <c r="E73" i="9"/>
  <c r="D73" i="9"/>
  <c r="K73" i="9" s="1"/>
  <c r="Q72" i="9"/>
  <c r="J72" i="9"/>
  <c r="I72" i="9"/>
  <c r="H72" i="9"/>
  <c r="G72" i="9"/>
  <c r="F72" i="9"/>
  <c r="E72" i="9"/>
  <c r="D72" i="9"/>
  <c r="Q71" i="9"/>
  <c r="J71" i="9"/>
  <c r="I71" i="9"/>
  <c r="H71" i="9"/>
  <c r="G71" i="9"/>
  <c r="F71" i="9"/>
  <c r="E71" i="9"/>
  <c r="D71" i="9"/>
  <c r="K71" i="9" s="1"/>
  <c r="Q70" i="9"/>
  <c r="J70" i="9"/>
  <c r="I70" i="9"/>
  <c r="H70" i="9"/>
  <c r="G70" i="9"/>
  <c r="F70" i="9"/>
  <c r="E70" i="9"/>
  <c r="D70" i="9"/>
  <c r="Q69" i="9"/>
  <c r="J69" i="9"/>
  <c r="I69" i="9"/>
  <c r="H69" i="9"/>
  <c r="G69" i="9"/>
  <c r="F69" i="9"/>
  <c r="E69" i="9"/>
  <c r="D69" i="9"/>
  <c r="K69" i="9" s="1"/>
  <c r="Q68" i="9"/>
  <c r="J68" i="9"/>
  <c r="I68" i="9"/>
  <c r="W79" i="9" s="1"/>
  <c r="H68" i="9"/>
  <c r="G68" i="9"/>
  <c r="V79" i="9" s="1"/>
  <c r="F68" i="9"/>
  <c r="U79" i="9" s="1"/>
  <c r="E68" i="9"/>
  <c r="T79" i="9" s="1"/>
  <c r="D68" i="9"/>
  <c r="Q67" i="9"/>
  <c r="J67" i="9"/>
  <c r="I67" i="9"/>
  <c r="W78" i="9" s="1"/>
  <c r="H67" i="9"/>
  <c r="G67" i="9"/>
  <c r="V78" i="9" s="1"/>
  <c r="F67" i="9"/>
  <c r="U78" i="9" s="1"/>
  <c r="E67" i="9"/>
  <c r="D67" i="9"/>
  <c r="K67" i="9" s="1"/>
  <c r="Q66" i="9"/>
  <c r="J66" i="9"/>
  <c r="I66" i="9"/>
  <c r="W77" i="9" s="1"/>
  <c r="H66" i="9"/>
  <c r="G66" i="9"/>
  <c r="V77" i="9" s="1"/>
  <c r="F66" i="9"/>
  <c r="U77" i="9" s="1"/>
  <c r="E66" i="9"/>
  <c r="T77" i="9" s="1"/>
  <c r="D66" i="9"/>
  <c r="Q65" i="9"/>
  <c r="J65" i="9"/>
  <c r="I65" i="9"/>
  <c r="W76" i="9" s="1"/>
  <c r="H65" i="9"/>
  <c r="G65" i="9"/>
  <c r="V76" i="9" s="1"/>
  <c r="F65" i="9"/>
  <c r="U76" i="9" s="1"/>
  <c r="E65" i="9"/>
  <c r="D65" i="9"/>
  <c r="K65" i="9" s="1"/>
  <c r="Q64" i="9"/>
  <c r="J64" i="9"/>
  <c r="I64" i="9"/>
  <c r="W75" i="9" s="1"/>
  <c r="H64" i="9"/>
  <c r="G64" i="9"/>
  <c r="V75" i="9" s="1"/>
  <c r="F64" i="9"/>
  <c r="U75" i="9" s="1"/>
  <c r="E64" i="9"/>
  <c r="D64" i="9"/>
  <c r="Q63" i="9"/>
  <c r="J63" i="9"/>
  <c r="I63" i="9"/>
  <c r="W74" i="9" s="1"/>
  <c r="H63" i="9"/>
  <c r="G63" i="9"/>
  <c r="V74" i="9" s="1"/>
  <c r="F63" i="9"/>
  <c r="U74" i="9" s="1"/>
  <c r="E63" i="9"/>
  <c r="D63" i="9"/>
  <c r="Q62" i="9"/>
  <c r="J62" i="9"/>
  <c r="I62" i="9"/>
  <c r="W73" i="9" s="1"/>
  <c r="H62" i="9"/>
  <c r="G62" i="9"/>
  <c r="V73" i="9" s="1"/>
  <c r="F62" i="9"/>
  <c r="U73" i="9" s="1"/>
  <c r="E62" i="9"/>
  <c r="T73" i="9" s="1"/>
  <c r="D62" i="9"/>
  <c r="Q61" i="9"/>
  <c r="J61" i="9"/>
  <c r="I61" i="9"/>
  <c r="W72" i="9" s="1"/>
  <c r="H61" i="9"/>
  <c r="G61" i="9"/>
  <c r="V72" i="9" s="1"/>
  <c r="F61" i="9"/>
  <c r="U72" i="9" s="1"/>
  <c r="E61" i="9"/>
  <c r="D61" i="9"/>
  <c r="S72" i="9" s="1"/>
  <c r="Q60" i="9"/>
  <c r="J60" i="9"/>
  <c r="I60" i="9"/>
  <c r="W71" i="9" s="1"/>
  <c r="H60" i="9"/>
  <c r="G60" i="9"/>
  <c r="V71" i="9" s="1"/>
  <c r="F60" i="9"/>
  <c r="U71" i="9" s="1"/>
  <c r="E60" i="9"/>
  <c r="T71" i="9" s="1"/>
  <c r="D60" i="9"/>
  <c r="Q59" i="9"/>
  <c r="J59" i="9"/>
  <c r="I59" i="9"/>
  <c r="W70" i="9" s="1"/>
  <c r="H59" i="9"/>
  <c r="G59" i="9"/>
  <c r="V70" i="9" s="1"/>
  <c r="F59" i="9"/>
  <c r="U70" i="9" s="1"/>
  <c r="E59" i="9"/>
  <c r="D59" i="9"/>
  <c r="K59" i="9" s="1"/>
  <c r="Q58" i="9"/>
  <c r="J58" i="9"/>
  <c r="I58" i="9"/>
  <c r="W69" i="9" s="1"/>
  <c r="H58" i="9"/>
  <c r="G58" i="9"/>
  <c r="V69" i="9" s="1"/>
  <c r="F58" i="9"/>
  <c r="U69" i="9" s="1"/>
  <c r="E58" i="9"/>
  <c r="D58" i="9"/>
  <c r="Q57" i="9"/>
  <c r="J57" i="9"/>
  <c r="I57" i="9"/>
  <c r="W68" i="9" s="1"/>
  <c r="H57" i="9"/>
  <c r="G57" i="9"/>
  <c r="V68" i="9" s="1"/>
  <c r="F57" i="9"/>
  <c r="U68" i="9" s="1"/>
  <c r="E57" i="9"/>
  <c r="D57" i="9"/>
  <c r="Q56" i="9"/>
  <c r="J56" i="9"/>
  <c r="I56" i="9"/>
  <c r="W67" i="9" s="1"/>
  <c r="H56" i="9"/>
  <c r="G56" i="9"/>
  <c r="V67" i="9" s="1"/>
  <c r="F56" i="9"/>
  <c r="U67" i="9" s="1"/>
  <c r="E56" i="9"/>
  <c r="T67" i="9" s="1"/>
  <c r="D56" i="9"/>
  <c r="Q55" i="9"/>
  <c r="J55" i="9"/>
  <c r="I55" i="9"/>
  <c r="W66" i="9" s="1"/>
  <c r="H55" i="9"/>
  <c r="G55" i="9"/>
  <c r="V66" i="9" s="1"/>
  <c r="F55" i="9"/>
  <c r="U66" i="9" s="1"/>
  <c r="E55" i="9"/>
  <c r="D55" i="9"/>
  <c r="K55" i="9" s="1"/>
  <c r="Q54" i="9"/>
  <c r="J54" i="9"/>
  <c r="I54" i="9"/>
  <c r="W65" i="9" s="1"/>
  <c r="H54" i="9"/>
  <c r="G54" i="9"/>
  <c r="V65" i="9" s="1"/>
  <c r="F54" i="9"/>
  <c r="U65" i="9" s="1"/>
  <c r="E54" i="9"/>
  <c r="D54" i="9"/>
  <c r="Q53" i="9"/>
  <c r="J53" i="9"/>
  <c r="I53" i="9"/>
  <c r="W64" i="9" s="1"/>
  <c r="H53" i="9"/>
  <c r="G53" i="9"/>
  <c r="V64" i="9" s="1"/>
  <c r="F53" i="9"/>
  <c r="U64" i="9" s="1"/>
  <c r="E53" i="9"/>
  <c r="D53" i="9"/>
  <c r="K53" i="9" s="1"/>
  <c r="Q52" i="9"/>
  <c r="J52" i="9"/>
  <c r="I52" i="9"/>
  <c r="W63" i="9" s="1"/>
  <c r="H52" i="9"/>
  <c r="G52" i="9"/>
  <c r="V63" i="9" s="1"/>
  <c r="F52" i="9"/>
  <c r="U63" i="9" s="1"/>
  <c r="E52" i="9"/>
  <c r="T63" i="9" s="1"/>
  <c r="D52" i="9"/>
  <c r="Q51" i="9"/>
  <c r="J51" i="9"/>
  <c r="I51" i="9"/>
  <c r="W62" i="9" s="1"/>
  <c r="H51" i="9"/>
  <c r="G51" i="9"/>
  <c r="V62" i="9" s="1"/>
  <c r="F51" i="9"/>
  <c r="U62" i="9" s="1"/>
  <c r="E51" i="9"/>
  <c r="D51" i="9"/>
  <c r="K51" i="9" s="1"/>
  <c r="Q50" i="9"/>
  <c r="J50" i="9"/>
  <c r="I50" i="9"/>
  <c r="W61" i="9" s="1"/>
  <c r="H50" i="9"/>
  <c r="G50" i="9"/>
  <c r="V61" i="9" s="1"/>
  <c r="F50" i="9"/>
  <c r="U61" i="9" s="1"/>
  <c r="E50" i="9"/>
  <c r="T61" i="9" s="1"/>
  <c r="D50" i="9"/>
  <c r="Q49" i="9"/>
  <c r="J49" i="9"/>
  <c r="I49" i="9"/>
  <c r="W60" i="9" s="1"/>
  <c r="H49" i="9"/>
  <c r="G49" i="9"/>
  <c r="V60" i="9" s="1"/>
  <c r="F49" i="9"/>
  <c r="U60" i="9" s="1"/>
  <c r="E49" i="9"/>
  <c r="D49" i="9"/>
  <c r="Q48" i="9"/>
  <c r="J48" i="9"/>
  <c r="I48" i="9"/>
  <c r="W59" i="9" s="1"/>
  <c r="H48" i="9"/>
  <c r="G48" i="9"/>
  <c r="V59" i="9" s="1"/>
  <c r="F48" i="9"/>
  <c r="U59" i="9" s="1"/>
  <c r="E48" i="9"/>
  <c r="T59" i="9" s="1"/>
  <c r="D48" i="9"/>
  <c r="Q47" i="9"/>
  <c r="J47" i="9"/>
  <c r="I47" i="9"/>
  <c r="W58" i="9" s="1"/>
  <c r="H47" i="9"/>
  <c r="G47" i="9"/>
  <c r="V58" i="9" s="1"/>
  <c r="F47" i="9"/>
  <c r="U58" i="9" s="1"/>
  <c r="E47" i="9"/>
  <c r="D47" i="9"/>
  <c r="S58" i="9" s="1"/>
  <c r="Q46" i="9"/>
  <c r="J46" i="9"/>
  <c r="I46" i="9"/>
  <c r="W57" i="9" s="1"/>
  <c r="H46" i="9"/>
  <c r="G46" i="9"/>
  <c r="V57" i="9" s="1"/>
  <c r="F46" i="9"/>
  <c r="U57" i="9" s="1"/>
  <c r="E46" i="9"/>
  <c r="D46" i="9"/>
  <c r="Q45" i="9"/>
  <c r="J45" i="9"/>
  <c r="I45" i="9"/>
  <c r="W56" i="9" s="1"/>
  <c r="H45" i="9"/>
  <c r="G45" i="9"/>
  <c r="V56" i="9" s="1"/>
  <c r="F45" i="9"/>
  <c r="U56" i="9" s="1"/>
  <c r="E45" i="9"/>
  <c r="D45" i="9"/>
  <c r="Q44" i="9"/>
  <c r="J44" i="9"/>
  <c r="I44" i="9"/>
  <c r="W55" i="9" s="1"/>
  <c r="H44" i="9"/>
  <c r="G44" i="9"/>
  <c r="V55" i="9" s="1"/>
  <c r="F44" i="9"/>
  <c r="U55" i="9" s="1"/>
  <c r="E44" i="9"/>
  <c r="T55" i="9" s="1"/>
  <c r="D44" i="9"/>
  <c r="Q43" i="9"/>
  <c r="J43" i="9"/>
  <c r="I43" i="9"/>
  <c r="W54" i="9" s="1"/>
  <c r="H43" i="9"/>
  <c r="G43" i="9"/>
  <c r="V54" i="9" s="1"/>
  <c r="F43" i="9"/>
  <c r="U54" i="9" s="1"/>
  <c r="E43" i="9"/>
  <c r="D43" i="9"/>
  <c r="K43" i="9" s="1"/>
  <c r="Q42" i="9"/>
  <c r="J42" i="9"/>
  <c r="I42" i="9"/>
  <c r="W53" i="9" s="1"/>
  <c r="H42" i="9"/>
  <c r="G42" i="9"/>
  <c r="V53" i="9" s="1"/>
  <c r="F42" i="9"/>
  <c r="U53" i="9" s="1"/>
  <c r="E42" i="9"/>
  <c r="D42" i="9"/>
  <c r="Q41" i="9"/>
  <c r="J41" i="9"/>
  <c r="I41" i="9"/>
  <c r="W52" i="9" s="1"/>
  <c r="H41" i="9"/>
  <c r="G41" i="9"/>
  <c r="V52" i="9" s="1"/>
  <c r="F41" i="9"/>
  <c r="U52" i="9" s="1"/>
  <c r="E41" i="9"/>
  <c r="D41" i="9"/>
  <c r="Q40" i="9"/>
  <c r="J40" i="9"/>
  <c r="I40" i="9"/>
  <c r="W51" i="9" s="1"/>
  <c r="H40" i="9"/>
  <c r="G40" i="9"/>
  <c r="V51" i="9" s="1"/>
  <c r="F40" i="9"/>
  <c r="U51" i="9" s="1"/>
  <c r="E40" i="9"/>
  <c r="D40" i="9"/>
  <c r="S51" i="9" s="1"/>
  <c r="Q39" i="9"/>
  <c r="J39" i="9"/>
  <c r="I39" i="9"/>
  <c r="W50" i="9" s="1"/>
  <c r="H39" i="9"/>
  <c r="G39" i="9"/>
  <c r="V50" i="9" s="1"/>
  <c r="F39" i="9"/>
  <c r="U50" i="9" s="1"/>
  <c r="E39" i="9"/>
  <c r="D39" i="9"/>
  <c r="K39" i="9" s="1"/>
  <c r="Q38" i="9"/>
  <c r="J38" i="9"/>
  <c r="I38" i="9"/>
  <c r="W49" i="9" s="1"/>
  <c r="H38" i="9"/>
  <c r="G38" i="9"/>
  <c r="V49" i="9" s="1"/>
  <c r="F38" i="9"/>
  <c r="U49" i="9" s="1"/>
  <c r="E38" i="9"/>
  <c r="T49" i="9" s="1"/>
  <c r="D38" i="9"/>
  <c r="S49" i="9" s="1"/>
  <c r="Q37" i="9"/>
  <c r="J37" i="9"/>
  <c r="I37" i="9"/>
  <c r="W48" i="9" s="1"/>
  <c r="H37" i="9"/>
  <c r="G37" i="9"/>
  <c r="V48" i="9" s="1"/>
  <c r="F37" i="9"/>
  <c r="U48" i="9" s="1"/>
  <c r="E37" i="9"/>
  <c r="D37" i="9"/>
  <c r="S48" i="9" s="1"/>
  <c r="Q36" i="9"/>
  <c r="J36" i="9"/>
  <c r="I36" i="9"/>
  <c r="W47" i="9" s="1"/>
  <c r="H36" i="9"/>
  <c r="G36" i="9"/>
  <c r="V47" i="9" s="1"/>
  <c r="F36" i="9"/>
  <c r="U47" i="9" s="1"/>
  <c r="E36" i="9"/>
  <c r="T47" i="9" s="1"/>
  <c r="D36" i="9"/>
  <c r="Q35" i="9"/>
  <c r="J35" i="9"/>
  <c r="I35" i="9"/>
  <c r="H35" i="9"/>
  <c r="G35" i="9"/>
  <c r="V46" i="9" s="1"/>
  <c r="F35" i="9"/>
  <c r="U46" i="9" s="1"/>
  <c r="E35" i="9"/>
  <c r="T46" i="9" s="1"/>
  <c r="D35" i="9"/>
  <c r="Q34" i="9"/>
  <c r="J34" i="9"/>
  <c r="I34" i="9"/>
  <c r="H34" i="9"/>
  <c r="G34" i="9"/>
  <c r="V45" i="9" s="1"/>
  <c r="F34" i="9"/>
  <c r="U45" i="9" s="1"/>
  <c r="E34" i="9"/>
  <c r="T45" i="9" s="1"/>
  <c r="D34" i="9"/>
  <c r="S45" i="9" s="1"/>
  <c r="Q33" i="9"/>
  <c r="J33" i="9"/>
  <c r="I33" i="9"/>
  <c r="H33" i="9"/>
  <c r="G33" i="9"/>
  <c r="V44" i="9" s="1"/>
  <c r="F33" i="9"/>
  <c r="U44" i="9" s="1"/>
  <c r="E33" i="9"/>
  <c r="T44" i="9" s="1"/>
  <c r="D33" i="9"/>
  <c r="S44" i="9" s="1"/>
  <c r="Q32" i="9"/>
  <c r="J32" i="9"/>
  <c r="I32" i="9"/>
  <c r="H32" i="9"/>
  <c r="G32" i="9"/>
  <c r="V43" i="9" s="1"/>
  <c r="F32" i="9"/>
  <c r="U43" i="9" s="1"/>
  <c r="E32" i="9"/>
  <c r="T43" i="9" s="1"/>
  <c r="D32" i="9"/>
  <c r="Q31" i="9"/>
  <c r="J31" i="9"/>
  <c r="I31" i="9"/>
  <c r="H31" i="9"/>
  <c r="G31" i="9"/>
  <c r="V42" i="9" s="1"/>
  <c r="F31" i="9"/>
  <c r="U42" i="9" s="1"/>
  <c r="E31" i="9"/>
  <c r="T42" i="9" s="1"/>
  <c r="D31" i="9"/>
  <c r="Q30" i="9"/>
  <c r="J30" i="9"/>
  <c r="I30" i="9"/>
  <c r="H30" i="9"/>
  <c r="G30" i="9"/>
  <c r="V41" i="9" s="1"/>
  <c r="F30" i="9"/>
  <c r="U41" i="9" s="1"/>
  <c r="E30" i="9"/>
  <c r="T41" i="9" s="1"/>
  <c r="D30" i="9"/>
  <c r="S41" i="9" s="1"/>
  <c r="Q29" i="9"/>
  <c r="J29" i="9"/>
  <c r="I29" i="9"/>
  <c r="H29" i="9"/>
  <c r="G29" i="9"/>
  <c r="V40" i="9" s="1"/>
  <c r="F29" i="9"/>
  <c r="U40" i="9" s="1"/>
  <c r="E29" i="9"/>
  <c r="D29" i="9"/>
  <c r="Q28" i="9"/>
  <c r="J28" i="9"/>
  <c r="I28" i="9"/>
  <c r="H28" i="9"/>
  <c r="G28" i="9"/>
  <c r="V39" i="9" s="1"/>
  <c r="F28" i="9"/>
  <c r="U39" i="9" s="1"/>
  <c r="E28" i="9"/>
  <c r="D28" i="9"/>
  <c r="S39" i="9" s="1"/>
  <c r="Q27" i="9"/>
  <c r="J27" i="9"/>
  <c r="I27" i="9"/>
  <c r="H27" i="9"/>
  <c r="G27" i="9"/>
  <c r="V38" i="9" s="1"/>
  <c r="F27" i="9"/>
  <c r="U38" i="9" s="1"/>
  <c r="E27" i="9"/>
  <c r="D27" i="9"/>
  <c r="Q26" i="9"/>
  <c r="J26" i="9"/>
  <c r="I26" i="9"/>
  <c r="H26" i="9"/>
  <c r="G26" i="9"/>
  <c r="V37" i="9" s="1"/>
  <c r="F26" i="9"/>
  <c r="U37" i="9" s="1"/>
  <c r="E26" i="9"/>
  <c r="T37" i="9" s="1"/>
  <c r="D26" i="9"/>
  <c r="S37" i="9" s="1"/>
  <c r="Q25" i="9"/>
  <c r="J25" i="9"/>
  <c r="I25" i="9"/>
  <c r="H25" i="9"/>
  <c r="G25" i="9"/>
  <c r="V36" i="9" s="1"/>
  <c r="F25" i="9"/>
  <c r="U36" i="9" s="1"/>
  <c r="E25" i="9"/>
  <c r="D25" i="9"/>
  <c r="Q24" i="9"/>
  <c r="J24" i="9"/>
  <c r="I24" i="9"/>
  <c r="H24" i="9"/>
  <c r="G24" i="9"/>
  <c r="V35" i="9" s="1"/>
  <c r="F24" i="9"/>
  <c r="U35" i="9" s="1"/>
  <c r="E24" i="9"/>
  <c r="T35" i="9" s="1"/>
  <c r="D24" i="9"/>
  <c r="S35" i="9" s="1"/>
  <c r="Q23" i="9"/>
  <c r="J23" i="9"/>
  <c r="I23" i="9"/>
  <c r="H23" i="9"/>
  <c r="G23" i="9"/>
  <c r="V34" i="9" s="1"/>
  <c r="F23" i="9"/>
  <c r="U34" i="9" s="1"/>
  <c r="E23" i="9"/>
  <c r="D23" i="9"/>
  <c r="Q22" i="9"/>
  <c r="J22" i="9"/>
  <c r="I22" i="9"/>
  <c r="H22" i="9"/>
  <c r="G22" i="9"/>
  <c r="V33" i="9" s="1"/>
  <c r="F22" i="9"/>
  <c r="U33" i="9" s="1"/>
  <c r="E22" i="9"/>
  <c r="T33" i="9" s="1"/>
  <c r="D22" i="9"/>
  <c r="S33" i="9" s="1"/>
  <c r="Q21" i="9"/>
  <c r="J21" i="9"/>
  <c r="I21" i="9"/>
  <c r="H21" i="9"/>
  <c r="G21" i="9"/>
  <c r="V32" i="9" s="1"/>
  <c r="F21" i="9"/>
  <c r="U32" i="9" s="1"/>
  <c r="E21" i="9"/>
  <c r="D21" i="9"/>
  <c r="Q20" i="9"/>
  <c r="J20" i="9"/>
  <c r="I20" i="9"/>
  <c r="H20" i="9"/>
  <c r="G20" i="9"/>
  <c r="V31" i="9" s="1"/>
  <c r="F20" i="9"/>
  <c r="U31" i="9" s="1"/>
  <c r="E20" i="9"/>
  <c r="T31" i="9" s="1"/>
  <c r="D20" i="9"/>
  <c r="S31" i="9" s="1"/>
  <c r="Q19" i="9"/>
  <c r="J19" i="9"/>
  <c r="I19" i="9"/>
  <c r="H19" i="9"/>
  <c r="G19" i="9"/>
  <c r="V30" i="9" s="1"/>
  <c r="F19" i="9"/>
  <c r="U30" i="9" s="1"/>
  <c r="E19" i="9"/>
  <c r="D19" i="9"/>
  <c r="Q18" i="9"/>
  <c r="J18" i="9"/>
  <c r="I18" i="9"/>
  <c r="H18" i="9"/>
  <c r="G18" i="9"/>
  <c r="V29" i="9" s="1"/>
  <c r="F18" i="9"/>
  <c r="U29" i="9" s="1"/>
  <c r="E18" i="9"/>
  <c r="T29" i="9" s="1"/>
  <c r="D18" i="9"/>
  <c r="S29" i="9" s="1"/>
  <c r="Q17" i="9"/>
  <c r="J17" i="9"/>
  <c r="I17" i="9"/>
  <c r="H17" i="9"/>
  <c r="G17" i="9"/>
  <c r="V28" i="9" s="1"/>
  <c r="F17" i="9"/>
  <c r="U28" i="9" s="1"/>
  <c r="E17" i="9"/>
  <c r="D17" i="9"/>
  <c r="Q16" i="9"/>
  <c r="J16" i="9"/>
  <c r="I16" i="9"/>
  <c r="H16" i="9"/>
  <c r="G16" i="9"/>
  <c r="V27" i="9" s="1"/>
  <c r="F16" i="9"/>
  <c r="U27" i="9" s="1"/>
  <c r="E16" i="9"/>
  <c r="D16" i="9"/>
  <c r="S27" i="9" s="1"/>
  <c r="Q15" i="9"/>
  <c r="J15" i="9"/>
  <c r="I15" i="9"/>
  <c r="H15" i="9"/>
  <c r="G15" i="9"/>
  <c r="V26" i="9" s="1"/>
  <c r="F15" i="9"/>
  <c r="U26" i="9" s="1"/>
  <c r="E15" i="9"/>
  <c r="D15" i="9"/>
  <c r="Q14" i="9"/>
  <c r="J14" i="9"/>
  <c r="I14" i="9"/>
  <c r="H14" i="9"/>
  <c r="G14" i="9"/>
  <c r="V25" i="9" s="1"/>
  <c r="F14" i="9"/>
  <c r="U25" i="9" s="1"/>
  <c r="E14" i="9"/>
  <c r="D14" i="9"/>
  <c r="S25" i="9" s="1"/>
  <c r="Q13" i="9"/>
  <c r="J13" i="9"/>
  <c r="I13" i="9"/>
  <c r="H13" i="9"/>
  <c r="G13" i="9"/>
  <c r="V24" i="9" s="1"/>
  <c r="F13" i="9"/>
  <c r="U24" i="9" s="1"/>
  <c r="E13" i="9"/>
  <c r="D13" i="9"/>
  <c r="Q12" i="9"/>
  <c r="J12" i="9"/>
  <c r="I12" i="9"/>
  <c r="H12" i="9"/>
  <c r="G12" i="9"/>
  <c r="V23" i="9" s="1"/>
  <c r="F12" i="9"/>
  <c r="U23" i="9" s="1"/>
  <c r="E12" i="9"/>
  <c r="D12" i="9"/>
  <c r="S23" i="9" s="1"/>
  <c r="Q11" i="9"/>
  <c r="J11" i="9"/>
  <c r="I11" i="9"/>
  <c r="H11" i="9"/>
  <c r="G11" i="9"/>
  <c r="V22" i="9" s="1"/>
  <c r="F11" i="9"/>
  <c r="U22" i="9" s="1"/>
  <c r="E11" i="9"/>
  <c r="D11" i="9"/>
  <c r="Q10" i="9"/>
  <c r="J10" i="9"/>
  <c r="I10" i="9"/>
  <c r="H10" i="9"/>
  <c r="G10" i="9"/>
  <c r="V21" i="9" s="1"/>
  <c r="F10" i="9"/>
  <c r="U21" i="9" s="1"/>
  <c r="E10" i="9"/>
  <c r="D10" i="9"/>
  <c r="S21" i="9" s="1"/>
  <c r="Q9" i="9"/>
  <c r="J9" i="9"/>
  <c r="I9" i="9"/>
  <c r="H9" i="9"/>
  <c r="G9" i="9"/>
  <c r="V20" i="9" s="1"/>
  <c r="F9" i="9"/>
  <c r="U20" i="9" s="1"/>
  <c r="E9" i="9"/>
  <c r="D9" i="9"/>
  <c r="Q8" i="9"/>
  <c r="J8" i="9"/>
  <c r="I8" i="9"/>
  <c r="H8" i="9"/>
  <c r="G8" i="9"/>
  <c r="V19" i="9" s="1"/>
  <c r="F8" i="9"/>
  <c r="U19" i="9" s="1"/>
  <c r="E8" i="9"/>
  <c r="D8" i="9"/>
  <c r="S19" i="9" s="1"/>
  <c r="Q7" i="9"/>
  <c r="J7" i="9"/>
  <c r="I7" i="9"/>
  <c r="H7" i="9"/>
  <c r="G7" i="9"/>
  <c r="V18" i="9" s="1"/>
  <c r="F7" i="9"/>
  <c r="U18" i="9" s="1"/>
  <c r="E7" i="9"/>
  <c r="D7" i="9"/>
  <c r="Q6" i="9"/>
  <c r="J6" i="9"/>
  <c r="I6" i="9"/>
  <c r="H6" i="9"/>
  <c r="G6" i="9"/>
  <c r="V17" i="9" s="1"/>
  <c r="F6" i="9"/>
  <c r="U17" i="9" s="1"/>
  <c r="E6" i="9"/>
  <c r="D6" i="9"/>
  <c r="S17" i="9" s="1"/>
  <c r="Q5" i="9"/>
  <c r="J5" i="9"/>
  <c r="I5" i="9"/>
  <c r="H5" i="9"/>
  <c r="G5" i="9"/>
  <c r="V16" i="9" s="1"/>
  <c r="F5" i="9"/>
  <c r="U16" i="9" s="1"/>
  <c r="E5" i="9"/>
  <c r="D5" i="9"/>
  <c r="Q4" i="9"/>
  <c r="J4" i="9"/>
  <c r="I4" i="9"/>
  <c r="H4" i="9"/>
  <c r="G4" i="9"/>
  <c r="V15" i="9" s="1"/>
  <c r="F4" i="9"/>
  <c r="U15" i="9" s="1"/>
  <c r="E4" i="9"/>
  <c r="D4" i="9"/>
  <c r="S15" i="9" s="1"/>
  <c r="Q3" i="9"/>
  <c r="J3" i="9"/>
  <c r="I3" i="9"/>
  <c r="H3" i="9"/>
  <c r="G3" i="9"/>
  <c r="V14" i="9" s="1"/>
  <c r="F3" i="9"/>
  <c r="U14" i="9" s="1"/>
  <c r="E3" i="9"/>
  <c r="D3" i="9"/>
  <c r="M25" i="12" l="1"/>
  <c r="K26" i="9"/>
  <c r="M49" i="9"/>
  <c r="K10" i="9"/>
  <c r="M31" i="12"/>
  <c r="M67" i="12"/>
  <c r="O78" i="12" s="1"/>
  <c r="L9" i="9"/>
  <c r="K61" i="9"/>
  <c r="M73" i="9"/>
  <c r="N73" i="9" s="1"/>
  <c r="M44" i="9"/>
  <c r="K18" i="9"/>
  <c r="K47" i="9"/>
  <c r="K38" i="9"/>
  <c r="L80" i="9"/>
  <c r="L82" i="9"/>
  <c r="L83" i="9"/>
  <c r="L7" i="12"/>
  <c r="L11" i="12"/>
  <c r="L19" i="12"/>
  <c r="L25" i="12"/>
  <c r="L31" i="12"/>
  <c r="L59" i="12"/>
  <c r="M27" i="9"/>
  <c r="M29" i="9"/>
  <c r="M63" i="9"/>
  <c r="L15" i="9"/>
  <c r="L17" i="9"/>
  <c r="K30" i="9"/>
  <c r="L64" i="9"/>
  <c r="L69" i="9"/>
  <c r="L30" i="12"/>
  <c r="L33" i="12"/>
  <c r="M47" i="12"/>
  <c r="O58" i="12" s="1"/>
  <c r="L52" i="12"/>
  <c r="L56" i="12"/>
  <c r="K67" i="12"/>
  <c r="M69" i="12"/>
  <c r="O80" i="12" s="1"/>
  <c r="M75" i="12"/>
  <c r="M11" i="9"/>
  <c r="M13" i="9"/>
  <c r="M32" i="9"/>
  <c r="M41" i="9"/>
  <c r="E50" i="8"/>
  <c r="E49" i="8"/>
  <c r="L22" i="12"/>
  <c r="M23" i="12"/>
  <c r="N23" i="12" s="1"/>
  <c r="K14" i="9"/>
  <c r="M15" i="9"/>
  <c r="L23" i="9"/>
  <c r="L25" i="9"/>
  <c r="L40" i="9"/>
  <c r="K63" i="9"/>
  <c r="M67" i="9"/>
  <c r="N67" i="9" s="1"/>
  <c r="L74" i="9"/>
  <c r="E53" i="8"/>
  <c r="M17" i="12"/>
  <c r="L39" i="12"/>
  <c r="L43" i="12"/>
  <c r="M52" i="12"/>
  <c r="O63" i="12" s="1"/>
  <c r="K55" i="12"/>
  <c r="M55" i="12"/>
  <c r="O66" i="12" s="1"/>
  <c r="M59" i="12"/>
  <c r="O70" i="12" s="1"/>
  <c r="K59" i="12"/>
  <c r="L14" i="12"/>
  <c r="K54" i="12"/>
  <c r="M54" i="12"/>
  <c r="O65" i="12" s="1"/>
  <c r="M58" i="12"/>
  <c r="O69" i="12" s="1"/>
  <c r="K58" i="12"/>
  <c r="M3" i="9"/>
  <c r="M5" i="9"/>
  <c r="L7" i="9"/>
  <c r="M19" i="9"/>
  <c r="M21" i="9"/>
  <c r="K34" i="9"/>
  <c r="M35" i="9"/>
  <c r="M36" i="9"/>
  <c r="M45" i="9"/>
  <c r="M55" i="9"/>
  <c r="N55" i="9" s="1"/>
  <c r="M79" i="9"/>
  <c r="N79" i="9" s="1"/>
  <c r="L3" i="12"/>
  <c r="L6" i="12"/>
  <c r="M9" i="12"/>
  <c r="M15" i="12"/>
  <c r="N15" i="12" s="1"/>
  <c r="L17" i="12"/>
  <c r="L23" i="12"/>
  <c r="L35" i="12"/>
  <c r="L38" i="12"/>
  <c r="M41" i="12"/>
  <c r="O52" i="12" s="1"/>
  <c r="M53" i="12"/>
  <c r="O64" i="12" s="1"/>
  <c r="K53" i="12"/>
  <c r="M57" i="12"/>
  <c r="O68" i="12" s="1"/>
  <c r="K57" i="12"/>
  <c r="L58" i="12"/>
  <c r="S70" i="9"/>
  <c r="K6" i="9"/>
  <c r="M7" i="9"/>
  <c r="K22" i="9"/>
  <c r="M23" i="9"/>
  <c r="K37" i="9"/>
  <c r="K40" i="9"/>
  <c r="L54" i="9"/>
  <c r="M57" i="9"/>
  <c r="L72" i="9"/>
  <c r="M75" i="9"/>
  <c r="N75" i="9" s="1"/>
  <c r="L79" i="9"/>
  <c r="S8" i="11"/>
  <c r="M7" i="12"/>
  <c r="N7" i="12" s="1"/>
  <c r="L9" i="12"/>
  <c r="L15" i="12"/>
  <c r="L27" i="12"/>
  <c r="K31" i="12"/>
  <c r="M33" i="12"/>
  <c r="M39" i="12"/>
  <c r="O50" i="12" s="1"/>
  <c r="L41" i="12"/>
  <c r="L53" i="12"/>
  <c r="M56" i="12"/>
  <c r="O67" i="12" s="1"/>
  <c r="K56" i="12"/>
  <c r="L57" i="12"/>
  <c r="K75" i="12"/>
  <c r="M77" i="12"/>
  <c r="M83" i="12"/>
  <c r="K83" i="12"/>
  <c r="M46" i="12"/>
  <c r="O57" i="12" s="1"/>
  <c r="S52" i="9"/>
  <c r="T75" i="9"/>
  <c r="S74" i="9"/>
  <c r="L78" i="9"/>
  <c r="L12" i="12"/>
  <c r="L20" i="12"/>
  <c r="L36" i="12"/>
  <c r="L44" i="12"/>
  <c r="T65" i="9"/>
  <c r="S68" i="9"/>
  <c r="L81" i="9"/>
  <c r="L4" i="12"/>
  <c r="L28" i="12"/>
  <c r="M33" i="9"/>
  <c r="M39" i="9"/>
  <c r="N39" i="9" s="1"/>
  <c r="M43" i="9"/>
  <c r="N43" i="9" s="1"/>
  <c r="M47" i="9"/>
  <c r="S50" i="9"/>
  <c r="M51" i="9"/>
  <c r="N51" i="9" s="1"/>
  <c r="M53" i="9"/>
  <c r="N53" i="9" s="1"/>
  <c r="M61" i="9"/>
  <c r="N61" i="9" s="1"/>
  <c r="S66" i="9"/>
  <c r="M71" i="9"/>
  <c r="N71" i="9" s="1"/>
  <c r="M77" i="9"/>
  <c r="N77" i="9" s="1"/>
  <c r="M5" i="12"/>
  <c r="N5" i="12" s="1"/>
  <c r="L10" i="12"/>
  <c r="M13" i="12"/>
  <c r="N13" i="12" s="1"/>
  <c r="L18" i="12"/>
  <c r="M21" i="12"/>
  <c r="N21" i="12" s="1"/>
  <c r="L26" i="12"/>
  <c r="M29" i="12"/>
  <c r="N29" i="12" s="1"/>
  <c r="L34" i="12"/>
  <c r="M37" i="12"/>
  <c r="O48" i="12" s="1"/>
  <c r="L42" i="12"/>
  <c r="M45" i="12"/>
  <c r="O56" i="12" s="1"/>
  <c r="M48" i="12"/>
  <c r="O59" i="12" s="1"/>
  <c r="M49" i="12"/>
  <c r="O60" i="12" s="1"/>
  <c r="M60" i="12"/>
  <c r="O71" i="12" s="1"/>
  <c r="M61" i="12"/>
  <c r="O72" i="12" s="1"/>
  <c r="M62" i="12"/>
  <c r="O73" i="12" s="1"/>
  <c r="M63" i="12"/>
  <c r="O74" i="12" s="1"/>
  <c r="M65" i="12"/>
  <c r="O76" i="12" s="1"/>
  <c r="M73" i="12"/>
  <c r="N73" i="12" s="1"/>
  <c r="M81" i="12"/>
  <c r="N81" i="12" s="1"/>
  <c r="L3" i="9"/>
  <c r="K8" i="9"/>
  <c r="L11" i="9"/>
  <c r="K16" i="9"/>
  <c r="L19" i="9"/>
  <c r="K24" i="9"/>
  <c r="L27" i="9"/>
  <c r="K33" i="9"/>
  <c r="K41" i="9"/>
  <c r="M42" i="9"/>
  <c r="K45" i="9"/>
  <c r="S54" i="9"/>
  <c r="S56" i="9"/>
  <c r="K57" i="9"/>
  <c r="M59" i="9"/>
  <c r="N59" i="9" s="1"/>
  <c r="S64" i="9"/>
  <c r="M69" i="9"/>
  <c r="N69" i="9" s="1"/>
  <c r="L70" i="9"/>
  <c r="L71" i="9"/>
  <c r="L76" i="9"/>
  <c r="L77" i="9"/>
  <c r="S78" i="9"/>
  <c r="M3" i="12"/>
  <c r="N3" i="12" s="1"/>
  <c r="L5" i="12"/>
  <c r="L8" i="12"/>
  <c r="K9" i="12"/>
  <c r="M11" i="12"/>
  <c r="N11" i="12" s="1"/>
  <c r="L13" i="12"/>
  <c r="L16" i="12"/>
  <c r="K17" i="12"/>
  <c r="M19" i="12"/>
  <c r="N19" i="12" s="1"/>
  <c r="L21" i="12"/>
  <c r="L24" i="12"/>
  <c r="K25" i="12"/>
  <c r="M27" i="12"/>
  <c r="N27" i="12" s="1"/>
  <c r="L29" i="12"/>
  <c r="L32" i="12"/>
  <c r="K33" i="12"/>
  <c r="M35" i="12"/>
  <c r="O46" i="12" s="1"/>
  <c r="L37" i="12"/>
  <c r="L40" i="12"/>
  <c r="K41" i="12"/>
  <c r="M43" i="12"/>
  <c r="O54" i="12" s="1"/>
  <c r="L45" i="12"/>
  <c r="L48" i="12"/>
  <c r="L49" i="12"/>
  <c r="K52" i="12"/>
  <c r="L60" i="12"/>
  <c r="L61" i="12"/>
  <c r="L62" i="12"/>
  <c r="K69" i="12"/>
  <c r="M71" i="12"/>
  <c r="O82" i="12" s="1"/>
  <c r="K77" i="12"/>
  <c r="M79" i="12"/>
  <c r="N79" i="12" s="1"/>
  <c r="M4" i="9"/>
  <c r="S20" i="9"/>
  <c r="K9" i="9"/>
  <c r="M12" i="9"/>
  <c r="S28" i="9"/>
  <c r="K17" i="9"/>
  <c r="M20" i="9"/>
  <c r="S36" i="9"/>
  <c r="K25" i="9"/>
  <c r="M28" i="9"/>
  <c r="S57" i="9"/>
  <c r="K46" i="9"/>
  <c r="K64" i="12"/>
  <c r="M64" i="12"/>
  <c r="O75" i="12" s="1"/>
  <c r="K66" i="12"/>
  <c r="M66" i="12"/>
  <c r="O77" i="12" s="1"/>
  <c r="K68" i="12"/>
  <c r="M68" i="12"/>
  <c r="O79" i="12" s="1"/>
  <c r="K70" i="12"/>
  <c r="M70" i="12"/>
  <c r="O81" i="12" s="1"/>
  <c r="K72" i="12"/>
  <c r="M72" i="12"/>
  <c r="O83" i="12" s="1"/>
  <c r="K74" i="12"/>
  <c r="M74" i="12"/>
  <c r="K76" i="12"/>
  <c r="M76" i="12"/>
  <c r="K78" i="12"/>
  <c r="M78" i="12"/>
  <c r="K80" i="12"/>
  <c r="M80" i="12"/>
  <c r="K82" i="12"/>
  <c r="M82" i="12"/>
  <c r="S18" i="9"/>
  <c r="K7" i="9"/>
  <c r="M10" i="9"/>
  <c r="S26" i="9"/>
  <c r="K15" i="9"/>
  <c r="M18" i="9"/>
  <c r="N18" i="9" s="1"/>
  <c r="S34" i="9"/>
  <c r="K23" i="9"/>
  <c r="M26" i="9"/>
  <c r="S42" i="9"/>
  <c r="K31" i="9"/>
  <c r="S43" i="9"/>
  <c r="K32" i="9"/>
  <c r="S55" i="9"/>
  <c r="K44" i="9"/>
  <c r="S60" i="9"/>
  <c r="K49" i="9"/>
  <c r="S16" i="9"/>
  <c r="K5" i="9"/>
  <c r="M8" i="9"/>
  <c r="S24" i="9"/>
  <c r="K13" i="9"/>
  <c r="M16" i="9"/>
  <c r="S32" i="9"/>
  <c r="K21" i="9"/>
  <c r="M24" i="9"/>
  <c r="S40" i="9"/>
  <c r="K29" i="9"/>
  <c r="S46" i="9"/>
  <c r="K35" i="9"/>
  <c r="S47" i="9"/>
  <c r="K36" i="9"/>
  <c r="S53" i="9"/>
  <c r="K42" i="9"/>
  <c r="L50" i="9"/>
  <c r="S62" i="9"/>
  <c r="L66" i="9"/>
  <c r="S14" i="9"/>
  <c r="K3" i="9"/>
  <c r="K4" i="9"/>
  <c r="L5" i="9"/>
  <c r="M6" i="9"/>
  <c r="N6" i="9" s="1"/>
  <c r="M9" i="9"/>
  <c r="S22" i="9"/>
  <c r="K11" i="9"/>
  <c r="K12" i="9"/>
  <c r="L13" i="9"/>
  <c r="M14" i="9"/>
  <c r="M17" i="9"/>
  <c r="S30" i="9"/>
  <c r="K19" i="9"/>
  <c r="K20" i="9"/>
  <c r="L21" i="9"/>
  <c r="M22" i="9"/>
  <c r="M25" i="9"/>
  <c r="S38" i="9"/>
  <c r="K27" i="9"/>
  <c r="K28" i="9"/>
  <c r="L29" i="9"/>
  <c r="M31" i="9"/>
  <c r="M46" i="9"/>
  <c r="T51" i="9"/>
  <c r="L58" i="9"/>
  <c r="M65" i="9"/>
  <c r="N65" i="9" s="1"/>
  <c r="S76" i="9"/>
  <c r="M50" i="12"/>
  <c r="O61" i="12" s="1"/>
  <c r="M51" i="12"/>
  <c r="O62" i="12" s="1"/>
  <c r="M34" i="9"/>
  <c r="L42" i="9"/>
  <c r="L46" i="9"/>
  <c r="T69" i="9"/>
  <c r="L47" i="12"/>
  <c r="L50" i="12"/>
  <c r="L55" i="12"/>
  <c r="L64" i="12"/>
  <c r="L68" i="12"/>
  <c r="L72" i="12"/>
  <c r="L76" i="12"/>
  <c r="L80" i="12"/>
  <c r="L4" i="9"/>
  <c r="L6" i="9"/>
  <c r="L8" i="9"/>
  <c r="L10" i="9"/>
  <c r="L12" i="9"/>
  <c r="L14" i="9"/>
  <c r="L16" i="9"/>
  <c r="L28" i="9"/>
  <c r="M30" i="9"/>
  <c r="M37" i="9"/>
  <c r="M38" i="9"/>
  <c r="M40" i="9"/>
  <c r="L44" i="9"/>
  <c r="L73" i="9"/>
  <c r="L75" i="9"/>
  <c r="E51" i="8"/>
  <c r="L46" i="12"/>
  <c r="L51" i="12"/>
  <c r="L54" i="12"/>
  <c r="L66" i="12"/>
  <c r="L70" i="12"/>
  <c r="L74" i="12"/>
  <c r="L78" i="12"/>
  <c r="L82" i="12"/>
  <c r="L63" i="12"/>
  <c r="L65" i="12"/>
  <c r="L67" i="12"/>
  <c r="L69" i="12"/>
  <c r="L71" i="12"/>
  <c r="L73" i="12"/>
  <c r="L75" i="12"/>
  <c r="L77" i="12"/>
  <c r="L79" i="12"/>
  <c r="L81" i="12"/>
  <c r="L83" i="12"/>
  <c r="T64" i="9"/>
  <c r="L53" i="9"/>
  <c r="M56" i="9"/>
  <c r="S67" i="9"/>
  <c r="K56" i="9"/>
  <c r="T72" i="9"/>
  <c r="L61" i="9"/>
  <c r="S73" i="9"/>
  <c r="K62" i="9"/>
  <c r="M62" i="9"/>
  <c r="K78" i="9"/>
  <c r="M78" i="9"/>
  <c r="K6" i="12"/>
  <c r="M6" i="12"/>
  <c r="T14" i="9"/>
  <c r="T15" i="9"/>
  <c r="T16" i="9"/>
  <c r="T17" i="9"/>
  <c r="T18" i="9"/>
  <c r="T19" i="9"/>
  <c r="T20" i="9"/>
  <c r="T21" i="9"/>
  <c r="T22" i="9"/>
  <c r="T23" i="9"/>
  <c r="T24" i="9"/>
  <c r="T25" i="9"/>
  <c r="T26" i="9"/>
  <c r="T27" i="9"/>
  <c r="T28" i="9"/>
  <c r="T38" i="9"/>
  <c r="T39" i="9"/>
  <c r="T40" i="9"/>
  <c r="T60" i="9"/>
  <c r="L49" i="9"/>
  <c r="M52" i="9"/>
  <c r="S63" i="9"/>
  <c r="K52" i="9"/>
  <c r="T68" i="9"/>
  <c r="L57" i="9"/>
  <c r="M60" i="9"/>
  <c r="S71" i="9"/>
  <c r="K60" i="9"/>
  <c r="T74" i="9"/>
  <c r="L63" i="9"/>
  <c r="K70" i="9"/>
  <c r="M70" i="9"/>
  <c r="M76" i="9"/>
  <c r="K76" i="9"/>
  <c r="M4" i="12"/>
  <c r="K4" i="12"/>
  <c r="M8" i="12"/>
  <c r="K8" i="12"/>
  <c r="M12" i="12"/>
  <c r="K12" i="12"/>
  <c r="M16" i="12"/>
  <c r="K16" i="12"/>
  <c r="M20" i="12"/>
  <c r="K20" i="12"/>
  <c r="M24" i="12"/>
  <c r="K24" i="12"/>
  <c r="M28" i="12"/>
  <c r="K28" i="12"/>
  <c r="M32" i="12"/>
  <c r="K32" i="12"/>
  <c r="M36" i="12"/>
  <c r="K36" i="12"/>
  <c r="M40" i="12"/>
  <c r="K40" i="12"/>
  <c r="M44" i="12"/>
  <c r="K44" i="12"/>
  <c r="T30" i="9"/>
  <c r="L31" i="9"/>
  <c r="T32" i="9"/>
  <c r="L33" i="9"/>
  <c r="T34" i="9"/>
  <c r="L35" i="9"/>
  <c r="T36" i="9"/>
  <c r="T48" i="9"/>
  <c r="L37" i="9"/>
  <c r="L48" i="9"/>
  <c r="T62" i="9"/>
  <c r="L51" i="9"/>
  <c r="S65" i="9"/>
  <c r="K54" i="9"/>
  <c r="M54" i="9"/>
  <c r="L56" i="9"/>
  <c r="T57" i="9"/>
  <c r="T70" i="9"/>
  <c r="L59" i="9"/>
  <c r="L62" i="9"/>
  <c r="T76" i="9"/>
  <c r="L65" i="9"/>
  <c r="S77" i="9"/>
  <c r="K66" i="9"/>
  <c r="M66" i="9"/>
  <c r="L68" i="9"/>
  <c r="M72" i="9"/>
  <c r="K72" i="9"/>
  <c r="M81" i="9"/>
  <c r="K81" i="9"/>
  <c r="M83" i="9"/>
  <c r="K83" i="9"/>
  <c r="M48" i="9"/>
  <c r="S59" i="9"/>
  <c r="K48" i="9"/>
  <c r="M68" i="9"/>
  <c r="S79" i="9"/>
  <c r="K68" i="9"/>
  <c r="K10" i="12"/>
  <c r="M10" i="12"/>
  <c r="K14" i="12"/>
  <c r="M14" i="12"/>
  <c r="K18" i="12"/>
  <c r="M18" i="12"/>
  <c r="K22" i="12"/>
  <c r="M22" i="12"/>
  <c r="K26" i="12"/>
  <c r="M26" i="12"/>
  <c r="K30" i="12"/>
  <c r="M30" i="12"/>
  <c r="K34" i="12"/>
  <c r="M34" i="12"/>
  <c r="K38" i="12"/>
  <c r="M38" i="12"/>
  <c r="K42" i="12"/>
  <c r="M42" i="12"/>
  <c r="L18" i="9"/>
  <c r="L20" i="9"/>
  <c r="L22" i="9"/>
  <c r="L24" i="9"/>
  <c r="L26" i="9"/>
  <c r="L30" i="9"/>
  <c r="L32" i="9"/>
  <c r="L34" i="9"/>
  <c r="L36" i="9"/>
  <c r="L38" i="9"/>
  <c r="T50" i="9"/>
  <c r="L39" i="9"/>
  <c r="T52" i="9"/>
  <c r="L41" i="9"/>
  <c r="T54" i="9"/>
  <c r="L43" i="9"/>
  <c r="T56" i="9"/>
  <c r="L45" i="9"/>
  <c r="T58" i="9"/>
  <c r="L47" i="9"/>
  <c r="S61" i="9"/>
  <c r="K50" i="9"/>
  <c r="M50" i="9"/>
  <c r="L52" i="9"/>
  <c r="T53" i="9"/>
  <c r="T66" i="9"/>
  <c r="L55" i="9"/>
  <c r="S69" i="9"/>
  <c r="K58" i="9"/>
  <c r="M58" i="9"/>
  <c r="L60" i="9"/>
  <c r="M64" i="9"/>
  <c r="S75" i="9"/>
  <c r="K64" i="9"/>
  <c r="T78" i="9"/>
  <c r="L67" i="9"/>
  <c r="K74" i="9"/>
  <c r="M74" i="9"/>
  <c r="M80" i="9"/>
  <c r="K80" i="9"/>
  <c r="M82" i="9"/>
  <c r="K82" i="9"/>
  <c r="N25" i="12" l="1"/>
  <c r="N75" i="12"/>
  <c r="N31" i="12"/>
  <c r="N35" i="12"/>
  <c r="N47" i="12"/>
  <c r="N37" i="9"/>
  <c r="N49" i="9"/>
  <c r="N48" i="12"/>
  <c r="N23" i="9"/>
  <c r="N82" i="12"/>
  <c r="N78" i="12"/>
  <c r="N74" i="12"/>
  <c r="N26" i="9"/>
  <c r="N77" i="12"/>
  <c r="N41" i="9"/>
  <c r="N29" i="9"/>
  <c r="N47" i="9"/>
  <c r="N10" i="9"/>
  <c r="N83" i="12"/>
  <c r="N67" i="12"/>
  <c r="N40" i="9"/>
  <c r="N34" i="9"/>
  <c r="N14" i="9"/>
  <c r="N35" i="9"/>
  <c r="N7" i="9"/>
  <c r="N52" i="12"/>
  <c r="N44" i="9"/>
  <c r="N38" i="9"/>
  <c r="N32" i="9"/>
  <c r="N57" i="12"/>
  <c r="N59" i="12"/>
  <c r="N46" i="12"/>
  <c r="N61" i="12"/>
  <c r="N27" i="9"/>
  <c r="N17" i="9"/>
  <c r="N8" i="9"/>
  <c r="N57" i="9"/>
  <c r="N45" i="9"/>
  <c r="N55" i="12"/>
  <c r="N17" i="12"/>
  <c r="N63" i="9"/>
  <c r="N45" i="12"/>
  <c r="N19" i="9"/>
  <c r="N42" i="9"/>
  <c r="N24" i="9"/>
  <c r="N58" i="12"/>
  <c r="N22" i="9"/>
  <c r="N69" i="12"/>
  <c r="N56" i="12"/>
  <c r="N65" i="12"/>
  <c r="N41" i="12"/>
  <c r="N30" i="9"/>
  <c r="N15" i="9"/>
  <c r="N33" i="12"/>
  <c r="N36" i="9"/>
  <c r="N13" i="9"/>
  <c r="N50" i="12"/>
  <c r="N11" i="9"/>
  <c r="N21" i="9"/>
  <c r="N9" i="12"/>
  <c r="N5" i="9"/>
  <c r="N54" i="12"/>
  <c r="N71" i="12"/>
  <c r="N62" i="12"/>
  <c r="N43" i="12"/>
  <c r="N53" i="12"/>
  <c r="N63" i="12"/>
  <c r="N39" i="12"/>
  <c r="N58" i="9"/>
  <c r="N50" i="9"/>
  <c r="N54" i="9"/>
  <c r="N9" i="9"/>
  <c r="N3" i="9"/>
  <c r="N16" i="9"/>
  <c r="N33" i="9"/>
  <c r="N46" i="9"/>
  <c r="N25" i="9"/>
  <c r="N20" i="9"/>
  <c r="N4" i="9"/>
  <c r="N66" i="12"/>
  <c r="N60" i="12"/>
  <c r="N26" i="12"/>
  <c r="N18" i="12"/>
  <c r="N10" i="12"/>
  <c r="N68" i="9"/>
  <c r="N49" i="12"/>
  <c r="N37" i="12"/>
  <c r="N80" i="12"/>
  <c r="N76" i="12"/>
  <c r="N72" i="12"/>
  <c r="N68" i="12"/>
  <c r="N64" i="12"/>
  <c r="N28" i="12"/>
  <c r="N20" i="12"/>
  <c r="N12" i="12"/>
  <c r="N4" i="12"/>
  <c r="N70" i="12"/>
  <c r="N28" i="9"/>
  <c r="N12" i="9"/>
  <c r="N82" i="9"/>
  <c r="N74" i="9"/>
  <c r="N48" i="9"/>
  <c r="N51" i="12"/>
  <c r="N72" i="9"/>
  <c r="N32" i="12"/>
  <c r="N24" i="12"/>
  <c r="N16" i="12"/>
  <c r="N8" i="12"/>
  <c r="N76" i="9"/>
  <c r="N31" i="9"/>
  <c r="O53" i="12"/>
  <c r="N42" i="12"/>
  <c r="O45" i="12"/>
  <c r="N34" i="12"/>
  <c r="N81" i="9"/>
  <c r="N70" i="9"/>
  <c r="N6" i="12"/>
  <c r="N62" i="9"/>
  <c r="O55" i="12"/>
  <c r="N44" i="12"/>
  <c r="O47" i="12"/>
  <c r="N36" i="12"/>
  <c r="N80" i="9"/>
  <c r="N60" i="9"/>
  <c r="N78" i="9"/>
  <c r="N64" i="9"/>
  <c r="O49" i="12"/>
  <c r="N38" i="12"/>
  <c r="N30" i="12"/>
  <c r="N22" i="12"/>
  <c r="N14" i="12"/>
  <c r="N83" i="9"/>
  <c r="N66" i="9"/>
  <c r="O51" i="12"/>
  <c r="N40" i="12"/>
  <c r="N52" i="9"/>
  <c r="N56" i="9"/>
</calcChain>
</file>

<file path=xl/comments1.xml><?xml version="1.0" encoding="utf-8"?>
<comments xmlns="http://schemas.openxmlformats.org/spreadsheetml/2006/main">
  <authors>
    <author>Jay Wang</author>
  </authors>
  <commentList>
    <comment ref="BC23" authorId="0">
      <text>
        <r>
          <rPr>
            <b/>
            <sz val="9"/>
            <color indexed="81"/>
            <rFont val="Tahoma"/>
            <family val="2"/>
          </rPr>
          <t>Jay Wang:</t>
        </r>
        <r>
          <rPr>
            <sz val="9"/>
            <color indexed="81"/>
            <rFont val="Tahoma"/>
            <family val="2"/>
          </rPr>
          <t xml:space="preserve">
1 from FBCB</t>
        </r>
      </text>
    </comment>
    <comment ref="BI23" authorId="0">
      <text>
        <r>
          <rPr>
            <b/>
            <sz val="9"/>
            <color indexed="81"/>
            <rFont val="Tahoma"/>
            <family val="2"/>
          </rPr>
          <t>Jay Wang:</t>
        </r>
        <r>
          <rPr>
            <sz val="9"/>
            <color indexed="81"/>
            <rFont val="Tahoma"/>
            <family val="2"/>
          </rPr>
          <t xml:space="preserve">
2 from FBCB</t>
        </r>
      </text>
    </comment>
    <comment ref="BG24" authorId="0">
      <text>
        <r>
          <rPr>
            <b/>
            <sz val="9"/>
            <color indexed="81"/>
            <rFont val="Tahoma"/>
            <family val="2"/>
          </rPr>
          <t>Jay Wang:</t>
        </r>
        <r>
          <rPr>
            <sz val="9"/>
            <color indexed="81"/>
            <rFont val="Tahoma"/>
            <family val="2"/>
          </rPr>
          <t xml:space="preserve">
1 form FBCB</t>
        </r>
      </text>
    </comment>
    <comment ref="BD27" authorId="0">
      <text>
        <r>
          <rPr>
            <b/>
            <sz val="9"/>
            <color indexed="81"/>
            <rFont val="Tahoma"/>
            <family val="2"/>
          </rPr>
          <t>Jay Wang:</t>
        </r>
        <r>
          <rPr>
            <sz val="9"/>
            <color indexed="81"/>
            <rFont val="Tahoma"/>
            <family val="2"/>
          </rPr>
          <t xml:space="preserve">
1 from FBCB</t>
        </r>
      </text>
    </comment>
    <comment ref="BI27" authorId="0">
      <text>
        <r>
          <rPr>
            <b/>
            <sz val="9"/>
            <color indexed="81"/>
            <rFont val="Tahoma"/>
            <family val="2"/>
          </rPr>
          <t>Jay Wang:</t>
        </r>
        <r>
          <rPr>
            <sz val="9"/>
            <color indexed="81"/>
            <rFont val="Tahoma"/>
            <family val="2"/>
          </rPr>
          <t xml:space="preserve">
1 from FBCB</t>
        </r>
      </text>
    </comment>
    <comment ref="BI33" authorId="0">
      <text>
        <r>
          <rPr>
            <b/>
            <sz val="9"/>
            <color indexed="81"/>
            <rFont val="Tahoma"/>
            <family val="2"/>
          </rPr>
          <t>Jay Wang:</t>
        </r>
        <r>
          <rPr>
            <sz val="9"/>
            <color indexed="81"/>
            <rFont val="Tahoma"/>
            <family val="2"/>
          </rPr>
          <t xml:space="preserve">
1 from FBCB</t>
        </r>
      </text>
    </comment>
    <comment ref="BM43" authorId="0">
      <text>
        <r>
          <rPr>
            <b/>
            <sz val="9"/>
            <color indexed="81"/>
            <rFont val="Tahoma"/>
            <family val="2"/>
          </rPr>
          <t>Jay Wang:</t>
        </r>
        <r>
          <rPr>
            <sz val="9"/>
            <color indexed="81"/>
            <rFont val="Tahoma"/>
            <family val="2"/>
          </rPr>
          <t xml:space="preserve">
FCML: 1</t>
        </r>
      </text>
    </comment>
    <comment ref="BO43" authorId="0">
      <text>
        <r>
          <rPr>
            <b/>
            <sz val="9"/>
            <color indexed="81"/>
            <rFont val="Tahoma"/>
            <family val="2"/>
          </rPr>
          <t>Jay Wang:</t>
        </r>
        <r>
          <rPr>
            <sz val="9"/>
            <color indexed="81"/>
            <rFont val="Tahoma"/>
            <family val="2"/>
          </rPr>
          <t xml:space="preserve">
FCML: 1</t>
        </r>
      </text>
    </comment>
    <comment ref="BM44" authorId="0">
      <text>
        <r>
          <rPr>
            <b/>
            <sz val="9"/>
            <color indexed="81"/>
            <rFont val="Tahoma"/>
            <family val="2"/>
          </rPr>
          <t>Jay Wang:</t>
        </r>
        <r>
          <rPr>
            <sz val="9"/>
            <color indexed="81"/>
            <rFont val="Tahoma"/>
            <family val="2"/>
          </rPr>
          <t xml:space="preserve">
FCML: 2</t>
        </r>
      </text>
    </comment>
    <comment ref="BQ44" authorId="0">
      <text>
        <r>
          <rPr>
            <b/>
            <sz val="9"/>
            <color indexed="81"/>
            <rFont val="Tahoma"/>
            <family val="2"/>
          </rPr>
          <t>Jay Wang:</t>
        </r>
        <r>
          <rPr>
            <sz val="9"/>
            <color indexed="81"/>
            <rFont val="Tahoma"/>
            <family val="2"/>
          </rPr>
          <t xml:space="preserve">
FCML: 1</t>
        </r>
      </text>
    </comment>
    <comment ref="BS44" authorId="0">
      <text>
        <r>
          <rPr>
            <b/>
            <sz val="9"/>
            <color indexed="81"/>
            <rFont val="Tahoma"/>
            <family val="2"/>
          </rPr>
          <t>Jay Wang:</t>
        </r>
        <r>
          <rPr>
            <sz val="9"/>
            <color indexed="81"/>
            <rFont val="Tahoma"/>
            <family val="2"/>
          </rPr>
          <t xml:space="preserve">
FCML: 2</t>
        </r>
      </text>
    </comment>
    <comment ref="BN47" authorId="0">
      <text>
        <r>
          <rPr>
            <b/>
            <sz val="9"/>
            <color indexed="81"/>
            <rFont val="Tahoma"/>
            <family val="2"/>
          </rPr>
          <t>Jay Wang:</t>
        </r>
        <r>
          <rPr>
            <sz val="9"/>
            <color indexed="81"/>
            <rFont val="Tahoma"/>
            <family val="2"/>
          </rPr>
          <t xml:space="preserve">
FCML: 1</t>
        </r>
      </text>
    </comment>
    <comment ref="BL50" authorId="0">
      <text>
        <r>
          <rPr>
            <b/>
            <sz val="9"/>
            <color indexed="81"/>
            <rFont val="Tahoma"/>
            <family val="2"/>
          </rPr>
          <t>Jay Wang:</t>
        </r>
        <r>
          <rPr>
            <sz val="9"/>
            <color indexed="81"/>
            <rFont val="Tahoma"/>
            <family val="2"/>
          </rPr>
          <t xml:space="preserve">
FCML: 1</t>
        </r>
      </text>
    </comment>
    <comment ref="BM50" authorId="0">
      <text>
        <r>
          <rPr>
            <b/>
            <sz val="9"/>
            <color indexed="81"/>
            <rFont val="Tahoma"/>
            <family val="2"/>
          </rPr>
          <t>Jay Wang:</t>
        </r>
        <r>
          <rPr>
            <sz val="9"/>
            <color indexed="81"/>
            <rFont val="Tahoma"/>
            <family val="2"/>
          </rPr>
          <t xml:space="preserve">
FCML: 1</t>
        </r>
      </text>
    </comment>
    <comment ref="BN50" authorId="0">
      <text>
        <r>
          <rPr>
            <b/>
            <sz val="9"/>
            <color indexed="81"/>
            <rFont val="Tahoma"/>
            <family val="2"/>
          </rPr>
          <t>Jay Wang:</t>
        </r>
        <r>
          <rPr>
            <sz val="9"/>
            <color indexed="81"/>
            <rFont val="Tahoma"/>
            <family val="2"/>
          </rPr>
          <t xml:space="preserve">
FCML: 1</t>
        </r>
      </text>
    </comment>
    <comment ref="BR50" authorId="0">
      <text>
        <r>
          <rPr>
            <b/>
            <sz val="9"/>
            <color indexed="81"/>
            <rFont val="Tahoma"/>
            <family val="2"/>
          </rPr>
          <t>Jay Wang:</t>
        </r>
        <r>
          <rPr>
            <sz val="9"/>
            <color indexed="81"/>
            <rFont val="Tahoma"/>
            <family val="2"/>
          </rPr>
          <t xml:space="preserve">
FCML: 1</t>
        </r>
      </text>
    </comment>
    <comment ref="BL54" authorId="0">
      <text>
        <r>
          <rPr>
            <b/>
            <sz val="9"/>
            <color indexed="81"/>
            <rFont val="Tahoma"/>
            <family val="2"/>
          </rPr>
          <t>Jay Wang:</t>
        </r>
        <r>
          <rPr>
            <sz val="9"/>
            <color indexed="81"/>
            <rFont val="Tahoma"/>
            <family val="2"/>
          </rPr>
          <t xml:space="preserve">
FCML: 1</t>
        </r>
      </text>
    </comment>
  </commentList>
</comments>
</file>

<file path=xl/comments2.xml><?xml version="1.0" encoding="utf-8"?>
<comments xmlns="http://schemas.openxmlformats.org/spreadsheetml/2006/main">
  <authors>
    <author>janceriz</author>
    <author>Wynne, Louise</author>
    <author>JAnceriz</author>
    <author>WynneL01</author>
    <author>Anceriz, Julie</author>
    <author>LifeLabs user</author>
    <author>Pronovost, Lynne</author>
    <author>Jay Wang</author>
    <author>Varga, Nancy</author>
    <author>Hun, Riley</author>
    <author>Maguire, Karis</author>
    <author>MDS USER</author>
    <author>ECabral</author>
  </authors>
  <commentList>
    <comment ref="AX4" authorId="0">
      <text>
        <r>
          <rPr>
            <b/>
            <sz val="10"/>
            <color indexed="81"/>
            <rFont val="Tahoma"/>
            <family val="2"/>
          </rPr>
          <t>janceriz:</t>
        </r>
        <r>
          <rPr>
            <sz val="10"/>
            <color indexed="81"/>
            <rFont val="Tahoma"/>
            <family val="2"/>
          </rPr>
          <t xml:space="preserve">
1 incident "No Further Action"</t>
        </r>
      </text>
    </comment>
    <comment ref="AZ4" authorId="0">
      <text>
        <r>
          <rPr>
            <b/>
            <sz val="10"/>
            <color indexed="81"/>
            <rFont val="Tahoma"/>
            <family val="2"/>
          </rPr>
          <t>janceriz:</t>
        </r>
        <r>
          <rPr>
            <sz val="10"/>
            <color indexed="81"/>
            <rFont val="Tahoma"/>
            <family val="2"/>
          </rPr>
          <t xml:space="preserve">
1 incident "No Further Action"</t>
        </r>
      </text>
    </comment>
    <comment ref="BL4" authorId="1">
      <text>
        <r>
          <rPr>
            <b/>
            <sz val="9"/>
            <color indexed="81"/>
            <rFont val="Tahoma"/>
            <family val="2"/>
          </rPr>
          <t>Wynne, Louise:</t>
        </r>
        <r>
          <rPr>
            <sz val="9"/>
            <color indexed="81"/>
            <rFont val="Tahoma"/>
            <family val="2"/>
          </rPr>
          <t xml:space="preserve">
Dufton - no MT (removed)</t>
        </r>
      </text>
    </comment>
    <comment ref="BM4" authorId="1">
      <text>
        <r>
          <rPr>
            <b/>
            <sz val="9"/>
            <color indexed="81"/>
            <rFont val="Tahoma"/>
            <family val="2"/>
          </rPr>
          <t>Wynne, Louise:</t>
        </r>
        <r>
          <rPr>
            <sz val="9"/>
            <color indexed="81"/>
            <rFont val="Tahoma"/>
            <family val="2"/>
          </rPr>
          <t xml:space="preserve">
Jensen - no MT (removed)
</t>
        </r>
      </text>
    </comment>
    <comment ref="BN4" authorId="1">
      <text>
        <r>
          <rPr>
            <b/>
            <sz val="9"/>
            <color indexed="81"/>
            <rFont val="Tahoma"/>
            <family val="2"/>
          </rPr>
          <t>Wynne, Louise:</t>
        </r>
        <r>
          <rPr>
            <sz val="9"/>
            <color indexed="81"/>
            <rFont val="Tahoma"/>
            <family val="2"/>
          </rPr>
          <t xml:space="preserve">
Stacey - no MT (removed)
</t>
        </r>
      </text>
    </comment>
    <comment ref="BO4" authorId="1">
      <text>
        <r>
          <rPr>
            <b/>
            <sz val="9"/>
            <color indexed="81"/>
            <rFont val="Tahoma"/>
            <family val="2"/>
          </rPr>
          <t>Wynne, Louise:</t>
        </r>
        <r>
          <rPr>
            <sz val="9"/>
            <color indexed="81"/>
            <rFont val="Tahoma"/>
            <family val="2"/>
          </rPr>
          <t xml:space="preserve">
Islamovi - no MT (removed)</t>
        </r>
      </text>
    </comment>
    <comment ref="BQ4" authorId="2">
      <text>
        <r>
          <rPr>
            <b/>
            <sz val="8"/>
            <color indexed="81"/>
            <rFont val="Tahoma"/>
            <family val="2"/>
          </rPr>
          <t>JAnceriz:</t>
        </r>
        <r>
          <rPr>
            <sz val="8"/>
            <color indexed="81"/>
            <rFont val="Tahoma"/>
            <family val="2"/>
          </rPr>
          <t xml:space="preserve">
3 denied claims
Hannon &amp; Heidel- no MT (removed)
</t>
        </r>
      </text>
    </comment>
    <comment ref="BR4" authorId="2">
      <text>
        <r>
          <rPr>
            <b/>
            <sz val="8"/>
            <color indexed="81"/>
            <rFont val="Tahoma"/>
            <family val="2"/>
          </rPr>
          <t>JAnceriz:</t>
        </r>
        <r>
          <rPr>
            <sz val="8"/>
            <color indexed="81"/>
            <rFont val="Tahoma"/>
            <family val="2"/>
          </rPr>
          <t xml:space="preserve">
1 denied claim
Pancholi - no MT (removed)</t>
        </r>
      </text>
    </comment>
    <comment ref="BS4" authorId="2">
      <text>
        <r>
          <rPr>
            <b/>
            <sz val="8"/>
            <color indexed="81"/>
            <rFont val="Tahoma"/>
            <family val="2"/>
          </rPr>
          <t>JAnceriz:</t>
        </r>
        <r>
          <rPr>
            <sz val="8"/>
            <color indexed="81"/>
            <rFont val="Tahoma"/>
            <family val="2"/>
          </rPr>
          <t xml:space="preserve">
1 denied claim</t>
        </r>
      </text>
    </comment>
    <comment ref="BT4" authorId="2">
      <text>
        <r>
          <rPr>
            <b/>
            <sz val="8"/>
            <color indexed="81"/>
            <rFont val="Tahoma"/>
            <family val="2"/>
          </rPr>
          <t>JAnceriz:</t>
        </r>
        <r>
          <rPr>
            <sz val="8"/>
            <color indexed="81"/>
            <rFont val="Tahoma"/>
            <family val="2"/>
          </rPr>
          <t xml:space="preserve">
1 denied claim</t>
        </r>
      </text>
    </comment>
    <comment ref="BU4" authorId="3">
      <text>
        <r>
          <rPr>
            <b/>
            <sz val="8"/>
            <color indexed="81"/>
            <rFont val="Tahoma"/>
            <family val="2"/>
          </rPr>
          <t>WynneL01:</t>
        </r>
        <r>
          <rPr>
            <sz val="8"/>
            <color indexed="81"/>
            <rFont val="Tahoma"/>
            <family val="2"/>
          </rPr>
          <t xml:space="preserve">
MT: Shrier (DENIED)</t>
        </r>
      </text>
    </comment>
    <comment ref="BV4" authorId="1">
      <text>
        <r>
          <rPr>
            <b/>
            <sz val="9"/>
            <color indexed="81"/>
            <rFont val="Tahoma"/>
            <family val="2"/>
          </rPr>
          <t>Wynne, Louise:</t>
        </r>
        <r>
          <rPr>
            <sz val="9"/>
            <color indexed="81"/>
            <rFont val="Tahoma"/>
            <family val="2"/>
          </rPr>
          <t xml:space="preserve">
Perrier - no MT (removed)
</t>
        </r>
      </text>
    </comment>
    <comment ref="BW4" authorId="2">
      <text>
        <r>
          <rPr>
            <b/>
            <sz val="8"/>
            <color indexed="81"/>
            <rFont val="Tahoma"/>
            <family val="2"/>
          </rPr>
          <t>JAnceriz:</t>
        </r>
        <r>
          <rPr>
            <sz val="8"/>
            <color indexed="81"/>
            <rFont val="Tahoma"/>
            <family val="2"/>
          </rPr>
          <t xml:space="preserve">
1 claim denied</t>
        </r>
      </text>
    </comment>
    <comment ref="BX4" authorId="2">
      <text>
        <r>
          <rPr>
            <b/>
            <sz val="8"/>
            <color indexed="81"/>
            <rFont val="Tahoma"/>
            <family val="2"/>
          </rPr>
          <t>JAnceriz:</t>
        </r>
        <r>
          <rPr>
            <sz val="8"/>
            <color indexed="81"/>
            <rFont val="Tahoma"/>
            <family val="2"/>
          </rPr>
          <t xml:space="preserve">
2 denied claims</t>
        </r>
      </text>
    </comment>
    <comment ref="BY4" authorId="4">
      <text>
        <r>
          <rPr>
            <b/>
            <sz val="8"/>
            <color indexed="81"/>
            <rFont val="Tahoma"/>
            <family val="2"/>
          </rPr>
          <t>Anceriz, Julie:</t>
        </r>
        <r>
          <rPr>
            <sz val="8"/>
            <color indexed="81"/>
            <rFont val="Tahoma"/>
            <family val="2"/>
          </rPr>
          <t xml:space="preserve">
1 denied claim</t>
        </r>
      </text>
    </comment>
    <comment ref="BZ4" authorId="2">
      <text>
        <r>
          <rPr>
            <b/>
            <sz val="8"/>
            <color indexed="81"/>
            <rFont val="Tahoma"/>
            <family val="2"/>
          </rPr>
          <t>JAnceriz:</t>
        </r>
        <r>
          <rPr>
            <sz val="8"/>
            <color indexed="81"/>
            <rFont val="Tahoma"/>
            <family val="2"/>
          </rPr>
          <t xml:space="preserve">
3 claims denied
MT: Thompson (DENIED)</t>
        </r>
      </text>
    </comment>
    <comment ref="CA4" authorId="2">
      <text>
        <r>
          <rPr>
            <b/>
            <sz val="8"/>
            <color indexed="81"/>
            <rFont val="Tahoma"/>
            <family val="2"/>
          </rPr>
          <t>JAnceriz:</t>
        </r>
        <r>
          <rPr>
            <sz val="8"/>
            <color indexed="81"/>
            <rFont val="Tahoma"/>
            <family val="2"/>
          </rPr>
          <t xml:space="preserve">
LT: Stefiuk (DENIED - removed 4.6 days)
</t>
        </r>
      </text>
    </comment>
    <comment ref="CB4" authorId="1">
      <text>
        <r>
          <rPr>
            <b/>
            <sz val="9"/>
            <color indexed="81"/>
            <rFont val="Tahoma"/>
            <family val="2"/>
          </rPr>
          <t>Wynne, Louise:</t>
        </r>
        <r>
          <rPr>
            <sz val="9"/>
            <color indexed="81"/>
            <rFont val="Tahoma"/>
            <family val="2"/>
          </rPr>
          <t xml:space="preserve">
McMaster - no MT (removed)</t>
        </r>
      </text>
    </comment>
    <comment ref="CC4" authorId="3">
      <text>
        <r>
          <rPr>
            <b/>
            <sz val="8"/>
            <color indexed="81"/>
            <rFont val="Tahoma"/>
            <family val="2"/>
          </rPr>
          <t>WynneL01:</t>
        </r>
        <r>
          <rPr>
            <sz val="8"/>
            <color indexed="81"/>
            <rFont val="Tahoma"/>
            <family val="2"/>
          </rPr>
          <t xml:space="preserve">
c/o April: Stefiuk (3.98 - DENIED)
c/o May: Roukema (2.9)
c/o 2005: Karim (4)
LT: Charron (days lost in July)
LT: Brache (1)
LT: Cullen (1)
LT: Desai (1)
MT: Breakenridge
MT: Whitehead
MT: Wassenaar
MT: Josipovic
MT: Barrett-Nelson
MT: Dilley-Frizado
MT: Bailey
MT: Genereaux
MT: Khaliq
MT: Guanzon
MT: Unger (DENIED)
</t>
        </r>
      </text>
    </comment>
    <comment ref="CD4" authorId="2">
      <text>
        <r>
          <rPr>
            <b/>
            <sz val="8"/>
            <color indexed="81"/>
            <rFont val="Tahoma"/>
            <family val="2"/>
          </rPr>
          <t>JAnceriz:</t>
        </r>
        <r>
          <rPr>
            <sz val="8"/>
            <color indexed="81"/>
            <rFont val="Tahoma"/>
            <family val="2"/>
          </rPr>
          <t xml:space="preserve">
3 MT's denied (Persuad, Ungar, Long)</t>
        </r>
      </text>
    </comment>
    <comment ref="CE4" authorId="4">
      <text>
        <r>
          <rPr>
            <b/>
            <sz val="8"/>
            <color indexed="81"/>
            <rFont val="Tahoma"/>
            <family val="2"/>
          </rPr>
          <t>Anceriz, Julie:</t>
        </r>
        <r>
          <rPr>
            <sz val="8"/>
            <color indexed="81"/>
            <rFont val="Tahoma"/>
            <family val="2"/>
          </rPr>
          <t xml:space="preserve">
MT: Cadacio (Denied)
MT: Tolba (Denied)
MT:Ortiz (Denied)
MT: Walker (Denied)
LT: Dingman (Denied)
LT: Tolba (Denied)
MT: Mckay, Kilby
MT: Closson, Helen M
MT: Jackson, Shelta</t>
        </r>
      </text>
    </comment>
    <comment ref="CF4" authorId="4">
      <text>
        <r>
          <rPr>
            <b/>
            <sz val="8"/>
            <color indexed="81"/>
            <rFont val="Tahoma"/>
            <family val="2"/>
          </rPr>
          <t>Anceriz, Julie:</t>
        </r>
        <r>
          <rPr>
            <sz val="8"/>
            <color indexed="81"/>
            <rFont val="Tahoma"/>
            <family val="2"/>
          </rPr>
          <t xml:space="preserve">
MT: Culp, Sara
MT: Pitts, Colette M
MT: Wrigley, Janet L
MT: Petrie, Sherry
MT: Cislo (DENIED)
SC: Brown, Margaret Ann (no MT) - removed
LT: McNish, Annisa (DENIED)
LT: Krichely, Shalva
LT: Soulliere, Danielle</t>
        </r>
      </text>
    </comment>
    <comment ref="CG4" authorId="4">
      <text>
        <r>
          <rPr>
            <b/>
            <sz val="8"/>
            <color indexed="81"/>
            <rFont val="Tahoma"/>
            <family val="2"/>
          </rPr>
          <t>Anceriz, Julie:</t>
        </r>
        <r>
          <rPr>
            <sz val="8"/>
            <color indexed="81"/>
            <rFont val="Tahoma"/>
            <family val="2"/>
          </rPr>
          <t xml:space="preserve">
SC: Pancholi, Dipali
MT: McDougald, Victor</t>
        </r>
      </text>
    </comment>
    <comment ref="CH4" authorId="4">
      <text>
        <r>
          <rPr>
            <b/>
            <sz val="8"/>
            <color indexed="81"/>
            <rFont val="Tahoma"/>
            <family val="2"/>
          </rPr>
          <t>Anceriz, Julie:</t>
        </r>
        <r>
          <rPr>
            <sz val="8"/>
            <color indexed="81"/>
            <rFont val="Tahoma"/>
            <family val="2"/>
          </rPr>
          <t xml:space="preserve">
LT: Garrison, Brenda (Denied)
LT: Brenya, Kofi
LT: Bell, Lynne
LT: Tremonti, Michelle
MT: King, Melissa
MT: Cherrett, Susan
MT: Howell, Jason
MT: Roberts, Albert</t>
        </r>
      </text>
    </comment>
    <comment ref="CI4" authorId="4">
      <text>
        <r>
          <rPr>
            <b/>
            <sz val="8"/>
            <color indexed="81"/>
            <rFont val="Tahoma"/>
            <family val="2"/>
          </rPr>
          <t>Anceriz, Julie:</t>
        </r>
        <r>
          <rPr>
            <sz val="8"/>
            <color indexed="81"/>
            <rFont val="Tahoma"/>
            <family val="2"/>
          </rPr>
          <t xml:space="preserve">
LT: Hardy, Jennifer
MT: LeBel, Carrie
MT: Perrier, Maryanne
MT: Mitchell, C. Daughn</t>
        </r>
      </text>
    </comment>
    <comment ref="CJ4" authorId="4">
      <text>
        <r>
          <rPr>
            <b/>
            <sz val="8"/>
            <color indexed="81"/>
            <rFont val="Tahoma"/>
            <family val="2"/>
          </rPr>
          <t>Anceriz, Julie:</t>
        </r>
        <r>
          <rPr>
            <sz val="8"/>
            <color indexed="81"/>
            <rFont val="Tahoma"/>
            <family val="2"/>
          </rPr>
          <t xml:space="preserve">
LT: Weaver, Murray (denied)
LT: Terrell, William (DENIED)
LT: Ames, Chris D
LT: Sultani, Freshta (Withdrawn)
MT: Hamilton, Ruthanne
MT: Mahani, Saharul (DENIED)
MT: Fraser, Terry</t>
        </r>
      </text>
    </comment>
    <comment ref="CK4" authorId="4">
      <text>
        <r>
          <rPr>
            <b/>
            <sz val="8"/>
            <color indexed="81"/>
            <rFont val="Tahoma"/>
            <family val="2"/>
          </rPr>
          <t>Anceriz, Julie:</t>
        </r>
        <r>
          <rPr>
            <sz val="8"/>
            <color indexed="81"/>
            <rFont val="Tahoma"/>
            <family val="2"/>
          </rPr>
          <t xml:space="preserve">
LT: Olmstead, Debbie
LT: Lyle, Geraldine A 
LT: Cunningham, Peter
LT: Martell, Brenda L
MT: Mercer, Judith (DENIED)
MT: Furfaro, Angie
MT: Ducay, Lillian*
</t>
        </r>
      </text>
    </comment>
    <comment ref="CL4" authorId="4">
      <text>
        <r>
          <rPr>
            <b/>
            <sz val="8"/>
            <color indexed="81"/>
            <rFont val="Tahoma"/>
            <family val="2"/>
          </rPr>
          <t>Anceriz, Julie:</t>
        </r>
        <r>
          <rPr>
            <sz val="8"/>
            <color indexed="81"/>
            <rFont val="Tahoma"/>
            <family val="2"/>
          </rPr>
          <t xml:space="preserve">
LT: Psaris, Patricia M
LT: Crockford, Denise A (DENIED)
LT: Chen, Katy 
LT: Bailey, Summer (DENIED)
LT: Kaur, Kalviender (DENIED)
LT: Bhimsen, Bibi
MT: Farrell, Arden E
MT: Samaniego, Maria T
MT: Dale, Kerry
LT: Shou, Zhiping*</t>
        </r>
      </text>
    </comment>
    <comment ref="CM4" authorId="4">
      <text>
        <r>
          <rPr>
            <b/>
            <sz val="8"/>
            <color indexed="81"/>
            <rFont val="Tahoma"/>
            <family val="2"/>
          </rPr>
          <t>Anceriz, Julie:</t>
        </r>
        <r>
          <rPr>
            <sz val="8"/>
            <color indexed="81"/>
            <rFont val="Tahoma"/>
            <family val="2"/>
          </rPr>
          <t xml:space="preserve">
LT: Meite, Norka
LT: McNish, Annisa (withdrawn) 
MT: Mervin, Faye
MT: Cochrane, Teresa
MT: Zavala-Magsino, Maria (withdrawn)
</t>
        </r>
      </text>
    </comment>
    <comment ref="CN4" authorId="4">
      <text>
        <r>
          <rPr>
            <b/>
            <sz val="8"/>
            <color indexed="81"/>
            <rFont val="Tahoma"/>
            <family val="2"/>
          </rPr>
          <t>Anceriz, Julie:</t>
        </r>
        <r>
          <rPr>
            <sz val="8"/>
            <color indexed="81"/>
            <rFont val="Tahoma"/>
            <family val="2"/>
          </rPr>
          <t xml:space="preserve">
LT: Gatuz  Ismael
LT: Anne Reiter
MT: Jahangiri-Mavaneh, Mahdiyeh (DENIED)*
MT: Short, Catherine
MT: Ahluwalia, Sukhbinder
MT: Johnson, Meaghan
MT: Israel, Noe M
MT: MacMillan, Adrian
MT: Celsie, Karen
MT: Moga, Simelia (DENIED)*</t>
        </r>
      </text>
    </comment>
    <comment ref="CO4" authorId="5">
      <text>
        <r>
          <rPr>
            <b/>
            <sz val="8"/>
            <color indexed="81"/>
            <rFont val="Tahoma"/>
            <family val="2"/>
          </rPr>
          <t>LifeLabs user:</t>
        </r>
        <r>
          <rPr>
            <sz val="8"/>
            <color indexed="81"/>
            <rFont val="Tahoma"/>
            <family val="2"/>
          </rPr>
          <t xml:space="preserve">
LT: N. Walker
MT: L. Thompson
MT: L. Kruz
MT: J. Hergabage
MT: G. Gagnon
MT: D. Moore (DENIED)</t>
        </r>
      </text>
    </comment>
    <comment ref="CP4" authorId="5">
      <text>
        <r>
          <rPr>
            <b/>
            <sz val="8"/>
            <color indexed="81"/>
            <rFont val="Tahoma"/>
            <family val="2"/>
          </rPr>
          <t>LifeLabs user:</t>
        </r>
        <r>
          <rPr>
            <sz val="8"/>
            <color indexed="81"/>
            <rFont val="Tahoma"/>
            <family val="2"/>
          </rPr>
          <t xml:space="preserve">
DENIED LT: Martin, Chris
LT: Dilley-Frizado, Elise
LT: Gonzalez, Gypsy (Approved MT)*
MT: Mendes, Julita
MT: Bacalla, Leilani
MT: Cochrane, Teresa
MT: Reyes, Ofelia</t>
        </r>
      </text>
    </comment>
    <comment ref="CQ4" authorId="6">
      <text>
        <r>
          <rPr>
            <sz val="9"/>
            <color indexed="81"/>
            <rFont val="Tahoma"/>
            <family val="2"/>
          </rPr>
          <t>Patel, V. - MT
Vosters, C - MT
Bedard, N - MT
Lyew, P - LT (Approved MT)*
Ranta-Ojala, C - LT</t>
        </r>
      </text>
    </comment>
    <comment ref="CR4" authorId="6">
      <text>
        <r>
          <rPr>
            <sz val="9"/>
            <color indexed="81"/>
            <rFont val="Tahoma"/>
            <family val="2"/>
          </rPr>
          <t>Hull, Samuel - LT
Chalmers, Jill - LT (DENIED)
Dharmapalan, Dushyanthie - LT
Perkins, Kristy - MT
Villa, Irmy - MT
Patel, Rashmi - MT</t>
        </r>
      </text>
    </comment>
    <comment ref="CS4" authorId="6">
      <text>
        <r>
          <rPr>
            <sz val="9"/>
            <color indexed="81"/>
            <rFont val="Tahoma"/>
            <family val="2"/>
          </rPr>
          <t xml:space="preserve">LT: Busey, Tammy
MT: Nigro, Alyssa
LT: Weatherston, Kyle (Denied)
LT: Ming, Robert S
LT: Lad, Bhavna (DENIED)
MT: MacDonald, Michael
MT: Duran-Garcia, Karelia
MT: VanDaele, Chantelle
LT: Zhang, Wenge (DENIED)
</t>
        </r>
      </text>
    </comment>
    <comment ref="CT4" authorId="7">
      <text>
        <r>
          <rPr>
            <b/>
            <sz val="9"/>
            <color indexed="81"/>
            <rFont val="Tahoma"/>
            <family val="2"/>
          </rPr>
          <t>Jay Wang:</t>
        </r>
        <r>
          <rPr>
            <sz val="9"/>
            <color indexed="81"/>
            <rFont val="Tahoma"/>
            <family val="2"/>
          </rPr>
          <t xml:space="preserve">
MT: Ladd, Nadine (Denied)
LT: Wilson, Monica
</t>
        </r>
      </text>
    </comment>
    <comment ref="CU4" authorId="7">
      <text>
        <r>
          <rPr>
            <b/>
            <sz val="9"/>
            <color indexed="81"/>
            <rFont val="Tahoma"/>
            <family val="2"/>
          </rPr>
          <t>Jay Wang:</t>
        </r>
        <r>
          <rPr>
            <sz val="9"/>
            <color indexed="81"/>
            <rFont val="Tahoma"/>
            <family val="2"/>
          </rPr>
          <t xml:space="preserve">
MT: Acuna-Wong, Pastora
LT: Gareri, Antonietta (Denied)
MT: Short, Catherine
MT: West, Susan
MT: Yeung, Eric
MT: Krumbach, Denise
LT: Bernard, Shawna (Withdrawn)
MT: Rajarathnam, Jeevaraj (Denied)
LT: Nagra, Harpreet (Denied)
</t>
        </r>
      </text>
    </comment>
    <comment ref="CV4" authorId="7">
      <text>
        <r>
          <rPr>
            <b/>
            <sz val="9"/>
            <color indexed="81"/>
            <rFont val="Tahoma"/>
            <family val="2"/>
          </rPr>
          <t>Jay Wang:</t>
        </r>
        <r>
          <rPr>
            <sz val="9"/>
            <color indexed="81"/>
            <rFont val="Tahoma"/>
            <family val="2"/>
          </rPr>
          <t xml:space="preserve">
MT: Dunn, Jody
MT: Kissoon, Tejwattie
MT: Liu, Tao</t>
        </r>
      </text>
    </comment>
    <comment ref="CW4" authorId="7">
      <text>
        <r>
          <rPr>
            <b/>
            <sz val="9"/>
            <color indexed="81"/>
            <rFont val="Tahoma"/>
            <family val="2"/>
          </rPr>
          <t>Jay Wang:</t>
        </r>
        <r>
          <rPr>
            <sz val="9"/>
            <color indexed="81"/>
            <rFont val="Tahoma"/>
            <family val="2"/>
          </rPr>
          <t xml:space="preserve">
LT: Hanans, Donna
MT: Robertson, Leslie
MT: McDonald, Joanne
MT: Sa-Avedra, Donna (HC only)
LT: Li, Jin Juan (Withdrawn)
LT: Swayze, Heather
MT: Patel, Hemangini
MT: Tarabawka, Ashlee
MT: Vanbussel, Keri-Lee
</t>
        </r>
      </text>
    </comment>
    <comment ref="CX4" authorId="7">
      <text>
        <r>
          <rPr>
            <b/>
            <sz val="9"/>
            <color indexed="81"/>
            <rFont val="Tahoma"/>
            <family val="2"/>
          </rPr>
          <t>Jay Wang:</t>
        </r>
        <r>
          <rPr>
            <sz val="9"/>
            <color indexed="81"/>
            <rFont val="Tahoma"/>
            <family val="2"/>
          </rPr>
          <t xml:space="preserve">
MT: North, Crystal
LT: Tremonti, Michelle
MT: Parikh, Devyani (Withdrawn)
LT: Eisnor, Kim M
MT: David, Soledad</t>
        </r>
      </text>
    </comment>
    <comment ref="CY4" authorId="7">
      <text>
        <r>
          <rPr>
            <b/>
            <sz val="9"/>
            <color indexed="81"/>
            <rFont val="Tahoma"/>
            <family val="2"/>
          </rPr>
          <t>Jay Wang:</t>
        </r>
        <r>
          <rPr>
            <sz val="9"/>
            <color indexed="81"/>
            <rFont val="Tahoma"/>
            <family val="2"/>
          </rPr>
          <t xml:space="preserve">
LT: Thomas. Abeni
LT: Muslim, Omar (Withdrawn)
MT: Herbage, Joanna
MT: Sacino, Elizabeth
MT: Scolaro, Roberto</t>
        </r>
      </text>
    </comment>
    <comment ref="CZ4" authorId="7">
      <text>
        <r>
          <rPr>
            <b/>
            <sz val="9"/>
            <color indexed="81"/>
            <rFont val="Tahoma"/>
            <family val="2"/>
          </rPr>
          <t>Jay Wang:</t>
        </r>
        <r>
          <rPr>
            <sz val="9"/>
            <color indexed="81"/>
            <rFont val="Tahoma"/>
            <family val="2"/>
          </rPr>
          <t xml:space="preserve">
MT: Barrett-Nelson, Dianie P (HC only)
MT: Bailey, Summer
MT: Longster, Pamala M (Denied)
MT: Reed, Elisabth
LT: Rodas, Sergio (Withdrawn)
LT: Baker, C.Louise (Withdrawn)
</t>
        </r>
      </text>
    </comment>
    <comment ref="DA4" authorId="7">
      <text>
        <r>
          <rPr>
            <b/>
            <sz val="9"/>
            <color indexed="81"/>
            <rFont val="Tahoma"/>
            <family val="2"/>
          </rPr>
          <t>Jay Wang:</t>
        </r>
        <r>
          <rPr>
            <sz val="9"/>
            <color indexed="81"/>
            <rFont val="Tahoma"/>
            <family val="2"/>
          </rPr>
          <t xml:space="preserve">
MT: Ryan, Samantha
LT: St. Clair, Tom
LT: Collins, Catina
MT: Pavasovic, Mara (HC only)
LT: Guidolin, Josephine</t>
        </r>
      </text>
    </comment>
    <comment ref="DB4" authorId="7">
      <text>
        <r>
          <rPr>
            <b/>
            <sz val="9"/>
            <color indexed="81"/>
            <rFont val="Tahoma"/>
            <family val="2"/>
          </rPr>
          <t>Jay Wang:</t>
        </r>
        <r>
          <rPr>
            <sz val="9"/>
            <color indexed="81"/>
            <rFont val="Tahoma"/>
            <family val="2"/>
          </rPr>
          <t xml:space="preserve">
MT: Jimenez, Maria
LT: Hopkins, Christine
MT: Rahman, Sakina (Denied)
MT:McKay, Kilby
MT:Dolby, Donna
LT:Patel, Mehul (Withdrawn)
LT:Robinson, Mandy (Denied)
MT: Assaf, Hifa (Denied)
MT: Dhillon, Baljit (Denied)</t>
        </r>
      </text>
    </comment>
    <comment ref="DC4" authorId="7">
      <text>
        <r>
          <rPr>
            <b/>
            <sz val="9"/>
            <color indexed="81"/>
            <rFont val="Tahoma"/>
            <family val="2"/>
          </rPr>
          <t>Jay Wang:</t>
        </r>
        <r>
          <rPr>
            <sz val="9"/>
            <color indexed="81"/>
            <rFont val="Tahoma"/>
            <family val="2"/>
          </rPr>
          <t xml:space="preserve">
MT: Wells, Kerry
MT: Hontiveros, Carmencita
MT: Soulliere, Danielle
MT: Fulop, Rebecca
LT: Dolby, Donna
MT: Hanans, Donna
LT: Brandt, Charles
LT: Perreira, Terrence
</t>
        </r>
      </text>
    </comment>
    <comment ref="DD4" authorId="7">
      <text>
        <r>
          <rPr>
            <b/>
            <sz val="9"/>
            <color indexed="81"/>
            <rFont val="Tahoma"/>
            <family val="2"/>
          </rPr>
          <t>Jay Wang:</t>
        </r>
        <r>
          <rPr>
            <sz val="9"/>
            <color indexed="81"/>
            <rFont val="Tahoma"/>
            <family val="2"/>
          </rPr>
          <t xml:space="preserve">
LT: Collins, Christine W
LT: Rana, Divya C (Denied)
MT: Najafi, Soheila (Denied)
MT: Miharjia, Ashley
MT: Colatosti, Rosanne (Denied)</t>
        </r>
      </text>
    </comment>
    <comment ref="DE4" authorId="7">
      <text>
        <r>
          <rPr>
            <b/>
            <sz val="9"/>
            <color indexed="81"/>
            <rFont val="Tahoma"/>
            <family val="2"/>
          </rPr>
          <t>Jay Wang:</t>
        </r>
        <r>
          <rPr>
            <sz val="9"/>
            <color indexed="81"/>
            <rFont val="Tahoma"/>
            <family val="2"/>
          </rPr>
          <t xml:space="preserve">
MT: Holmes, Theresa (Denied)
MT: Dalal, Anju
MT: Cousineau, Hannah
MT: Muir, Cheryl
MT: McRae, Korah
LT: McMaster, Brianne
LT: Plouffe, Darquise (Denied)</t>
        </r>
      </text>
    </comment>
    <comment ref="DF4" authorId="7">
      <text>
        <r>
          <rPr>
            <b/>
            <sz val="9"/>
            <color indexed="81"/>
            <rFont val="Tahoma"/>
            <family val="2"/>
          </rPr>
          <t>Jay Wang:</t>
        </r>
        <r>
          <rPr>
            <sz val="9"/>
            <color indexed="81"/>
            <rFont val="Tahoma"/>
            <family val="2"/>
          </rPr>
          <t xml:space="preserve">
MT: Bressette, Janice
MT: Latour, Nicole
LT: Winkworth, Erin
LT: Bablanian, Carmen
LT: Israel, Noe M (Withdrawn)
LT: Cerezo, Raymundo L (Denied)
LT: Alcantara, Alicia (Denied)</t>
        </r>
      </text>
    </comment>
    <comment ref="DG4" authorId="7">
      <text>
        <r>
          <rPr>
            <b/>
            <sz val="9"/>
            <color indexed="81"/>
            <rFont val="Tahoma"/>
            <family val="2"/>
          </rPr>
          <t>Jay Wang:</t>
        </r>
        <r>
          <rPr>
            <sz val="9"/>
            <color indexed="81"/>
            <rFont val="Tahoma"/>
            <family val="2"/>
          </rPr>
          <t xml:space="preserve">
MT: Santelli, Rose (HC only)
MT: O'Loughlin, Linda
MT: Dittrick-Bennett, Anitra Ol
LT: McKay, Lynn (Denied)
LT: Lad, Bhavna
MT: Lloyd, Cathy</t>
        </r>
      </text>
    </comment>
    <comment ref="DH4" authorId="7">
      <text>
        <r>
          <rPr>
            <b/>
            <sz val="9"/>
            <color indexed="81"/>
            <rFont val="Tahoma"/>
            <family val="2"/>
          </rPr>
          <t>Jay Wang:</t>
        </r>
        <r>
          <rPr>
            <sz val="9"/>
            <color indexed="81"/>
            <rFont val="Tahoma"/>
            <family val="2"/>
          </rPr>
          <t xml:space="preserve">
MT: Sumabat, Aurora
MT: Snow, Glenda
MT: Downie, Lisa
MT: Manas, Crista
MT: McCurbin, Everton A
MT: Robinson, Mandy
MT: Poirier, Lisa Jane (HC only)
MT: Power, Jane
LT: Chalmers, Jill
LT: Waters, Cynthia
LT: Haider, Saba
LT: Barnes, Wanda
LT: Black, Patricia M
LT: Salvalaggio, Karen (Withdrawn)</t>
        </r>
      </text>
    </comment>
    <comment ref="DI4" authorId="7">
      <text>
        <r>
          <rPr>
            <b/>
            <sz val="9"/>
            <color indexed="81"/>
            <rFont val="Tahoma"/>
            <family val="2"/>
          </rPr>
          <t>Jay Wang:</t>
        </r>
        <r>
          <rPr>
            <sz val="9"/>
            <color indexed="81"/>
            <rFont val="Tahoma"/>
            <family val="2"/>
          </rPr>
          <t xml:space="preserve">
MT: Fontenelle, Catherine
MT: Underwood, Scott (Denied)
MT: Nimbkar, Taniya (Denied)
LT: Waters, Cynthia
MT: Vanderspank, Ashley</t>
        </r>
      </text>
    </comment>
    <comment ref="DJ4" authorId="7">
      <text>
        <r>
          <rPr>
            <b/>
            <sz val="9"/>
            <color indexed="81"/>
            <rFont val="Tahoma"/>
            <family val="2"/>
          </rPr>
          <t>Jay Wang:</t>
        </r>
        <r>
          <rPr>
            <sz val="9"/>
            <color indexed="81"/>
            <rFont val="Tahoma"/>
            <family val="2"/>
          </rPr>
          <t xml:space="preserve">
MT: Long, Rhonda
LT: Brooks, Rownita
MT: Krumbach, Denise</t>
        </r>
      </text>
    </comment>
    <comment ref="DK4" authorId="7">
      <text>
        <r>
          <rPr>
            <b/>
            <sz val="9"/>
            <color indexed="81"/>
            <rFont val="Tahoma"/>
            <family val="2"/>
          </rPr>
          <t>Jay Wang:</t>
        </r>
        <r>
          <rPr>
            <sz val="9"/>
            <color indexed="81"/>
            <rFont val="Tahoma"/>
            <family val="2"/>
          </rPr>
          <t xml:space="preserve">
MT: Shaw, Georgie
LT: Ramcharan, Aruna (Denied)
MT: Beaupre, Linda
MT: Zaglak, Barbara J
MT: North, Crystal
MT: Kohlsmith, Beverly
MT: Dilley-Frizado, Elise
MT: Mclntyre, Stephanie
MT: Hatker, Geetanjali
MT: Karim, Sheeta D
MT: Przyl, Eva (Denied)
MT: Prudhomme, Charlene (Denied)</t>
        </r>
      </text>
    </comment>
    <comment ref="DL4" authorId="7">
      <text>
        <r>
          <rPr>
            <b/>
            <sz val="9"/>
            <color indexed="81"/>
            <rFont val="Tahoma"/>
            <family val="2"/>
          </rPr>
          <t>Jay Wang:</t>
        </r>
        <r>
          <rPr>
            <sz val="9"/>
            <color indexed="81"/>
            <rFont val="Tahoma"/>
            <family val="2"/>
          </rPr>
          <t xml:space="preserve">
LT: Lyew, Peggy (Denied)
MT: Randall, Tania
MT: Maxwell, Patricia
MT: Aggio, Jeanette (Withdrawn)
LT: Bozzo, Helene</t>
        </r>
      </text>
    </comment>
    <comment ref="DM4" authorId="7">
      <text>
        <r>
          <rPr>
            <b/>
            <sz val="9"/>
            <color indexed="81"/>
            <rFont val="Tahoma"/>
            <family val="2"/>
          </rPr>
          <t>Jay Wang:</t>
        </r>
        <r>
          <rPr>
            <sz val="9"/>
            <color indexed="81"/>
            <rFont val="Tahoma"/>
            <family val="2"/>
          </rPr>
          <t xml:space="preserve">
MT: Petkov, Kyoung Min
MT: Livingston, Jolene
MT: Santos, Virginia (HC only)
MT: Campisi, Lucia
MT: Grubisic, Ana (withdrawn)</t>
        </r>
      </text>
    </comment>
    <comment ref="DN4" authorId="7">
      <text>
        <r>
          <rPr>
            <b/>
            <sz val="9"/>
            <color indexed="81"/>
            <rFont val="Tahoma"/>
            <family val="2"/>
          </rPr>
          <t>Jay Wang:</t>
        </r>
        <r>
          <rPr>
            <sz val="9"/>
            <color indexed="81"/>
            <rFont val="Tahoma"/>
            <family val="2"/>
          </rPr>
          <t xml:space="preserve">
LT: Walsh, Rose
MT: Rodas, Sergio (HC only)
MT: Vanderspank, Ashley (Denied)</t>
        </r>
      </text>
    </comment>
    <comment ref="DO4" authorId="7">
      <text>
        <r>
          <rPr>
            <b/>
            <sz val="9"/>
            <color indexed="81"/>
            <rFont val="Tahoma"/>
            <family val="2"/>
          </rPr>
          <t>Jay Wang:</t>
        </r>
        <r>
          <rPr>
            <sz val="9"/>
            <color indexed="81"/>
            <rFont val="Tahoma"/>
            <family val="2"/>
          </rPr>
          <t xml:space="preserve">
MT: Doorten, Kathryn (Denied)
MT: Gallant, Shannon (Denied)
LT: Joson, Ralph (Denied)</t>
        </r>
      </text>
    </comment>
    <comment ref="DP4" authorId="7">
      <text>
        <r>
          <rPr>
            <b/>
            <sz val="9"/>
            <color indexed="81"/>
            <rFont val="Tahoma"/>
            <family val="2"/>
          </rPr>
          <t>Jay Wang:</t>
        </r>
        <r>
          <rPr>
            <sz val="9"/>
            <color indexed="81"/>
            <rFont val="Tahoma"/>
            <family val="2"/>
          </rPr>
          <t xml:space="preserve">
LT: Marki-Bozzo, Helene
MT: Pomfret, Shelley (Denied)
LT: Jung, Renate
MT: Pancholi, Dipali
MT: Sonza, Teresa (Denied)
MT: Wize, Marta
LT: San-Jose, Editha
MT: Howell, Jason (Withdrawn)
MT: Getachew, Abebech
MT: Lam, Adrienne
MT: Penaranda, Raquel
MT: Warnock, Angela
LT: McCandless, Andrew (Withdrawn)
MT: Chabot, Lucy</t>
        </r>
      </text>
    </comment>
    <comment ref="DQ4" authorId="7">
      <text>
        <r>
          <rPr>
            <b/>
            <sz val="9"/>
            <color indexed="81"/>
            <rFont val="Tahoma"/>
            <family val="2"/>
          </rPr>
          <t>Jay Wang:</t>
        </r>
        <r>
          <rPr>
            <sz val="9"/>
            <color indexed="81"/>
            <rFont val="Tahoma"/>
            <family val="2"/>
          </rPr>
          <t xml:space="preserve">
MT: Santos, Wilma
MT: Sayers, John
MT: Caughy, Brianne
LT: MacNeil, Tracy
MT: Mitton, Stephanie</t>
        </r>
      </text>
    </comment>
    <comment ref="DR4" authorId="7">
      <text>
        <r>
          <rPr>
            <b/>
            <sz val="9"/>
            <color indexed="81"/>
            <rFont val="Tahoma"/>
            <family val="2"/>
          </rPr>
          <t>Jay Wang:</t>
        </r>
        <r>
          <rPr>
            <sz val="9"/>
            <color indexed="81"/>
            <rFont val="Tahoma"/>
            <family val="2"/>
          </rPr>
          <t xml:space="preserve">
LT: McKay, Lynn
MT: Solanki, Alpa (Denied)
LT: Patel, Sachin (Withdrawn)
LT: Ellsworth, Melissa
MT: Boucher, Cleofe Fay (Denied)
LT: Sadig, Rania (Denied)</t>
        </r>
      </text>
    </comment>
    <comment ref="DS4" authorId="7">
      <text>
        <r>
          <rPr>
            <b/>
            <sz val="9"/>
            <color indexed="81"/>
            <rFont val="Tahoma"/>
            <family val="2"/>
          </rPr>
          <t>Jay Wang:</t>
        </r>
        <r>
          <rPr>
            <sz val="9"/>
            <color indexed="81"/>
            <rFont val="Tahoma"/>
            <family val="2"/>
          </rPr>
          <t xml:space="preserve">
MT: Leigh, Peter
LT: Mercer, Judith
MT: Munoz, Johana
MT: Brown, Chelsea
LT: Hancharyk, Kari-Ann (Withdrawn)
LT: Perveen, Nazia
MT: Smeed, Hayley
MT: Pagliaro, Aida
LT: Pana, John Carlo
MT: Carlile, Suzette
MT: Mackie, Kimberly
MT: Bravacino, Angela</t>
        </r>
      </text>
    </comment>
    <comment ref="DT4" authorId="7">
      <text>
        <r>
          <rPr>
            <b/>
            <sz val="9"/>
            <color indexed="81"/>
            <rFont val="Tahoma"/>
            <family val="2"/>
          </rPr>
          <t>Jay Wang:</t>
        </r>
        <r>
          <rPr>
            <sz val="9"/>
            <color indexed="81"/>
            <rFont val="Tahoma"/>
            <family val="2"/>
          </rPr>
          <t xml:space="preserve">
MT: Manansala, Raquel
LT: Patel, Darshankumar
MT: Short, Catherine
MT: Notman, Sherri (Withdrawn)
LT: Dela Paz, Elisa (Denied)
MT: Firsova, Irin (FCML)
MT: Parmor, Viru (FCML)</t>
        </r>
      </text>
    </comment>
    <comment ref="DU4" authorId="7">
      <text>
        <r>
          <rPr>
            <b/>
            <sz val="9"/>
            <color indexed="81"/>
            <rFont val="Tahoma"/>
            <family val="2"/>
          </rPr>
          <t>Jay Wang:</t>
        </r>
        <r>
          <rPr>
            <sz val="9"/>
            <color indexed="81"/>
            <rFont val="Tahoma"/>
            <family val="2"/>
          </rPr>
          <t xml:space="preserve">
MT: Boccia, Tina
LT: Ramirez, Guestavo
MT: Richer, Jessica
MT: Brandt, Charles (Denied)
MT: Hopkins, Christine
MT: Bloodfield, Jennifer Lou
MT: Ferrufino, Irma (Withdrawn)
MT: Cadeau, Sherry (FCML)
MT: Cajo, Zlatka (FCML)
MT: Mahon, Trud (FCML)
MT: Chan, Mildre (FCML)</t>
        </r>
      </text>
    </comment>
    <comment ref="DV4" authorId="7">
      <text>
        <r>
          <rPr>
            <b/>
            <sz val="9"/>
            <color indexed="81"/>
            <rFont val="Tahoma"/>
            <family val="2"/>
          </rPr>
          <t>Jay Wang:</t>
        </r>
        <r>
          <rPr>
            <sz val="9"/>
            <color indexed="81"/>
            <rFont val="Tahoma"/>
            <family val="2"/>
          </rPr>
          <t xml:space="preserve">
LT: Dale, Kerry (Withdrawn)
MT: Alam, Rowshan
MT: Stickwood, Jessica (Denied)
MT: Bermudez-Vivas, Laura
MT: Whilliam, Anastasia (Denied)
LT: Hatfield, Julie Anne (Withdrawn)
LT: Patel, Ami
MT: Browman, Carolyn D
LT: Carrick, Nancy (FCML)
LT: Ballares, Anna (FCML)</t>
        </r>
      </text>
    </comment>
    <comment ref="DW4" authorId="7">
      <text>
        <r>
          <rPr>
            <b/>
            <sz val="9"/>
            <color indexed="81"/>
            <rFont val="Tahoma"/>
            <family val="2"/>
          </rPr>
          <t>Jay Wang:</t>
        </r>
        <r>
          <rPr>
            <sz val="9"/>
            <color indexed="81"/>
            <rFont val="Tahoma"/>
            <family val="2"/>
          </rPr>
          <t xml:space="preserve">
MT: Fraser, Terry
MT: Donato, Donna-Anne (Denied)
MT: Winkworth, Erin
LT: Noble, Theresa L
MT: Brahmbhatt, Komal (Withdrawn)
LT: Sultani, Freshta (Denied)
MT: Abrams, Claud (FCML)
MT: Linville, Holly (Denied)
MT: Patel, Sachin</t>
        </r>
      </text>
    </comment>
    <comment ref="DX4" authorId="7">
      <text>
        <r>
          <rPr>
            <b/>
            <sz val="9"/>
            <color indexed="81"/>
            <rFont val="Tahoma"/>
            <family val="2"/>
          </rPr>
          <t>Jay Wang:</t>
        </r>
        <r>
          <rPr>
            <sz val="9"/>
            <color indexed="81"/>
            <rFont val="Tahoma"/>
            <family val="2"/>
          </rPr>
          <t xml:space="preserve">
MT: San-Jose, Editha (Denied)
MT: Agic, Adisa
MT: Willder, Amy
MT: Carlile, Suzette
MT: Heffernan, Carol A (Denied)
MT: San-Jose, Editha</t>
        </r>
      </text>
    </comment>
    <comment ref="DY4" authorId="7">
      <text>
        <r>
          <rPr>
            <b/>
            <sz val="9"/>
            <color indexed="81"/>
            <rFont val="Tahoma"/>
            <family val="2"/>
          </rPr>
          <t>Jay Wang:</t>
        </r>
        <r>
          <rPr>
            <sz val="9"/>
            <color indexed="81"/>
            <rFont val="Tahoma"/>
            <family val="2"/>
          </rPr>
          <t xml:space="preserve">
MT: Woodcock, Shawn-Marie
MT: Maxwell, Patricia
MT: McRae, Korah (Withdrawn)
LT: Jarabe, Joseph
LT: Green, Lockcresha (FCML) (Withdrawn)
MT: Alhazazi, Farida (FCML)
MT: Mcintosh, Janice (FCML)
MT: Kolsmith, Beverly</t>
        </r>
      </text>
    </comment>
    <comment ref="DZ4" authorId="7">
      <text>
        <r>
          <rPr>
            <b/>
            <sz val="9"/>
            <color indexed="81"/>
            <rFont val="Tahoma"/>
            <family val="2"/>
          </rPr>
          <t>Jay Wang:</t>
        </r>
        <r>
          <rPr>
            <sz val="9"/>
            <color indexed="81"/>
            <rFont val="Tahoma"/>
            <family val="2"/>
          </rPr>
          <t xml:space="preserve">
MT: Kiznar, Dagmara
MT: Spadafora, Carmen A
MT: Rojas, Pilar
LT: Hodgins, Charles
MT: Neil, Leona
LT: Khan, Rizwana (FCML)
MT: Ball, Robin (Denied) (FCML)</t>
        </r>
      </text>
    </comment>
    <comment ref="EA4" authorId="7">
      <text>
        <r>
          <rPr>
            <b/>
            <sz val="9"/>
            <color indexed="81"/>
            <rFont val="Tahoma"/>
            <family val="2"/>
          </rPr>
          <t>Jay Wang:</t>
        </r>
        <r>
          <rPr>
            <sz val="9"/>
            <color indexed="81"/>
            <rFont val="Tahoma"/>
            <family val="2"/>
          </rPr>
          <t xml:space="preserve">
MT: Cusovich, Linda
MT: Gonzales, Gertrudes (FCML)
MT: Bailey, Susan (FCML)
MT: Wilson-Dick, Kathryn
MT: Loi, Kinghwa (Denied)</t>
        </r>
      </text>
    </comment>
    <comment ref="EB4" authorId="7">
      <text>
        <r>
          <rPr>
            <b/>
            <sz val="9"/>
            <color indexed="81"/>
            <rFont val="Tahoma"/>
            <family val="2"/>
          </rPr>
          <t>Jay Wang:</t>
        </r>
        <r>
          <rPr>
            <sz val="9"/>
            <color indexed="81"/>
            <rFont val="Tahoma"/>
            <family val="2"/>
          </rPr>
          <t xml:space="preserve">
MT: Vanderwerf, Hilde
MT: Sino, Zamira (FCML) (Withdrawn)
MT: Chuddy, Jennifer
MT: Luttrell, Joanne
MT: Rivers, Sandie
MT: Holt, Erin (FA Only)
MT: Hagerty, Kerri
MT: Ramos, Leonila
MT: Lindsay, Joanne (Denied)
</t>
        </r>
      </text>
    </comment>
    <comment ref="EC4" authorId="7">
      <text>
        <r>
          <rPr>
            <b/>
            <sz val="9"/>
            <color indexed="81"/>
            <rFont val="Tahoma"/>
            <family val="2"/>
          </rPr>
          <t>Jay Wang:</t>
        </r>
        <r>
          <rPr>
            <sz val="9"/>
            <color indexed="81"/>
            <rFont val="Tahoma"/>
            <family val="2"/>
          </rPr>
          <t xml:space="preserve">
MT: Carroll, Deanna
MT: Shergill, Amritpal
MT: Soulliere, Felomena
MT: Green, Lockcresha (FA only)
LT: Murdock, Rory (Withdrawn)
MT: Murphy, Joanne (HC only)
LT: Edwards, Donna (Denied)</t>
        </r>
      </text>
    </comment>
    <comment ref="ED4" authorId="7">
      <text>
        <r>
          <rPr>
            <b/>
            <sz val="9"/>
            <color indexed="81"/>
            <rFont val="Tahoma"/>
            <family val="2"/>
          </rPr>
          <t>Jay Wang:</t>
        </r>
        <r>
          <rPr>
            <sz val="9"/>
            <color indexed="81"/>
            <rFont val="Tahoma"/>
            <family val="2"/>
          </rPr>
          <t xml:space="preserve">
MT: Gentle, Dawn
LT: Sandu, Adela (FCML) (Denied)
LT: Lad, Bhavna
MT: Gabriel, Maria
MT: Lewis, Brooke (First Aid)
LT: Mendes, Julita (Withdrawn)
MT: Samuel, Judy (FCML)</t>
        </r>
      </text>
    </comment>
    <comment ref="EE4" authorId="7">
      <text>
        <r>
          <rPr>
            <b/>
            <sz val="9"/>
            <color indexed="81"/>
            <rFont val="Tahoma"/>
            <family val="2"/>
          </rPr>
          <t>Jay Wang:</t>
        </r>
        <r>
          <rPr>
            <sz val="9"/>
            <color indexed="81"/>
            <rFont val="Tahoma"/>
            <family val="2"/>
          </rPr>
          <t xml:space="preserve">
LT: Colley, Greg
MT: Sherboneau, Nicole
LT: Baker, Louis
MT: Emmett-Smith, Laurie
LT: Willaims, Mark (Withdrawn)
LT: MacArthur, Roberta (Denied)</t>
        </r>
      </text>
    </comment>
    <comment ref="EF4" authorId="7">
      <text>
        <r>
          <rPr>
            <b/>
            <sz val="9"/>
            <color indexed="81"/>
            <rFont val="Tahoma"/>
            <family val="2"/>
          </rPr>
          <t>Jay Wang:</t>
        </r>
        <r>
          <rPr>
            <sz val="9"/>
            <color indexed="81"/>
            <rFont val="Tahoma"/>
            <family val="2"/>
          </rPr>
          <t xml:space="preserve">
MT: Carter, Brittany
MT: Neron, Brittany (Denied)
LT: Bergara, Valdimar
MT: Parikh, Devyani (Denied)
MT: Pragasarajah, Cherolyna (Denied)
MT: Kibazohi, Salome
MT: Brown, Darlene
MT: Beavis, Joan (Withdrawn)
MT: Bhatt, Keera
LT: Munroe, Maurice (Withdrawn)
MT: Parikh, Devyani</t>
        </r>
      </text>
    </comment>
    <comment ref="EG4" authorId="7">
      <text>
        <r>
          <rPr>
            <b/>
            <sz val="9"/>
            <color indexed="81"/>
            <rFont val="Tahoma"/>
            <family val="2"/>
          </rPr>
          <t>Jay Wang:</t>
        </r>
        <r>
          <rPr>
            <sz val="9"/>
            <color indexed="81"/>
            <rFont val="Tahoma"/>
            <family val="2"/>
          </rPr>
          <t xml:space="preserve">
MT: Lindsay, Joanne
MT: Przyk, Eva A
MT: Arguelles, Cyrille
MT: Etherington, Jeanette (Denied)
MT: Abbey, Leah
MT: Stanbury, Brenda
LT: Kaur, Rajinder
Escota, Tyara changed to First Aid</t>
        </r>
      </text>
    </comment>
    <comment ref="EH4" authorId="7">
      <text>
        <r>
          <rPr>
            <b/>
            <sz val="9"/>
            <color indexed="81"/>
            <rFont val="Tahoma"/>
            <family val="2"/>
          </rPr>
          <t>Jay Wang:</t>
        </r>
        <r>
          <rPr>
            <sz val="9"/>
            <color indexed="81"/>
            <rFont val="Tahoma"/>
            <family val="2"/>
          </rPr>
          <t xml:space="preserve">
MT: Ramalingam, Kalaivani
MT: Drainville, Lisa
MT: Bravacino, Angela
LT: Patel, Darshankumar (Denied)
LT: Lee, Maria
LT: Ayub, Ambreen (Withdrawn)</t>
        </r>
      </text>
    </comment>
    <comment ref="EI4" authorId="7">
      <text>
        <r>
          <rPr>
            <b/>
            <sz val="9"/>
            <color indexed="81"/>
            <rFont val="Tahoma"/>
            <family val="2"/>
          </rPr>
          <t>Jay Wang:</t>
        </r>
        <r>
          <rPr>
            <sz val="9"/>
            <color indexed="81"/>
            <rFont val="Tahoma"/>
            <family val="2"/>
          </rPr>
          <t xml:space="preserve">
MT: Smeaton, Krysta
MT: Snow, Glenda
LT: Bolton, Amanda (Withdrawn)
LT: Morales, Maria (Denied)
LT: Williamson, Erin
LT: Van Iersel, Peter
MT: Wilson-Dick, Kathyn
MT: Ahluwalia, Sukhbinder (Denied)
MT: Dedrick, Suzy
MT: Mackinnon, Crystal</t>
        </r>
      </text>
    </comment>
    <comment ref="EJ4" authorId="8">
      <text>
        <r>
          <rPr>
            <b/>
            <sz val="9"/>
            <color indexed="81"/>
            <rFont val="Tahoma"/>
            <family val="2"/>
          </rPr>
          <t>Varga, Nancy:</t>
        </r>
        <r>
          <rPr>
            <sz val="9"/>
            <color indexed="81"/>
            <rFont val="Tahoma"/>
            <family val="2"/>
          </rPr>
          <t xml:space="preserve">
LT-Ivanova, Youliia
LT-Haribhakti, Priti (Withdrawn)
LT-Alisa, Edibella
MT-Weskett, Diana
MT-Jones, Kristen
MT-McDougald, Victor
MT-Samaniego, Maria T (Denied)
MT-Mckenzie, Merlena (Denied)
MT: Bedard, Tracey
MT: Pilar, Francisco-Saguil
Fatality-Ron Sheppard</t>
        </r>
      </text>
    </comment>
    <comment ref="EK4" authorId="8">
      <text>
        <r>
          <rPr>
            <b/>
            <sz val="9"/>
            <color indexed="81"/>
            <rFont val="Tahoma"/>
            <family val="2"/>
          </rPr>
          <t>Varga, Nancy:</t>
        </r>
        <r>
          <rPr>
            <sz val="9"/>
            <color indexed="81"/>
            <rFont val="Tahoma"/>
            <family val="2"/>
          </rPr>
          <t xml:space="preserve">
LT-Soriano, Marilyn
LT-Campbell, Jennifer (Denied)
LT-Sider, Jeremy
LT-Mcleod, Dorcas (Denied)
MT-Heydel-Quintanilla, Elizabeth
MT-Scarola, Maria (Withdrawn)
MT-Debicki, Tara 
MT-Gajadhar, Charmaine Alethea</t>
        </r>
      </text>
    </comment>
    <comment ref="EL4" authorId="8">
      <text>
        <r>
          <rPr>
            <b/>
            <sz val="9"/>
            <color indexed="81"/>
            <rFont val="Tahoma"/>
            <family val="2"/>
          </rPr>
          <t>Varga, Nancy:</t>
        </r>
        <r>
          <rPr>
            <sz val="9"/>
            <color indexed="81"/>
            <rFont val="Tahoma"/>
            <family val="2"/>
          </rPr>
          <t xml:space="preserve">
LT-Hale, Bree
MT-Wojtowicz, Malgorzata
MT-Marais, Charlotte
MT-Bedard, Tracey
MT-Trimm, Bobbi
MT-Ennis, Barbara</t>
        </r>
      </text>
    </comment>
    <comment ref="EM4" authorId="8">
      <text>
        <r>
          <rPr>
            <b/>
            <sz val="9"/>
            <color indexed="81"/>
            <rFont val="Tahoma"/>
            <family val="2"/>
          </rPr>
          <t>Varga, Nancy:</t>
        </r>
        <r>
          <rPr>
            <sz val="9"/>
            <color indexed="81"/>
            <rFont val="Tahoma"/>
            <family val="2"/>
          </rPr>
          <t xml:space="preserve">
LT-Bautista, Jenifer (Denied)
LT-Agato, Arcelie (Denied)
LT-Sultani, Freshta
LT-Dickinson, Kevin (Withdrawn)
LT-Plouffe, Darquise (Withdrawn)
MT-Rabadia, Jigna (NO LOE) 
MT-Labbe-Lowry, Christianne
MT-Howell, Jason
MT-House, Leanne
MT-Doucette-Goodison, Jenna
MT-Wize, Marta
MT-Murphy, Joanne (Withdrawn)
MT-Samuel, Judy (Withdrawn)
MT-Labrosse, Jennifer (Withdrawn)</t>
        </r>
      </text>
    </comment>
    <comment ref="EN4" authorId="9">
      <text>
        <r>
          <rPr>
            <b/>
            <sz val="9"/>
            <color indexed="81"/>
            <rFont val="Tahoma"/>
            <family val="2"/>
          </rPr>
          <t>Hun, Riley:</t>
        </r>
        <r>
          <rPr>
            <sz val="9"/>
            <color indexed="81"/>
            <rFont val="Tahoma"/>
            <family val="2"/>
          </rPr>
          <t xml:space="preserve">
LT-Muslim, Omar
LT-Rabot, Rossan
MT-Petkov, Kyoung Min
MT-Seepersad, Savitri
MT-Griffin, Sandra (Denied)
MT-Ford, Jacqueline (withdrawn)
LT-Kandeepan, Thenmoly (withdrawn)</t>
        </r>
      </text>
    </comment>
    <comment ref="EO4" authorId="9">
      <text>
        <r>
          <rPr>
            <b/>
            <sz val="9"/>
            <color indexed="81"/>
            <rFont val="Tahoma"/>
            <family val="2"/>
          </rPr>
          <t>Hun, Riley:</t>
        </r>
        <r>
          <rPr>
            <sz val="9"/>
            <color indexed="81"/>
            <rFont val="Tahoma"/>
            <family val="2"/>
          </rPr>
          <t xml:space="preserve">
LT-Freamo, Leo
MT-Dunn, Jody
MT-Carlos, Leecars
MT-McIntyre, Tarin
MT-Simic, Josie
MT-Walker, Necole (Denied)
</t>
        </r>
      </text>
    </comment>
    <comment ref="EP4" authorId="10">
      <text>
        <r>
          <rPr>
            <b/>
            <sz val="9"/>
            <color indexed="81"/>
            <rFont val="Tahoma"/>
            <family val="2"/>
          </rPr>
          <t>Maguire, Karis:</t>
        </r>
        <r>
          <rPr>
            <sz val="9"/>
            <color indexed="81"/>
            <rFont val="Tahoma"/>
            <family val="2"/>
          </rPr>
          <t xml:space="preserve">
MT Munroe, Maurice
MT Granville, Wendy
MT Grech, Jennifer (Denied)
LT Williams, Mark (Denied)
MT Goetticher, Tara (Denied)</t>
        </r>
      </text>
    </comment>
    <comment ref="EQ4" authorId="10">
      <text>
        <r>
          <rPr>
            <b/>
            <sz val="9"/>
            <color indexed="81"/>
            <rFont val="Tahoma"/>
            <charset val="1"/>
          </rPr>
          <t>Maguire, Karis:</t>
        </r>
        <r>
          <rPr>
            <sz val="9"/>
            <color indexed="81"/>
            <rFont val="Tahoma"/>
            <charset val="1"/>
          </rPr>
          <t xml:space="preserve">
LT - Dharamsey, Mamta
MT - Kruschel, Angelika
MT - Cosme, Ethel/Wilma
MT - Floris, Paula
MT - Mahani, Saharul (Denied)</t>
        </r>
      </text>
    </comment>
    <comment ref="ER4" authorId="10">
      <text>
        <r>
          <rPr>
            <b/>
            <sz val="9"/>
            <color indexed="81"/>
            <rFont val="Tahoma"/>
            <charset val="1"/>
          </rPr>
          <t>Maguire, Karis:</t>
        </r>
        <r>
          <rPr>
            <sz val="9"/>
            <color indexed="81"/>
            <rFont val="Tahoma"/>
            <charset val="1"/>
          </rPr>
          <t xml:space="preserve">
MT - Brestovanska, Natka
MT - Green, Carolyn
MT - Shah, Fareed
MT - Cruickshank, Christine
MT - Huda, Kankashan</t>
        </r>
      </text>
    </comment>
    <comment ref="T5" authorId="11">
      <text>
        <r>
          <rPr>
            <b/>
            <sz val="8"/>
            <color indexed="81"/>
            <rFont val="Tahoma"/>
            <family val="2"/>
          </rPr>
          <t>MDS USER:</t>
        </r>
        <r>
          <rPr>
            <sz val="8"/>
            <color indexed="81"/>
            <rFont val="Tahoma"/>
            <family val="2"/>
          </rPr>
          <t xml:space="preserve">
-Sandra Farkas - 22 days - carpal tunnel surgery (March 2004 claim) - new lost hours
-Seeta Karim - 3 days - fall - May 2005 - new lost hours 
-Kim Parsons - 5.6 days - mva (back) - Feb 2005 - new lost hours
-Lorna Givens - 18.2 days - fractured ankle - March 2005 - continuous
-Melody Moscoso - 2 days - fall - twisted ankle - new
-Lisa Cormier - 22 days 
-Pauline Boyle - 22 days
-Teresa Kaelin - 17 days
</t>
        </r>
      </text>
    </comment>
    <comment ref="U5" authorId="11">
      <text>
        <r>
          <rPr>
            <b/>
            <sz val="8"/>
            <color indexed="81"/>
            <rFont val="Tahoma"/>
            <family val="2"/>
          </rPr>
          <t>MDS USER:</t>
        </r>
        <r>
          <rPr>
            <sz val="8"/>
            <color indexed="81"/>
            <rFont val="Tahoma"/>
            <family val="2"/>
          </rPr>
          <t xml:space="preserve">
-Lisa - 22 days
-Teresa - 18 days
- Pauline - 22 days
-Seeta Karim - 22 days
-Deb Barnett -  RSI- 14 days (quit)
-Sandra Farkas - 11.9 days (part time)
-Larry Brooks - mva - 4 days
-Kim Parsons - 10.3 days
-Peter Web - mva - 3days
-Jay Adams - 2 days - chemical exposure (roof)
-Lorna Givens- 20.7 days</t>
        </r>
      </text>
    </comment>
    <comment ref="V5" authorId="11">
      <text>
        <r>
          <rPr>
            <b/>
            <sz val="8"/>
            <color indexed="81"/>
            <rFont val="Tahoma"/>
            <family val="2"/>
          </rPr>
          <t>MDS USER:</t>
        </r>
        <r>
          <rPr>
            <sz val="8"/>
            <color indexed="81"/>
            <rFont val="Tahoma"/>
            <family val="2"/>
          </rPr>
          <t xml:space="preserve">
-Teresa = 17 days
-Pauline = 21 days
-Lisa = 20.5 days
-</t>
        </r>
        <r>
          <rPr>
            <sz val="8"/>
            <color indexed="23"/>
            <rFont val="Tahoma"/>
            <family val="2"/>
          </rPr>
          <t>Seeta Karim = 21 days (not counted - vacation)</t>
        </r>
        <r>
          <rPr>
            <sz val="8"/>
            <color indexed="81"/>
            <rFont val="Tahoma"/>
            <family val="2"/>
          </rPr>
          <t xml:space="preserve">
-C. Julian - 3 days - st. catharines - overexertion
-Deb Barnett - 11 days (resigned)
-Linda Vaillencourt - 2.7 days - lifting biohazardous box
-Sandra Farqas - 6.1 days
-Kim Parsons - 3.4 days
-Lorna Givens - 8.4 days</t>
        </r>
      </text>
    </comment>
    <comment ref="W5" authorId="11">
      <text>
        <r>
          <rPr>
            <b/>
            <sz val="8"/>
            <color indexed="81"/>
            <rFont val="Tahoma"/>
            <family val="2"/>
          </rPr>
          <t>MDS USER:</t>
        </r>
        <r>
          <rPr>
            <sz val="8"/>
            <color indexed="81"/>
            <rFont val="Tahoma"/>
            <family val="2"/>
          </rPr>
          <t xml:space="preserve">
-Sandra Farkas - off for surgery for other arm - 20
-Lisa - 23 days
-Teresa - 18
-Pauline - 23
-Seeta - 16
-Diaine - 13
-Dan Hodgens - 10
-Lorna Givens - 5.5</t>
        </r>
      </text>
    </comment>
    <comment ref="X5" authorId="11">
      <text>
        <r>
          <rPr>
            <b/>
            <sz val="8"/>
            <color indexed="81"/>
            <rFont val="Tahoma"/>
            <family val="2"/>
          </rPr>
          <t>MDS USER</t>
        </r>
        <r>
          <rPr>
            <sz val="8"/>
            <color indexed="81"/>
            <rFont val="Tahoma"/>
            <family val="2"/>
          </rPr>
          <t xml:space="preserve">
</t>
        </r>
        <r>
          <rPr>
            <sz val="8"/>
            <color indexed="10"/>
            <rFont val="Tahoma"/>
            <family val="2"/>
          </rPr>
          <t>-Seeta - 12.5 days (not full days)</t>
        </r>
        <r>
          <rPr>
            <sz val="8"/>
            <color indexed="81"/>
            <rFont val="Tahoma"/>
            <family val="2"/>
          </rPr>
          <t xml:space="preserve">
</t>
        </r>
        <r>
          <rPr>
            <sz val="8"/>
            <color indexed="10"/>
            <rFont val="Tahoma"/>
            <family val="2"/>
          </rPr>
          <t>-Lisa - 22 days</t>
        </r>
        <r>
          <rPr>
            <sz val="8"/>
            <color indexed="81"/>
            <rFont val="Tahoma"/>
            <family val="2"/>
          </rPr>
          <t xml:space="preserve">
-Fran Smith - surgery on other hand - 13 days - 2003 claim (to return full duties Oct 24)
-Julia Ivanova - 2.7 days - cortisone injection
</t>
        </r>
        <r>
          <rPr>
            <sz val="8"/>
            <color indexed="23"/>
            <rFont val="Tahoma"/>
            <family val="2"/>
          </rPr>
          <t>-Teresa Kaelin - 18 days</t>
        </r>
        <r>
          <rPr>
            <sz val="8"/>
            <color indexed="81"/>
            <rFont val="Tahoma"/>
            <family val="2"/>
          </rPr>
          <t xml:space="preserve">
</t>
        </r>
        <r>
          <rPr>
            <sz val="8"/>
            <color indexed="23"/>
            <rFont val="Tahoma"/>
            <family val="2"/>
          </rPr>
          <t>-Pauline - 22 days</t>
        </r>
        <r>
          <rPr>
            <sz val="8"/>
            <color indexed="81"/>
            <rFont val="Tahoma"/>
            <family val="2"/>
          </rPr>
          <t xml:space="preserve">
-Sandra Farkas - 7.5 days (now full duites)
-Diaine - 12 days (now full duties)
-Abraham Gamiao - 4.4 days - back lifted box computer paper 
-Larry Brooks - 3 days - twisted ankle down stairs
</t>
        </r>
        <r>
          <rPr>
            <sz val="8"/>
            <color indexed="81"/>
            <rFont val="Tahoma"/>
            <family val="2"/>
          </rPr>
          <t>-Dan Hodgens - 16.6 days (full hours)</t>
        </r>
        <r>
          <rPr>
            <sz val="8"/>
            <color indexed="81"/>
            <rFont val="Tahoma"/>
            <family val="2"/>
          </rPr>
          <t xml:space="preserve">
-Marigold Black - 6 days (now full duties)
-Lorna Givens - 0.5 days
</t>
        </r>
        <r>
          <rPr>
            <sz val="8"/>
            <color indexed="10"/>
            <rFont val="Tahoma"/>
            <family val="2"/>
          </rPr>
          <t>-Janina Motylewski - 15 days - cane trip - (not full duties)</t>
        </r>
        <r>
          <rPr>
            <sz val="8"/>
            <color indexed="81"/>
            <rFont val="Tahoma"/>
            <family val="2"/>
          </rPr>
          <t xml:space="preserve">
</t>
        </r>
      </text>
    </comment>
    <comment ref="Y5" authorId="11">
      <text>
        <r>
          <rPr>
            <b/>
            <sz val="8"/>
            <color indexed="81"/>
            <rFont val="Tahoma"/>
            <family val="2"/>
          </rPr>
          <t>MDS USER:</t>
        </r>
        <r>
          <rPr>
            <sz val="8"/>
            <color indexed="81"/>
            <rFont val="Tahoma"/>
            <family val="2"/>
          </rPr>
          <t xml:space="preserve">
Lisa Cormier - 21 days
Maria Morais - not counting days</t>
        </r>
      </text>
    </comment>
    <comment ref="Z5" authorId="11">
      <text>
        <r>
          <rPr>
            <b/>
            <sz val="8"/>
            <color indexed="81"/>
            <rFont val="Tahoma"/>
            <family val="2"/>
          </rPr>
          <t>MDS USER:</t>
        </r>
        <r>
          <rPr>
            <sz val="8"/>
            <color indexed="81"/>
            <rFont val="Tahoma"/>
            <family val="2"/>
          </rPr>
          <t xml:space="preserve">
Lisa Cormier - 21 days
Maria Morais - not counting days</t>
        </r>
      </text>
    </comment>
    <comment ref="AA5" authorId="11">
      <text>
        <r>
          <rPr>
            <b/>
            <sz val="8"/>
            <color indexed="81"/>
            <rFont val="Tahoma"/>
            <family val="2"/>
          </rPr>
          <t>MDS USER:</t>
        </r>
        <r>
          <rPr>
            <sz val="8"/>
            <color indexed="81"/>
            <rFont val="Tahoma"/>
            <family val="2"/>
          </rPr>
          <t xml:space="preserve">
5 days lost for December + 22 days lost for L. Cormier </t>
        </r>
      </text>
    </comment>
    <comment ref="AB5" authorId="11">
      <text>
        <r>
          <rPr>
            <b/>
            <sz val="8"/>
            <color indexed="81"/>
            <rFont val="Tahoma"/>
            <family val="2"/>
          </rPr>
          <t>MDS USER:</t>
        </r>
        <r>
          <rPr>
            <sz val="8"/>
            <color indexed="81"/>
            <rFont val="Tahoma"/>
            <family val="2"/>
          </rPr>
          <t xml:space="preserve">
5 days lost for December + 22 days lost for L. Cormier</t>
        </r>
      </text>
    </comment>
    <comment ref="AX5" authorId="0">
      <text>
        <r>
          <rPr>
            <b/>
            <sz val="10"/>
            <color indexed="81"/>
            <rFont val="Tahoma"/>
            <family val="2"/>
          </rPr>
          <t>janceriz:</t>
        </r>
        <r>
          <rPr>
            <sz val="10"/>
            <color indexed="81"/>
            <rFont val="Tahoma"/>
            <family val="2"/>
          </rPr>
          <t xml:space="preserve">
2 carryover days from Onica Guo incident </t>
        </r>
      </text>
    </comment>
    <comment ref="AZ5" authorId="0">
      <text>
        <r>
          <rPr>
            <b/>
            <sz val="10"/>
            <color indexed="81"/>
            <rFont val="Tahoma"/>
            <family val="2"/>
          </rPr>
          <t>janceriz:</t>
        </r>
        <r>
          <rPr>
            <sz val="10"/>
            <color indexed="81"/>
            <rFont val="Tahoma"/>
            <family val="2"/>
          </rPr>
          <t xml:space="preserve">
2 days carryover from A.McConnell
18 days lost have been denied from C.Griffins incident</t>
        </r>
      </text>
    </comment>
    <comment ref="BB5" authorId="0">
      <text>
        <r>
          <rPr>
            <b/>
            <sz val="10"/>
            <color indexed="81"/>
            <rFont val="Tahoma"/>
            <family val="2"/>
          </rPr>
          <t>janceriz:</t>
        </r>
        <r>
          <rPr>
            <sz val="10"/>
            <color indexed="81"/>
            <rFont val="Tahoma"/>
            <family val="2"/>
          </rPr>
          <t xml:space="preserve">
15 days may be denied from Alison Fleming incident</t>
        </r>
      </text>
    </comment>
    <comment ref="BC5" authorId="0">
      <text>
        <r>
          <rPr>
            <b/>
            <sz val="10"/>
            <color indexed="81"/>
            <rFont val="Tahoma"/>
            <family val="2"/>
          </rPr>
          <t>janceriz:</t>
        </r>
        <r>
          <rPr>
            <sz val="10"/>
            <color indexed="81"/>
            <rFont val="Tahoma"/>
            <family val="2"/>
          </rPr>
          <t xml:space="preserve">
9 carryover days from Alison Fleming incident
4 carryover days from Eric Yeung incident</t>
        </r>
      </text>
    </comment>
    <comment ref="BD5" authorId="0">
      <text>
        <r>
          <rPr>
            <b/>
            <sz val="10"/>
            <color indexed="81"/>
            <rFont val="Tahoma"/>
            <family val="2"/>
          </rPr>
          <t>janceriz:</t>
        </r>
        <r>
          <rPr>
            <sz val="10"/>
            <color indexed="81"/>
            <rFont val="Tahoma"/>
            <family val="2"/>
          </rPr>
          <t xml:space="preserve">
3 days carryover from a reoccurance</t>
        </r>
      </text>
    </comment>
    <comment ref="BE5" authorId="0">
      <text>
        <r>
          <rPr>
            <b/>
            <sz val="10"/>
            <color indexed="81"/>
            <rFont val="Tahoma"/>
            <family val="2"/>
          </rPr>
          <t>janceriz:</t>
        </r>
        <r>
          <rPr>
            <sz val="10"/>
            <color indexed="81"/>
            <rFont val="Tahoma"/>
            <family val="2"/>
          </rPr>
          <t xml:space="preserve">
3.5 days carryover from C.Green incident</t>
        </r>
      </text>
    </comment>
    <comment ref="BF5" authorId="0">
      <text>
        <r>
          <rPr>
            <b/>
            <sz val="10"/>
            <color indexed="81"/>
            <rFont val="Tahoma"/>
            <family val="2"/>
          </rPr>
          <t>janceriz:</t>
        </r>
        <r>
          <rPr>
            <sz val="10"/>
            <color indexed="81"/>
            <rFont val="Tahoma"/>
            <family val="2"/>
          </rPr>
          <t xml:space="preserve">
K.Kaur has been allowed 9.6 days in July (Carryover) 
Wendy Cozier 1 day allowed from June claim</t>
        </r>
      </text>
    </comment>
    <comment ref="BG5" authorId="0">
      <text>
        <r>
          <rPr>
            <b/>
            <sz val="10"/>
            <color indexed="81"/>
            <rFont val="Tahoma"/>
            <family val="2"/>
          </rPr>
          <t>janceriz:</t>
        </r>
        <r>
          <rPr>
            <sz val="10"/>
            <color indexed="81"/>
            <rFont val="Tahoma"/>
            <family val="2"/>
          </rPr>
          <t xml:space="preserve">
2 reocurrances that contributed to 12 days lost in August
Scribilo and Kaur (allowed for August LT only).</t>
        </r>
      </text>
    </comment>
    <comment ref="BH5" authorId="0">
      <text>
        <r>
          <rPr>
            <b/>
            <sz val="10"/>
            <color indexed="81"/>
            <rFont val="Tahoma"/>
            <family val="2"/>
          </rPr>
          <t>janceriz:</t>
        </r>
        <r>
          <rPr>
            <sz val="10"/>
            <color indexed="81"/>
            <rFont val="Tahoma"/>
            <family val="2"/>
          </rPr>
          <t xml:space="preserve">
1 reo from July claim - Teresa Karpowicz - 2 days lost</t>
        </r>
      </text>
    </comment>
    <comment ref="BK5" authorId="0">
      <text>
        <r>
          <rPr>
            <b/>
            <sz val="10"/>
            <color indexed="81"/>
            <rFont val="Tahoma"/>
            <family val="2"/>
          </rPr>
          <t>janceriz:</t>
        </r>
        <r>
          <rPr>
            <sz val="10"/>
            <color indexed="81"/>
            <rFont val="Tahoma"/>
            <family val="2"/>
          </rPr>
          <t xml:space="preserve">
1 carry over from Nov - Ali Warsame 5 days
Sharon Lanigan Denied for MT</t>
        </r>
      </text>
    </comment>
    <comment ref="BL5" authorId="0">
      <text>
        <r>
          <rPr>
            <b/>
            <sz val="10"/>
            <color indexed="81"/>
            <rFont val="Tahoma"/>
            <family val="2"/>
          </rPr>
          <t>janceriz:</t>
        </r>
        <r>
          <rPr>
            <sz val="10"/>
            <color indexed="81"/>
            <rFont val="Tahoma"/>
            <family val="2"/>
          </rPr>
          <t xml:space="preserve">
1 carry over from Braun 2.7 days lost in Jan
Diana Weskett Denied MT</t>
        </r>
      </text>
    </comment>
    <comment ref="BM5" authorId="0">
      <text>
        <r>
          <rPr>
            <b/>
            <sz val="8"/>
            <color indexed="81"/>
            <rFont val="Tahoma"/>
            <family val="2"/>
          </rPr>
          <t>janceriz:</t>
        </r>
        <r>
          <rPr>
            <sz val="8"/>
            <color indexed="81"/>
            <rFont val="Tahoma"/>
            <family val="2"/>
          </rPr>
          <t xml:space="preserve">
Diva Rana's claim has been denied - 2 days</t>
        </r>
      </text>
    </comment>
    <comment ref="BN5" authorId="2">
      <text>
        <r>
          <rPr>
            <b/>
            <sz val="10"/>
            <color indexed="81"/>
            <rFont val="Tahoma"/>
            <family val="2"/>
          </rPr>
          <t>JAnceriz:</t>
        </r>
        <r>
          <rPr>
            <sz val="10"/>
            <color indexed="81"/>
            <rFont val="Tahoma"/>
            <family val="2"/>
          </rPr>
          <t xml:space="preserve">
1 carryover from Ferrara (Dec claim)
Multiple claim denials (inc. Hache, Genereaux)</t>
        </r>
      </text>
    </comment>
    <comment ref="BO5" authorId="2">
      <text>
        <r>
          <rPr>
            <b/>
            <sz val="10"/>
            <color indexed="81"/>
            <rFont val="Tahoma"/>
            <family val="2"/>
          </rPr>
          <t>JAnceriz:</t>
        </r>
        <r>
          <rPr>
            <sz val="10"/>
            <color indexed="81"/>
            <rFont val="Tahoma"/>
            <family val="2"/>
          </rPr>
          <t xml:space="preserve">
8 days  Maria Ferrara – December 2008 claim, which became lost time in Mar. 2009
McRae claim denied</t>
        </r>
      </text>
    </comment>
    <comment ref="BP5" authorId="2">
      <text>
        <r>
          <rPr>
            <b/>
            <sz val="10"/>
            <color indexed="81"/>
            <rFont val="Tahoma"/>
            <family val="2"/>
          </rPr>
          <t xml:space="preserve">JAnceriz:
5.5 days carryover ( Maria Ferrara ( Dec/08 claim -  working 4 hours /day x 3 days a week for 11 days and 6 hours/day for 2 days for month of May)
</t>
        </r>
      </text>
    </comment>
    <comment ref="BQ5" authorId="2">
      <text>
        <r>
          <rPr>
            <b/>
            <sz val="8"/>
            <color indexed="81"/>
            <rFont val="Tahoma"/>
            <family val="2"/>
          </rPr>
          <t>JAnceriz:
3.6 days carryover (Maria Ferrara Dec/08 claim)</t>
        </r>
        <r>
          <rPr>
            <b/>
            <sz val="10"/>
            <color indexed="81"/>
            <rFont val="Tahoma"/>
            <family val="2"/>
          </rPr>
          <t xml:space="preserve">
</t>
        </r>
      </text>
    </comment>
    <comment ref="BR5" authorId="2">
      <text>
        <r>
          <rPr>
            <b/>
            <sz val="8"/>
            <color indexed="81"/>
            <rFont val="Tahoma"/>
            <family val="2"/>
          </rPr>
          <t>JAnceriz:
2.5 days carryover (Maria Ferrara Dec/08 claim)</t>
        </r>
        <r>
          <rPr>
            <b/>
            <sz val="10"/>
            <color indexed="81"/>
            <rFont val="Tahoma"/>
            <family val="2"/>
          </rPr>
          <t xml:space="preserve">
</t>
        </r>
      </text>
    </comment>
    <comment ref="BS5" authorId="2">
      <text>
        <r>
          <rPr>
            <b/>
            <sz val="8"/>
            <color indexed="81"/>
            <rFont val="Tahoma"/>
            <family val="2"/>
          </rPr>
          <t>JAnceriz:
1.2 days carryover (Maria Ferrara Dec/08 claim)
2 days carryover from Angela Mayhew claim (DENIED)</t>
        </r>
        <r>
          <rPr>
            <b/>
            <sz val="10"/>
            <color indexed="81"/>
            <rFont val="Tahoma"/>
            <family val="2"/>
          </rPr>
          <t xml:space="preserve">
</t>
        </r>
      </text>
    </comment>
    <comment ref="BT5" authorId="2">
      <text>
        <r>
          <rPr>
            <b/>
            <sz val="8"/>
            <color indexed="81"/>
            <rFont val="Tahoma"/>
            <family val="2"/>
          </rPr>
          <t xml:space="preserve">JAnceriz:
Colatosti:  Aug/09 claim  lost days in Sept.= 5.9 days 
Rana:  Reo in Aug.2009 from claim in jan/2008 – Lost days in Sept. = 9 days </t>
        </r>
        <r>
          <rPr>
            <b/>
            <sz val="10"/>
            <color indexed="81"/>
            <rFont val="Tahoma"/>
            <family val="2"/>
          </rPr>
          <t xml:space="preserve">
</t>
        </r>
      </text>
    </comment>
    <comment ref="BU5" authorId="2">
      <text>
        <r>
          <rPr>
            <b/>
            <sz val="8"/>
            <color indexed="81"/>
            <rFont val="Tahoma"/>
            <family val="2"/>
          </rPr>
          <t xml:space="preserve">JAnceriz:
Colatosti:  Aug/09 claim  lost days in Sept.= 5.9 days and Oct = 8.1 </t>
        </r>
        <r>
          <rPr>
            <b/>
            <sz val="10"/>
            <color indexed="81"/>
            <rFont val="Tahoma"/>
            <family val="2"/>
          </rPr>
          <t xml:space="preserve">
</t>
        </r>
      </text>
    </comment>
    <comment ref="BV5" authorId="2">
      <text>
        <r>
          <rPr>
            <b/>
            <sz val="8"/>
            <color indexed="81"/>
            <rFont val="Tahoma"/>
            <family val="2"/>
          </rPr>
          <t>JAnceriz:
Colatosti: 5.7
Tapawan: 12
Clark: 1
Ungar:1.9
Debeljak: 2</t>
        </r>
      </text>
    </comment>
    <comment ref="BW5" authorId="2">
      <text>
        <r>
          <rPr>
            <b/>
            <sz val="8"/>
            <color indexed="81"/>
            <rFont val="Tahoma"/>
            <family val="2"/>
          </rPr>
          <t>JAnceriz:
No Carryovers</t>
        </r>
      </text>
    </comment>
    <comment ref="BX5" authorId="2">
      <text>
        <r>
          <rPr>
            <b/>
            <sz val="8"/>
            <color indexed="81"/>
            <rFont val="Tahoma"/>
            <family val="2"/>
          </rPr>
          <t>JAnceriz:
No Carryovers
Villanueva claim was denied</t>
        </r>
      </text>
    </comment>
    <comment ref="BY5" authorId="2">
      <text>
        <r>
          <rPr>
            <b/>
            <sz val="8"/>
            <color indexed="81"/>
            <rFont val="Tahoma"/>
            <family val="2"/>
          </rPr>
          <t>JAnceriz:
carryover from Jan Tesfagiorgis 3.5 days
All days lost will most likely be denied as no one sought medical attention</t>
        </r>
      </text>
    </comment>
    <comment ref="BZ5" authorId="2">
      <text>
        <r>
          <rPr>
            <b/>
            <sz val="8"/>
            <color indexed="81"/>
            <rFont val="Tahoma"/>
            <family val="2"/>
          </rPr>
          <t xml:space="preserve">JAnceriz:
carryover from Jan Tesfagiorgis 2.2 days
Steven Vanderwielen's claim was denied
</t>
        </r>
      </text>
    </comment>
    <comment ref="CA5" authorId="2">
      <text>
        <r>
          <rPr>
            <b/>
            <sz val="8"/>
            <color indexed="81"/>
            <rFont val="Tahoma"/>
            <family val="2"/>
          </rPr>
          <t xml:space="preserve">JAnceriz:
Carryovers
Hoffman = 4.7
Gowland = 11.2
</t>
        </r>
      </text>
    </comment>
    <comment ref="CB5" authorId="2">
      <text>
        <r>
          <rPr>
            <b/>
            <sz val="8"/>
            <color indexed="81"/>
            <rFont val="Tahoma"/>
            <family val="2"/>
          </rPr>
          <t>JAnceriz:</t>
        </r>
        <r>
          <rPr>
            <sz val="8"/>
            <color indexed="81"/>
            <rFont val="Tahoma"/>
            <family val="2"/>
          </rPr>
          <t xml:space="preserve">
c/o April: Stefiuk (6.1 - DENIED)
2 carryover days from 2005 claim Seeta Karim</t>
        </r>
      </text>
    </comment>
    <comment ref="CC5" authorId="2">
      <text>
        <r>
          <rPr>
            <b/>
            <sz val="8"/>
            <color indexed="81"/>
            <rFont val="Tahoma"/>
            <family val="2"/>
          </rPr>
          <t>Janceriz
Carryover Days
- DENIED - 3.98 days Gary Stefiuk (April Claim)
- DENIED - 1 day Feroza (June Claim)
- 2.9 days Michelle Roukema (May (May Claim)
- 1 day Bozena Siwik (May Claim)
- 4 days Seeta Karim (2005 Claim)</t>
        </r>
      </text>
    </comment>
    <comment ref="CD5" authorId="2">
      <text>
        <r>
          <rPr>
            <b/>
            <sz val="8"/>
            <color indexed="81"/>
            <rFont val="Tahoma"/>
            <family val="2"/>
          </rPr>
          <t>JAnceriz:</t>
        </r>
        <r>
          <rPr>
            <sz val="8"/>
            <color indexed="81"/>
            <rFont val="Tahoma"/>
            <family val="2"/>
          </rPr>
          <t xml:space="preserve">
0.7 carryover days from Charron</t>
        </r>
      </text>
    </comment>
    <comment ref="CG5" authorId="4">
      <text>
        <r>
          <rPr>
            <b/>
            <sz val="8"/>
            <color indexed="81"/>
            <rFont val="Tahoma"/>
            <family val="2"/>
          </rPr>
          <t>Anceriz, Julie:</t>
        </r>
        <r>
          <rPr>
            <sz val="8"/>
            <color indexed="81"/>
            <rFont val="Tahoma"/>
            <family val="2"/>
          </rPr>
          <t xml:space="preserve">
c/o: 19.04 Shalva Krichley
c/o: 16.52 Danielle Soulliere</t>
        </r>
      </text>
    </comment>
    <comment ref="CH5" authorId="4">
      <text>
        <r>
          <rPr>
            <b/>
            <sz val="8"/>
            <color indexed="81"/>
            <rFont val="Tahoma"/>
            <family val="2"/>
          </rPr>
          <t>Anceriz, Julie:</t>
        </r>
        <r>
          <rPr>
            <sz val="8"/>
            <color indexed="81"/>
            <rFont val="Tahoma"/>
            <family val="2"/>
          </rPr>
          <t xml:space="preserve">
c/o: 19.6 Shalva Krichley
c/o: 7.9 Danielle Soulliere</t>
        </r>
      </text>
    </comment>
    <comment ref="CI5" authorId="4">
      <text>
        <r>
          <rPr>
            <b/>
            <sz val="8"/>
            <color indexed="81"/>
            <rFont val="Tahoma"/>
            <family val="2"/>
          </rPr>
          <t>Anceriz, Julie:</t>
        </r>
        <r>
          <rPr>
            <sz val="8"/>
            <color indexed="81"/>
            <rFont val="Tahoma"/>
            <family val="2"/>
          </rPr>
          <t xml:space="preserve">
c/o: Krichley, Shalva (20.9)
c/o: Brenya, Kofi (16.2)</t>
        </r>
      </text>
    </comment>
    <comment ref="CJ5" authorId="4">
      <text>
        <r>
          <rPr>
            <b/>
            <sz val="8"/>
            <color indexed="81"/>
            <rFont val="Tahoma"/>
            <family val="2"/>
          </rPr>
          <t>Anceriz, Julie:</t>
        </r>
        <r>
          <rPr>
            <sz val="8"/>
            <color indexed="81"/>
            <rFont val="Tahoma"/>
            <family val="2"/>
          </rPr>
          <t xml:space="preserve">
c/o: Krichley, Shalva (19)
c/o: Brenya, Kofi (2.7)
Terrel: 5 days (DENIED)
Ames: 5 days</t>
        </r>
      </text>
    </comment>
    <comment ref="CK5" authorId="4">
      <text>
        <r>
          <rPr>
            <b/>
            <sz val="8"/>
            <color indexed="81"/>
            <rFont val="Tahoma"/>
            <family val="2"/>
          </rPr>
          <t>Anceriz, Julie:</t>
        </r>
        <r>
          <rPr>
            <sz val="8"/>
            <color indexed="81"/>
            <rFont val="Tahoma"/>
            <family val="2"/>
          </rPr>
          <t xml:space="preserve">
Olmstead, Debbie = 0.5
DENIED Lyle, Geraldine A = 4
Cunningham, Peter = 7
Martell, Brenda L = 0.9
c/o Krichley, Shalva = 18.1
c/o Ames, Chris = 1</t>
        </r>
      </text>
    </comment>
    <comment ref="CL5" authorId="4">
      <text>
        <r>
          <rPr>
            <b/>
            <sz val="8"/>
            <color indexed="81"/>
            <rFont val="Tahoma"/>
            <family val="2"/>
          </rPr>
          <t>Anceriz, Julie:</t>
        </r>
        <r>
          <rPr>
            <sz val="8"/>
            <color indexed="81"/>
            <rFont val="Tahoma"/>
            <family val="2"/>
          </rPr>
          <t xml:space="preserve">
LT: Psaris, Patricia M = 1
LT: Chen, Katy= 1 
LT: Bailey, Summer = 3
LT: Bhimsen, Bibi = 1
c/o: Krichely = 20.9
DENIED c/o: Lyle = 14.3</t>
        </r>
      </text>
    </comment>
    <comment ref="CM5" authorId="4">
      <text>
        <r>
          <rPr>
            <b/>
            <sz val="8"/>
            <color indexed="81"/>
            <rFont val="Tahoma"/>
            <family val="2"/>
          </rPr>
          <t>Anceriz, Julie:</t>
        </r>
        <r>
          <rPr>
            <sz val="8"/>
            <color indexed="81"/>
            <rFont val="Tahoma"/>
            <family val="2"/>
          </rPr>
          <t xml:space="preserve">
LT: Meite, Norka=  1
c/o: Krichely = 19.04
DENIED c/o: Lyle = 5.1
c/o: Derosier, Deanna = 14.9</t>
        </r>
      </text>
    </comment>
    <comment ref="CN5" authorId="4">
      <text>
        <r>
          <rPr>
            <b/>
            <sz val="8"/>
            <color indexed="81"/>
            <rFont val="Tahoma"/>
            <family val="2"/>
          </rPr>
          <t>Anceriz, Julie:</t>
        </r>
        <r>
          <rPr>
            <sz val="8"/>
            <color indexed="81"/>
            <rFont val="Tahoma"/>
            <family val="2"/>
          </rPr>
          <t xml:space="preserve">
LT: Gartuz Ismael = 2
LT: Anne Reiter = 1.5
c/o: Krichely = 19.9
DENIED c/o: Lyle = 3.7
c/o: Derosier, Deanna = 13.5</t>
        </r>
      </text>
    </comment>
    <comment ref="CO5" authorId="5">
      <text>
        <r>
          <rPr>
            <b/>
            <sz val="8"/>
            <color indexed="81"/>
            <rFont val="Tahoma"/>
            <family val="2"/>
          </rPr>
          <t>LifeLabs user:</t>
        </r>
        <r>
          <rPr>
            <sz val="8"/>
            <color indexed="81"/>
            <rFont val="Tahoma"/>
            <family val="2"/>
          </rPr>
          <t xml:space="preserve">
LT: N. Walker - Lost time in July
Krichely: c/o days: 18.8
Lyle: c/o 0.9
Derosier: c/o 9.7
Shou: 3</t>
        </r>
      </text>
    </comment>
    <comment ref="CP5" authorId="5">
      <text>
        <r>
          <rPr>
            <b/>
            <sz val="8"/>
            <color indexed="81"/>
            <rFont val="Tahoma"/>
            <family val="2"/>
          </rPr>
          <t xml:space="preserve">LifeLabs user:
</t>
        </r>
        <r>
          <rPr>
            <sz val="8"/>
            <color indexed="81"/>
            <rFont val="Tahoma"/>
            <family val="2"/>
          </rPr>
          <t>N. Walker c/o: 8.7
Krichely: c/o days: 9.6
Lyle: c/o: 8.5 
Derosier: c/o: 3.7
Denied LT: Martin, Chris:
Dilley-Frizado, Elise:4.5
Gonzalez, Gypsy: 2.2
Shou: 4</t>
        </r>
      </text>
    </comment>
    <comment ref="CQ5" authorId="6">
      <text>
        <r>
          <rPr>
            <sz val="9"/>
            <color indexed="81"/>
            <rFont val="Tahoma"/>
            <family val="2"/>
          </rPr>
          <t>-Denied: Lyew, R: 3 days
-Ranta-Ojala, C: 3 days
-Kricherly, S: 3.9 days c/o
- Geralidine, L: 8.5 days c/o
-Derosier, D: 6.3 days c/o
-Walker, N: 1.3 days c/o
-Shou: 1</t>
        </r>
      </text>
    </comment>
    <comment ref="CR5" authorId="6">
      <text>
        <r>
          <rPr>
            <sz val="9"/>
            <color indexed="81"/>
            <rFont val="Tahoma"/>
            <family val="2"/>
          </rPr>
          <t>Hull, Samuel: 2.7
Chalmers, Jill: 3.9
Dharmapalan, Dushyanthie: 1
c/o Derosier, Deanna: 3
c/o Gowland, Diane: 8.7
c/o Shou, Ziping (Mary): 2</t>
        </r>
      </text>
    </comment>
    <comment ref="CS5" authorId="4">
      <text>
        <r>
          <rPr>
            <b/>
            <sz val="8"/>
            <color indexed="81"/>
            <rFont val="Tahoma"/>
            <family val="2"/>
          </rPr>
          <t>Anceriz, Julie:</t>
        </r>
        <r>
          <rPr>
            <sz val="8"/>
            <color indexed="81"/>
            <rFont val="Tahoma"/>
            <family val="2"/>
          </rPr>
          <t xml:space="preserve">
Ming, Robert=1
c/o: Dharmapalan, Dushy = 6</t>
        </r>
      </text>
    </comment>
    <comment ref="CT5" authorId="7">
      <text>
        <r>
          <rPr>
            <b/>
            <sz val="9"/>
            <color indexed="81"/>
            <rFont val="Tahoma"/>
            <family val="2"/>
          </rPr>
          <t>Jay Wang:</t>
        </r>
        <r>
          <rPr>
            <sz val="9"/>
            <color indexed="81"/>
            <rFont val="Tahoma"/>
            <family val="2"/>
          </rPr>
          <t xml:space="preserve">
Wilson, Monica=1.9
c/o Tkach, Sandra C=11.9        </t>
        </r>
      </text>
    </comment>
    <comment ref="CU5" authorId="7">
      <text>
        <r>
          <rPr>
            <b/>
            <sz val="9"/>
            <color indexed="81"/>
            <rFont val="Tahoma"/>
            <family val="2"/>
          </rPr>
          <t>Jay Wang:</t>
        </r>
        <r>
          <rPr>
            <sz val="9"/>
            <color indexed="81"/>
            <rFont val="Tahoma"/>
            <family val="2"/>
          </rPr>
          <t xml:space="preserve">
Bernard, Shawna=1
Gareri, Antonietta=2
c/o Tkach, Sandra=11.9
C/O Busey, Tammy=1.03</t>
        </r>
      </text>
    </comment>
    <comment ref="CV5" authorId="7">
      <text>
        <r>
          <rPr>
            <b/>
            <sz val="9"/>
            <color indexed="81"/>
            <rFont val="Tahoma"/>
            <family val="2"/>
          </rPr>
          <t>Jay Wang:</t>
        </r>
        <r>
          <rPr>
            <sz val="9"/>
            <color indexed="81"/>
            <rFont val="Tahoma"/>
            <family val="2"/>
          </rPr>
          <t xml:space="preserve">
c/o Derosier, Deanna=17</t>
        </r>
      </text>
    </comment>
    <comment ref="CW5" authorId="7">
      <text>
        <r>
          <rPr>
            <b/>
            <sz val="9"/>
            <color indexed="81"/>
            <rFont val="Tahoma"/>
            <family val="2"/>
          </rPr>
          <t>Jay Wang:</t>
        </r>
        <r>
          <rPr>
            <sz val="9"/>
            <color indexed="81"/>
            <rFont val="Tahoma"/>
            <family val="2"/>
          </rPr>
          <t xml:space="preserve">
Sa-Avedra, Donna=0 (originally 3)
Hanans, Donna=1
c/o Derosier, Deanna=21</t>
        </r>
      </text>
    </comment>
    <comment ref="CX5" authorId="7">
      <text>
        <r>
          <rPr>
            <b/>
            <sz val="9"/>
            <color indexed="81"/>
            <rFont val="Tahoma"/>
            <family val="2"/>
          </rPr>
          <t>Jay Wang:</t>
        </r>
        <r>
          <rPr>
            <sz val="9"/>
            <color indexed="81"/>
            <rFont val="Tahoma"/>
            <family val="2"/>
          </rPr>
          <t xml:space="preserve">
Tremonti, Michelle=2
c/o Derosier, Deanna=13.07</t>
        </r>
      </text>
    </comment>
    <comment ref="CY5" authorId="7">
      <text>
        <r>
          <rPr>
            <b/>
            <sz val="9"/>
            <color indexed="81"/>
            <rFont val="Tahoma"/>
            <family val="2"/>
          </rPr>
          <t>Jay Wang:</t>
        </r>
        <r>
          <rPr>
            <sz val="9"/>
            <color indexed="81"/>
            <rFont val="Tahoma"/>
            <family val="2"/>
          </rPr>
          <t xml:space="preserve">
Thomas, Abeni=13.47
Muslim, Omar=1.2
c/o Derosier, Deanna=0.33</t>
        </r>
      </text>
    </comment>
    <comment ref="CZ5" authorId="7">
      <text>
        <r>
          <rPr>
            <b/>
            <sz val="9"/>
            <color indexed="81"/>
            <rFont val="Tahoma"/>
            <family val="2"/>
          </rPr>
          <t>Jay Wang:</t>
        </r>
        <r>
          <rPr>
            <sz val="9"/>
            <color indexed="81"/>
            <rFont val="Tahoma"/>
            <family val="2"/>
          </rPr>
          <t xml:space="preserve">
Barrett-Nelson, Dianie P=0 (originally 3)
Rodas, Sergio = 0 (originally 1)
c/o Thomas, Abeni = 10.07
c/o Eisnor, Kim M=16</t>
        </r>
      </text>
    </comment>
    <comment ref="DA5" authorId="7">
      <text>
        <r>
          <rPr>
            <b/>
            <sz val="9"/>
            <color indexed="81"/>
            <rFont val="Tahoma"/>
            <family val="2"/>
          </rPr>
          <t>Jay Wang:</t>
        </r>
        <r>
          <rPr>
            <sz val="9"/>
            <color indexed="81"/>
            <rFont val="Tahoma"/>
            <family val="2"/>
          </rPr>
          <t xml:space="preserve">
Collins, Catina=1
Pavasovic, Mara=0 (originally 1)
St. Clair, Tom=8
Guidolin, Josephine=1.4
c/o Eisnor, Kim M=6.6
c/o Thomas, Abeni=10.14</t>
        </r>
      </text>
    </comment>
    <comment ref="DB5" authorId="7">
      <text>
        <r>
          <rPr>
            <b/>
            <sz val="9"/>
            <color indexed="81"/>
            <rFont val="Tahoma"/>
            <family val="2"/>
          </rPr>
          <t>Jay Wang:</t>
        </r>
        <r>
          <rPr>
            <sz val="9"/>
            <color indexed="81"/>
            <rFont val="Tahoma"/>
            <family val="2"/>
          </rPr>
          <t xml:space="preserve">
Hopkins, Christine=2
Patel, Mehul=1.73
c/o Swayze, Heather=6
c/o Thomas, Abeni=4    </t>
        </r>
      </text>
    </comment>
    <comment ref="DC5" authorId="7">
      <text>
        <r>
          <rPr>
            <b/>
            <sz val="9"/>
            <color indexed="81"/>
            <rFont val="Tahoma"/>
            <family val="2"/>
          </rPr>
          <t>Jay Wang:</t>
        </r>
        <r>
          <rPr>
            <sz val="9"/>
            <color indexed="81"/>
            <rFont val="Tahoma"/>
            <family val="2"/>
          </rPr>
          <t xml:space="preserve">
c/o Patel, Mehul = 3.27
c/o Robinson, Mandy = 1
Dolby, Donna = 8
Brandt, Charles = 1
Perreira, Terrence = 6
</t>
        </r>
      </text>
    </comment>
    <comment ref="DD5" authorId="7">
      <text>
        <r>
          <rPr>
            <b/>
            <sz val="9"/>
            <color indexed="81"/>
            <rFont val="Tahoma"/>
            <family val="2"/>
          </rPr>
          <t>Jay Wang:</t>
        </r>
        <r>
          <rPr>
            <sz val="9"/>
            <color indexed="81"/>
            <rFont val="Tahoma"/>
            <family val="2"/>
          </rPr>
          <t xml:space="preserve">
Collins, Christine W=3
c/o Shou, Zhiping=1
c/o  Thomas, Abeni=15
c/o Dolby, Donna=9.7
c/o Perreira, Terrance=1 (Originally 19)
c/o Guo, Monica=1.3</t>
        </r>
      </text>
    </comment>
    <comment ref="DE5" authorId="7">
      <text>
        <r>
          <rPr>
            <b/>
            <sz val="9"/>
            <color indexed="81"/>
            <rFont val="Tahoma"/>
            <family val="2"/>
          </rPr>
          <t>Jay Wang:</t>
        </r>
        <r>
          <rPr>
            <sz val="9"/>
            <color indexed="81"/>
            <rFont val="Tahoma"/>
            <family val="2"/>
          </rPr>
          <t xml:space="preserve">
McMaster, Brianne = 2
c/o Thomas, Abeni = 22
c/o Dolby, Donna = 21.47
c/o Perreira, Terrance = 0 (Originally 12)</t>
        </r>
      </text>
    </comment>
    <comment ref="DF5" authorId="7">
      <text>
        <r>
          <rPr>
            <b/>
            <sz val="9"/>
            <color indexed="81"/>
            <rFont val="Tahoma"/>
            <family val="2"/>
          </rPr>
          <t>Jay Wang:</t>
        </r>
        <r>
          <rPr>
            <sz val="9"/>
            <color indexed="81"/>
            <rFont val="Tahoma"/>
            <family val="2"/>
          </rPr>
          <t xml:space="preserve">
Winkworth, Erin = 1
Balbanian, Carmen = 9
Israel, Noe M = 0 (originally 1)
Cereze, Raymundo L = 0 (Originally 6)
Alcantara, Alicia = 0 (originally 8)
c/o Swayze, Heather = 12
c/o Thomas, Abeni = 13.35
c/o Dolby, Donna = 22
c/o Plouffe, Darquise = 0 (originally 11)</t>
        </r>
      </text>
    </comment>
    <comment ref="DG5" authorId="7">
      <text>
        <r>
          <rPr>
            <b/>
            <sz val="9"/>
            <color indexed="81"/>
            <rFont val="Tahoma"/>
            <family val="2"/>
          </rPr>
          <t>Jay Wang:</t>
        </r>
        <r>
          <rPr>
            <sz val="9"/>
            <color indexed="81"/>
            <rFont val="Tahoma"/>
            <family val="2"/>
          </rPr>
          <t xml:space="preserve">
McKay, Lynn = 0 (Originally 3)
Santelli, Rose = 0 (Originally 1)
Lad, Bhavna = 7
c/o Thomas, Abeni = 1.06
c/o Dolby, Donna = 15.79
c/o Balbanian, Carmen = 18
c/o Cerezo, Raymundo = 2
c/o Alcantara, Alicia = 6</t>
        </r>
      </text>
    </comment>
    <comment ref="DH5" authorId="7">
      <text>
        <r>
          <rPr>
            <b/>
            <sz val="9"/>
            <color indexed="81"/>
            <rFont val="Tahoma"/>
            <family val="2"/>
          </rPr>
          <t>Jay Wang:</t>
        </r>
        <r>
          <rPr>
            <sz val="9"/>
            <color indexed="81"/>
            <rFont val="Tahoma"/>
            <family val="2"/>
          </rPr>
          <t xml:space="preserve">
Poirier, Lisa=0 (originally 1)
Waters, Cynthia=3
Chalmers, Jill=1
Haider, Saba=2
Barnes, Wanda=2
Black, Patricia=5.6
Salvalaggio, Karen=2
c/o Dolby, Donna=12.65
c/o Balbanian, Carmen=12.3
c/o Rana, Divya=1
c/o Eisnor, Kim=12</t>
        </r>
      </text>
    </comment>
    <comment ref="DI5" authorId="7">
      <text>
        <r>
          <rPr>
            <b/>
            <sz val="9"/>
            <color indexed="81"/>
            <rFont val="Tahoma"/>
            <family val="2"/>
          </rPr>
          <t>Jay Wang:</t>
        </r>
        <r>
          <rPr>
            <sz val="9"/>
            <color indexed="81"/>
            <rFont val="Tahoma"/>
            <family val="2"/>
          </rPr>
          <t xml:space="preserve">
Waters, Cynthia=4.3
c/o Balbanian, Carmen=8.01
c/o Black, Patricia=1
c/o Eisnor, Kim=8.81</t>
        </r>
      </text>
    </comment>
    <comment ref="DJ5" authorId="7">
      <text>
        <r>
          <rPr>
            <b/>
            <sz val="9"/>
            <color indexed="81"/>
            <rFont val="Tahoma"/>
            <family val="2"/>
          </rPr>
          <t>Jay Wang:</t>
        </r>
        <r>
          <rPr>
            <sz val="9"/>
            <color indexed="81"/>
            <rFont val="Tahoma"/>
            <family val="2"/>
          </rPr>
          <t xml:space="preserve">
Brooks, Rownita = 2
c/o Balbanian, Carmen = 7.5
c/o Eisnor, Kim = 0.4
c/o Water, Cynthia = 13.28</t>
        </r>
      </text>
    </comment>
    <comment ref="DK5" authorId="7">
      <text>
        <r>
          <rPr>
            <b/>
            <sz val="9"/>
            <color indexed="81"/>
            <rFont val="Tahoma"/>
            <family val="2"/>
          </rPr>
          <t>Jay Wang:</t>
        </r>
        <r>
          <rPr>
            <sz val="9"/>
            <color indexed="81"/>
            <rFont val="Tahoma"/>
            <family val="2"/>
          </rPr>
          <t xml:space="preserve">
Ramcharan, Aruna = 0 (Originally 2)
c/o Balbanian, Carmen = 7.6
c/o Waters, Cynthia = 9.5</t>
        </r>
      </text>
    </comment>
    <comment ref="DL5" authorId="7">
      <text>
        <r>
          <rPr>
            <b/>
            <sz val="9"/>
            <color indexed="81"/>
            <rFont val="Tahoma"/>
            <family val="2"/>
          </rPr>
          <t>Jay Wang:</t>
        </r>
        <r>
          <rPr>
            <sz val="9"/>
            <color indexed="81"/>
            <rFont val="Tahoma"/>
            <family val="2"/>
          </rPr>
          <t xml:space="preserve">
Bozzo, Helene = 3
Lyew, Peggy = 0 (Originally 2)
c/o Balbanian, Carmen = 6.6
c/o Waters, Cynthia = 11.92</t>
        </r>
      </text>
    </comment>
    <comment ref="DM5" authorId="7">
      <text>
        <r>
          <rPr>
            <b/>
            <sz val="9"/>
            <color indexed="81"/>
            <rFont val="Tahoma"/>
            <family val="2"/>
          </rPr>
          <t>Jay Wang:</t>
        </r>
        <r>
          <rPr>
            <sz val="9"/>
            <color indexed="81"/>
            <rFont val="Tahoma"/>
            <family val="2"/>
          </rPr>
          <t xml:space="preserve">
Santos, Virginia = 0 (HC only, originally 11)
c/o Balbanian, Carmen = 3.7        
c/o Waters, Cynthia = 11.6</t>
        </r>
      </text>
    </comment>
    <comment ref="DN5" authorId="7">
      <text>
        <r>
          <rPr>
            <b/>
            <sz val="9"/>
            <color indexed="81"/>
            <rFont val="Tahoma"/>
            <family val="2"/>
          </rPr>
          <t xml:space="preserve">Jay Wang:
</t>
        </r>
        <r>
          <rPr>
            <sz val="9"/>
            <color indexed="81"/>
            <rFont val="Tahoma"/>
            <family val="2"/>
          </rPr>
          <t>Walsh, Rose = 13
Rodas, Serigo = 2 (Originally 5, 3 days were not accepted)
c/o Balbanian, Carmen = 4.04
c/o Waters, Cynthia = 13.57</t>
        </r>
      </text>
    </comment>
    <comment ref="DO5" authorId="7">
      <text>
        <r>
          <rPr>
            <b/>
            <sz val="9"/>
            <color indexed="81"/>
            <rFont val="Tahoma"/>
            <family val="2"/>
          </rPr>
          <t>Jay Wang:</t>
        </r>
        <r>
          <rPr>
            <sz val="9"/>
            <color indexed="81"/>
            <rFont val="Tahoma"/>
            <family val="2"/>
          </rPr>
          <t xml:space="preserve">
c/o Balbanian, Carmen = 2.4
c/o Waters, Cynthia = 9.5
c/o Walsh, Rose = 5.3</t>
        </r>
      </text>
    </comment>
    <comment ref="DP5" authorId="7">
      <text>
        <r>
          <rPr>
            <b/>
            <sz val="9"/>
            <color indexed="81"/>
            <rFont val="Tahoma"/>
            <family val="2"/>
          </rPr>
          <t>Jay Wang:</t>
        </r>
        <r>
          <rPr>
            <sz val="9"/>
            <color indexed="81"/>
            <rFont val="Tahoma"/>
            <family val="2"/>
          </rPr>
          <t xml:space="preserve">
Marki-Bozzo, Helene = 17.13
Jung, Renate = 5
McCamdless, Andrew = 1
San-Jose, Editha = 6
c/o Jason, Ralph = 0 (Originally 1)
c/o Balbanian, Carmen = 6.3
c/o Waters, Cynthia = 7.9</t>
        </r>
      </text>
    </comment>
    <comment ref="DQ5" authorId="7">
      <text>
        <r>
          <rPr>
            <b/>
            <sz val="9"/>
            <color indexed="81"/>
            <rFont val="Tahoma"/>
            <family val="2"/>
          </rPr>
          <t>Jay Wang:</t>
        </r>
        <r>
          <rPr>
            <sz val="9"/>
            <color indexed="81"/>
            <rFont val="Tahoma"/>
            <family val="2"/>
          </rPr>
          <t xml:space="preserve">
MacNeil, Tracy = 1
c/o Balbanian, Carmen = 6.3
c/o Waters, Cynthia = 11.3
c/o Marki-Bozzo, Helene = 4
c/o McCandless, Andy = 4
c/o San-Jose, Editha = 13
c/o Chabot, Lucy = 9</t>
        </r>
      </text>
    </comment>
    <comment ref="DR5" authorId="7">
      <text>
        <r>
          <rPr>
            <b/>
            <sz val="9"/>
            <color indexed="81"/>
            <rFont val="Tahoma"/>
            <family val="2"/>
          </rPr>
          <t>Jay Wang:</t>
        </r>
        <r>
          <rPr>
            <sz val="9"/>
            <color indexed="81"/>
            <rFont val="Tahoma"/>
            <family val="2"/>
          </rPr>
          <t xml:space="preserve">
McKay, Lynn = 6
Patel, Sachin = 2
c/o MacNeil, Tracy = 13
c/o Marki-Bozzo, Helen = 3
c/o San-Jose, Editha = 10.4
c/o Balbanian, Carmen = 7.7
c/o Waters, Cynthia = 11.5</t>
        </r>
      </text>
    </comment>
    <comment ref="DS5" authorId="7">
      <text>
        <r>
          <rPr>
            <b/>
            <sz val="9"/>
            <color indexed="81"/>
            <rFont val="Tahoma"/>
            <family val="2"/>
          </rPr>
          <t>Jay Wang:</t>
        </r>
        <r>
          <rPr>
            <sz val="9"/>
            <color indexed="81"/>
            <rFont val="Tahoma"/>
            <family val="2"/>
          </rPr>
          <t xml:space="preserve">
Hancharyk, Kari-Ann = 4
Pana, John Carlo = 3
Perveen, Nazia = 4.4
Mercer, Judith = 5
c/o Ellsworth, Melissa = 1
c/o San-Jose, Editha = 10.7
c/o Waters, Cynthia = 11.1
c/o Balbanian, Carmen = 3.6</t>
        </r>
      </text>
    </comment>
    <comment ref="DT5" authorId="7">
      <text>
        <r>
          <rPr>
            <b/>
            <sz val="9"/>
            <color indexed="81"/>
            <rFont val="Tahoma"/>
            <family val="2"/>
          </rPr>
          <t>Jay Wang:</t>
        </r>
        <r>
          <rPr>
            <sz val="9"/>
            <color indexed="81"/>
            <rFont val="Tahoma"/>
            <family val="2"/>
          </rPr>
          <t xml:space="preserve">
Patel, Darshankumar = 1
c/o San-Jose, Editha = 7.6
c/o Waters, Cynthia = 9.7
c/o Balbanian, Carmen = 17</t>
        </r>
      </text>
    </comment>
    <comment ref="DU5" authorId="7">
      <text>
        <r>
          <rPr>
            <b/>
            <sz val="9"/>
            <color indexed="81"/>
            <rFont val="Tahoma"/>
            <family val="2"/>
          </rPr>
          <t>Jay Wang:</t>
        </r>
        <r>
          <rPr>
            <sz val="9"/>
            <color indexed="81"/>
            <rFont val="Tahoma"/>
            <family val="2"/>
          </rPr>
          <t xml:space="preserve">
Ramirez, Gustavo = 3
c/o Waters, Cynthia = 9.96
c/o Patel, Darshankumar = 1
c/o Balbanian, Carmen = 16       </t>
        </r>
      </text>
    </comment>
    <comment ref="DV5" authorId="7">
      <text>
        <r>
          <rPr>
            <b/>
            <sz val="9"/>
            <color indexed="81"/>
            <rFont val="Tahoma"/>
            <family val="2"/>
          </rPr>
          <t>Jay Wang:</t>
        </r>
        <r>
          <rPr>
            <sz val="9"/>
            <color indexed="81"/>
            <rFont val="Tahoma"/>
            <family val="2"/>
          </rPr>
          <t xml:space="preserve">
Dale, Kerry = 0 (Originally 7)
Hatfield, Julie Anne = 2
Carrick, Nancy = 12 (FCML)
Ballares, Anna = 1 (FCML)
c/o Waters, Cynthia = 13.9
c/o Sadig, Rania = 21
c/o Patel, Darshankumar = 1
c/o Balbanian, Carmen = 17</t>
        </r>
      </text>
    </comment>
    <comment ref="DW5" authorId="7">
      <text>
        <r>
          <rPr>
            <b/>
            <sz val="9"/>
            <color indexed="81"/>
            <rFont val="Tahoma"/>
            <family val="2"/>
          </rPr>
          <t>Jay Wang:</t>
        </r>
        <r>
          <rPr>
            <sz val="9"/>
            <color indexed="81"/>
            <rFont val="Tahoma"/>
            <family val="2"/>
          </rPr>
          <t xml:space="preserve">
Noble, Theresa = 3
c/o Carrick, Nancy = 19 (FCML)
c/o Sadig, Rania = 22
c/o Marki-Bozzo, Helene =8
c/o Waters, Cynthia = 14.6
c/o Balbanian, Carmen = 15
c/o Hopkins, Christine = 4.4</t>
        </r>
      </text>
    </comment>
    <comment ref="DX5" authorId="7">
      <text>
        <r>
          <rPr>
            <b/>
            <sz val="9"/>
            <color indexed="81"/>
            <rFont val="Tahoma"/>
            <family val="2"/>
          </rPr>
          <t>Jay Wang:</t>
        </r>
        <r>
          <rPr>
            <sz val="9"/>
            <color indexed="81"/>
            <rFont val="Tahoma"/>
            <family val="2"/>
          </rPr>
          <t xml:space="preserve">
c/o Hopkins, Christine = 13.8
c/o Calbanian, Carmen = 12
c/o Waters, Cynthia = 11.3
c/o Marki-Bozzo, Helene = 20.5
c/o Sadig, Rania = 21
c/o Carrick, Nancy = 17.3 (FCML)</t>
        </r>
      </text>
    </comment>
    <comment ref="DY5" authorId="7">
      <text>
        <r>
          <rPr>
            <b/>
            <sz val="9"/>
            <color indexed="81"/>
            <rFont val="Tahoma"/>
            <family val="2"/>
          </rPr>
          <t>Jay Wang:</t>
        </r>
        <r>
          <rPr>
            <sz val="9"/>
            <color indexed="81"/>
            <rFont val="Tahoma"/>
            <family val="2"/>
          </rPr>
          <t xml:space="preserve">
c/o Hopkins, Christine = 13.2
c/o Balbanian, Carmen = 13
c/o Waters, Cynthia = 13.9
c/o Marki-Bozzo, Helene = 19.6
c/o Sadig, Rania = 21
Jarabe, joseph = 2
c/o Carrick, Nancy = 7.5 (FCML)
Green, Lockcresha = 1 (FCML)</t>
        </r>
      </text>
    </comment>
    <comment ref="DZ5" authorId="7">
      <text>
        <r>
          <rPr>
            <b/>
            <sz val="9"/>
            <color indexed="81"/>
            <rFont val="Tahoma"/>
            <family val="2"/>
          </rPr>
          <t>Jay Wang:</t>
        </r>
        <r>
          <rPr>
            <sz val="9"/>
            <color indexed="81"/>
            <rFont val="Tahoma"/>
            <family val="2"/>
          </rPr>
          <t xml:space="preserve">
Hodgins, Charles = 3
c/o Waters, Cynthia = 15.3
c/o Balbanian, Carmen = 18
c/o Hopkins, Christine = 10.7
c/o Carrick, Nancy = 6.3 (FCML)
Khan, Rizwana = 1 (FCML)</t>
        </r>
      </text>
    </comment>
    <comment ref="EA5" authorId="7">
      <text>
        <r>
          <rPr>
            <b/>
            <sz val="9"/>
            <color indexed="81"/>
            <rFont val="Tahoma"/>
            <family val="2"/>
          </rPr>
          <t>Jay Wang:</t>
        </r>
        <r>
          <rPr>
            <sz val="9"/>
            <color indexed="81"/>
            <rFont val="Tahoma"/>
            <family val="2"/>
          </rPr>
          <t xml:space="preserve">
c/o Hodgins, Charles = 0.3
c/o Carrick, Nancy = 6.8 (FCML)
c/o Waters, Cynthia = 13.9
c/o Balbanian, Carmen = 16
c/o Hopkins, Christine = 6.8</t>
        </r>
      </text>
    </comment>
    <comment ref="EB5" authorId="7">
      <text>
        <r>
          <rPr>
            <b/>
            <sz val="9"/>
            <color indexed="81"/>
            <rFont val="Tahoma"/>
            <family val="2"/>
          </rPr>
          <t>Jay Wang:</t>
        </r>
        <r>
          <rPr>
            <sz val="9"/>
            <color indexed="81"/>
            <rFont val="Tahoma"/>
            <family val="2"/>
          </rPr>
          <t xml:space="preserve">
c/o Carrieck, Nancy = 5.9 (FCML)
c/o Waters, Cynthia = 14.6
c/o Balbanian, Carmen = 16
c/o Hopkins, Christine = 4.2</t>
        </r>
      </text>
    </comment>
    <comment ref="EC5" authorId="7">
      <text>
        <r>
          <rPr>
            <b/>
            <sz val="9"/>
            <color indexed="81"/>
            <rFont val="Tahoma"/>
            <family val="2"/>
          </rPr>
          <t>Jay Wang:</t>
        </r>
        <r>
          <rPr>
            <sz val="9"/>
            <color indexed="81"/>
            <rFont val="Tahoma"/>
            <family val="2"/>
          </rPr>
          <t xml:space="preserve">
c/o Carrieck, Nancy = 5.3 (FCML)
c/o Waters, Cynthia = 15.3
c/o Balbanian, Carmen = 16</t>
        </r>
      </text>
    </comment>
    <comment ref="ED5" authorId="7">
      <text>
        <r>
          <rPr>
            <b/>
            <sz val="9"/>
            <color indexed="81"/>
            <rFont val="Tahoma"/>
            <family val="2"/>
          </rPr>
          <t>Jay Wang:</t>
        </r>
        <r>
          <rPr>
            <sz val="9"/>
            <color indexed="81"/>
            <rFont val="Tahoma"/>
            <family val="2"/>
          </rPr>
          <t xml:space="preserve">
Lad, Bhavna = 2
c/o Murphy, Joanne = 0 (Originally 1)
c/o Carrick, Nancy = 4.7 (FCML)</t>
        </r>
      </text>
    </comment>
    <comment ref="EE5" authorId="7">
      <text>
        <r>
          <rPr>
            <b/>
            <sz val="9"/>
            <color indexed="81"/>
            <rFont val="Tahoma"/>
            <family val="2"/>
          </rPr>
          <t>Jay Wang:</t>
        </r>
        <r>
          <rPr>
            <sz val="9"/>
            <color indexed="81"/>
            <rFont val="Tahoma"/>
            <family val="2"/>
          </rPr>
          <t xml:space="preserve">
Baker, Louis = 6
Colley, Greg = 0.9
c/o Carrick, Nancy = 5</t>
        </r>
      </text>
    </comment>
    <comment ref="EF5" authorId="7">
      <text>
        <r>
          <rPr>
            <b/>
            <sz val="9"/>
            <color indexed="81"/>
            <rFont val="Tahoma"/>
            <family val="2"/>
          </rPr>
          <t>Jay Wang:</t>
        </r>
        <r>
          <rPr>
            <sz val="9"/>
            <color indexed="81"/>
            <rFont val="Tahoma"/>
            <family val="2"/>
          </rPr>
          <t xml:space="preserve">
Vergara, Valdimar = 0.9
c/o Willaims, Mark = 10.7 (withdrawn)
c/o Carrick, Nancy = 6.5</t>
        </r>
      </text>
    </comment>
    <comment ref="EG5" authorId="7">
      <text>
        <r>
          <rPr>
            <b/>
            <sz val="9"/>
            <color indexed="81"/>
            <rFont val="Tahoma"/>
            <family val="2"/>
          </rPr>
          <t>Jay Wang:</t>
        </r>
        <r>
          <rPr>
            <sz val="9"/>
            <color indexed="81"/>
            <rFont val="Tahoma"/>
            <family val="2"/>
          </rPr>
          <t xml:space="preserve">
Kaur, Rajinder = 1
c/o Munroe, Maurice = 4 (wthdrawn)
c/o Carrick, Nancy = 3.8</t>
        </r>
      </text>
    </comment>
    <comment ref="EH5" authorId="7">
      <text>
        <r>
          <rPr>
            <b/>
            <sz val="9"/>
            <color indexed="81"/>
            <rFont val="Tahoma"/>
            <family val="2"/>
          </rPr>
          <t>Jay Wang:</t>
        </r>
        <r>
          <rPr>
            <sz val="9"/>
            <color indexed="81"/>
            <rFont val="Tahoma"/>
            <family val="2"/>
          </rPr>
          <t xml:space="preserve">
Patel, Darshankumar = 2 (Denied)
Lee, Maria = 1
Ayub, Ambreen = 0 (Originally 1)
c/o Carrick, Nancy = 1.3</t>
        </r>
      </text>
    </comment>
    <comment ref="EI5" authorId="7">
      <text>
        <r>
          <rPr>
            <b/>
            <sz val="9"/>
            <color indexed="81"/>
            <rFont val="Tahoma"/>
            <family val="2"/>
          </rPr>
          <t>Jay Wang:</t>
        </r>
        <r>
          <rPr>
            <sz val="9"/>
            <color indexed="81"/>
            <rFont val="Tahoma"/>
            <family val="2"/>
          </rPr>
          <t xml:space="preserve">
Bolton, Amanda = 1.7
Morales, Maria = 5 (denied)
Van Iversel, Peter = 4.26</t>
        </r>
      </text>
    </comment>
    <comment ref="EJ5" authorId="8">
      <text>
        <r>
          <rPr>
            <b/>
            <sz val="9"/>
            <color indexed="81"/>
            <rFont val="Tahoma"/>
            <family val="2"/>
          </rPr>
          <t>Varga, Nancy:</t>
        </r>
        <r>
          <rPr>
            <sz val="9"/>
            <color indexed="81"/>
            <rFont val="Tahoma"/>
            <family val="2"/>
          </rPr>
          <t xml:space="preserve">
Ivanova, Youliia = 2.6
Haribhakti, Priti = 13.2(withdrawn)
Alisa, Edibella = 1.7</t>
        </r>
      </text>
    </comment>
    <comment ref="EK5" authorId="8">
      <text>
        <r>
          <rPr>
            <b/>
            <sz val="9"/>
            <color indexed="81"/>
            <rFont val="Tahoma"/>
            <family val="2"/>
          </rPr>
          <t>Varga, Nancy:</t>
        </r>
        <r>
          <rPr>
            <sz val="9"/>
            <color indexed="81"/>
            <rFont val="Tahoma"/>
            <family val="2"/>
          </rPr>
          <t xml:space="preserve">
Soriano, Marilyn = 4
Campbell, Jennifer = 0.85 (denied)
Sider, Jeremy = 5.7
Mcleod, Dorcas = 1 (denied)
</t>
        </r>
      </text>
    </comment>
    <comment ref="EL5" authorId="8">
      <text>
        <r>
          <rPr>
            <b/>
            <sz val="9"/>
            <color indexed="81"/>
            <rFont val="Tahoma"/>
            <family val="2"/>
          </rPr>
          <t>Varga, Nancy:</t>
        </r>
        <r>
          <rPr>
            <sz val="9"/>
            <color indexed="81"/>
            <rFont val="Tahoma"/>
            <family val="2"/>
          </rPr>
          <t xml:space="preserve">
Gajadhar, Charmaine Alethea = 2 ** Removed
Quiatchon, Rod = 1 ** Removed
Hale, Bree = 1
Saguros, Nerisa = 1 ** Removed</t>
        </r>
      </text>
    </comment>
    <comment ref="EM5" authorId="8">
      <text>
        <r>
          <rPr>
            <b/>
            <sz val="9"/>
            <color indexed="81"/>
            <rFont val="Tahoma"/>
            <family val="2"/>
          </rPr>
          <t>Varga, Nancy:</t>
        </r>
        <r>
          <rPr>
            <sz val="9"/>
            <color indexed="81"/>
            <rFont val="Tahoma"/>
            <family val="2"/>
          </rPr>
          <t xml:space="preserve">
Sultani, Freshta - 1.53
</t>
        </r>
      </text>
    </comment>
    <comment ref="EN5" authorId="9">
      <text>
        <r>
          <rPr>
            <b/>
            <sz val="9"/>
            <color indexed="81"/>
            <rFont val="Tahoma"/>
            <family val="2"/>
          </rPr>
          <t xml:space="preserve">Hun, Riley:
</t>
        </r>
        <r>
          <rPr>
            <sz val="9"/>
            <color indexed="81"/>
            <rFont val="Tahoma"/>
            <family val="2"/>
          </rPr>
          <t>c/o</t>
        </r>
        <r>
          <rPr>
            <b/>
            <sz val="9"/>
            <color indexed="81"/>
            <rFont val="Tahoma"/>
            <family val="2"/>
          </rPr>
          <t xml:space="preserve"> </t>
        </r>
        <r>
          <rPr>
            <sz val="9"/>
            <color indexed="81"/>
            <rFont val="Tahoma"/>
            <family val="2"/>
          </rPr>
          <t>Lad, Bhavna-2.5 (Denied) **Removed
Muslim, Omar - 5
Rabot, Rossan - 0.8</t>
        </r>
      </text>
    </comment>
    <comment ref="EO5" authorId="9">
      <text>
        <r>
          <rPr>
            <b/>
            <sz val="9"/>
            <color indexed="81"/>
            <rFont val="Tahoma"/>
            <family val="2"/>
          </rPr>
          <t>Hun, Riley:</t>
        </r>
        <r>
          <rPr>
            <sz val="9"/>
            <color indexed="81"/>
            <rFont val="Tahoma"/>
            <family val="2"/>
          </rPr>
          <t xml:space="preserve">
c/o Lad, Bhavna-5.13 (Denied) **Removed
c/o Muslim, Omar-1
Freamo, Leo-4</t>
        </r>
      </text>
    </comment>
    <comment ref="EP5" authorId="10">
      <text>
        <r>
          <rPr>
            <b/>
            <sz val="9"/>
            <color indexed="81"/>
            <rFont val="Tahoma"/>
            <family val="2"/>
          </rPr>
          <t>Maguire, Karis:</t>
        </r>
        <r>
          <rPr>
            <sz val="9"/>
            <color indexed="81"/>
            <rFont val="Tahoma"/>
            <family val="2"/>
          </rPr>
          <t xml:space="preserve">
c/o Lad, Bhavna 0.8 (Denied) *Removed
Balbanian, Carmen 2.66
Haribhkti, Priti 0
Headley, Jacqueline 5
Williams, Mark 5.33 (Denied)** Removed</t>
        </r>
      </text>
    </comment>
    <comment ref="EQ5" authorId="10">
      <text>
        <r>
          <rPr>
            <b/>
            <sz val="9"/>
            <color indexed="81"/>
            <rFont val="Tahoma"/>
            <family val="2"/>
          </rPr>
          <t>Maguire, Karis:</t>
        </r>
        <r>
          <rPr>
            <sz val="9"/>
            <color indexed="81"/>
            <rFont val="Tahoma"/>
            <family val="2"/>
          </rPr>
          <t xml:space="preserve">
c/o Balbanian, Carmen c/o 6.06
Dharamsey, Mamta 8** Claim Partially Allowed for LT (2 Days only)</t>
        </r>
      </text>
    </comment>
    <comment ref="BK6" authorId="0">
      <text>
        <r>
          <rPr>
            <b/>
            <sz val="10"/>
            <color indexed="81"/>
            <rFont val="Tahoma"/>
            <family val="2"/>
          </rPr>
          <t>janceriz:</t>
        </r>
        <r>
          <rPr>
            <sz val="10"/>
            <color indexed="81"/>
            <rFont val="Tahoma"/>
            <family val="2"/>
          </rPr>
          <t xml:space="preserve">
1 carry over from Nov - Ali Warsame 5 days
Sharon Lanigan Denied for MT</t>
        </r>
      </text>
    </comment>
    <comment ref="BL6" authorId="0">
      <text>
        <r>
          <rPr>
            <b/>
            <sz val="10"/>
            <color indexed="81"/>
            <rFont val="Tahoma"/>
            <family val="2"/>
          </rPr>
          <t>janceriz:</t>
        </r>
        <r>
          <rPr>
            <sz val="10"/>
            <color indexed="81"/>
            <rFont val="Tahoma"/>
            <family val="2"/>
          </rPr>
          <t xml:space="preserve">
1 carry over from Braun 2.7 days lost in Jan
Diana Weskett Denied MT</t>
        </r>
      </text>
    </comment>
    <comment ref="BM6" authorId="0">
      <text>
        <r>
          <rPr>
            <b/>
            <sz val="8"/>
            <color indexed="81"/>
            <rFont val="Tahoma"/>
            <family val="2"/>
          </rPr>
          <t>janceriz:</t>
        </r>
        <r>
          <rPr>
            <sz val="8"/>
            <color indexed="81"/>
            <rFont val="Tahoma"/>
            <family val="2"/>
          </rPr>
          <t xml:space="preserve">
Diva Rana's claim has been denied - 2 days</t>
        </r>
      </text>
    </comment>
    <comment ref="BN6" authorId="2">
      <text>
        <r>
          <rPr>
            <b/>
            <sz val="10"/>
            <color indexed="81"/>
            <rFont val="Tahoma"/>
            <family val="2"/>
          </rPr>
          <t>JAnceriz:</t>
        </r>
        <r>
          <rPr>
            <sz val="10"/>
            <color indexed="81"/>
            <rFont val="Tahoma"/>
            <family val="2"/>
          </rPr>
          <t xml:space="preserve">
1 carryover from Ferrara (Dec claim)
Multiple claim denials (inc. Hache, Genereaux)</t>
        </r>
      </text>
    </comment>
    <comment ref="BO6" authorId="2">
      <text>
        <r>
          <rPr>
            <b/>
            <sz val="10"/>
            <color indexed="81"/>
            <rFont val="Tahoma"/>
            <family val="2"/>
          </rPr>
          <t>JAnceriz:</t>
        </r>
        <r>
          <rPr>
            <sz val="10"/>
            <color indexed="81"/>
            <rFont val="Tahoma"/>
            <family val="2"/>
          </rPr>
          <t xml:space="preserve">
8 days  Maria Ferrara – December 2008 claim, which became lost time in Mar. 2009
McRae claim denied</t>
        </r>
      </text>
    </comment>
    <comment ref="BP6" authorId="2">
      <text>
        <r>
          <rPr>
            <b/>
            <sz val="10"/>
            <color indexed="81"/>
            <rFont val="Tahoma"/>
            <family val="2"/>
          </rPr>
          <t xml:space="preserve">JAnceriz:
5.5 days carryover ( Maria Ferrara ( Dec/08 claim -  working 4 hours /day x 3 days a week for 11 days and 6 hours/day for 2 days for month of May)
</t>
        </r>
      </text>
    </comment>
    <comment ref="BQ6" authorId="2">
      <text>
        <r>
          <rPr>
            <b/>
            <sz val="8"/>
            <color indexed="81"/>
            <rFont val="Tahoma"/>
            <family val="2"/>
          </rPr>
          <t>JAnceriz:
3.6 days carryover (Maria Ferrara Dec/08 claim)</t>
        </r>
        <r>
          <rPr>
            <b/>
            <sz val="10"/>
            <color indexed="81"/>
            <rFont val="Tahoma"/>
            <family val="2"/>
          </rPr>
          <t xml:space="preserve">
</t>
        </r>
      </text>
    </comment>
    <comment ref="BR6" authorId="2">
      <text>
        <r>
          <rPr>
            <b/>
            <sz val="8"/>
            <color indexed="81"/>
            <rFont val="Tahoma"/>
            <family val="2"/>
          </rPr>
          <t>JAnceriz:
2.5 days carryover (Maria Ferrara Dec/08 claim)</t>
        </r>
        <r>
          <rPr>
            <b/>
            <sz val="10"/>
            <color indexed="81"/>
            <rFont val="Tahoma"/>
            <family val="2"/>
          </rPr>
          <t xml:space="preserve">
</t>
        </r>
      </text>
    </comment>
    <comment ref="BS6" authorId="2">
      <text>
        <r>
          <rPr>
            <b/>
            <sz val="8"/>
            <color indexed="81"/>
            <rFont val="Tahoma"/>
            <family val="2"/>
          </rPr>
          <t>JAnceriz:
1.2 days carryover (Maria Ferrara Dec/08 claim)
2 days carryover from Angela Mayhew claim (DENIED)</t>
        </r>
        <r>
          <rPr>
            <b/>
            <sz val="10"/>
            <color indexed="81"/>
            <rFont val="Tahoma"/>
            <family val="2"/>
          </rPr>
          <t xml:space="preserve">
</t>
        </r>
      </text>
    </comment>
    <comment ref="BT6" authorId="2">
      <text>
        <r>
          <rPr>
            <b/>
            <sz val="8"/>
            <color indexed="81"/>
            <rFont val="Tahoma"/>
            <family val="2"/>
          </rPr>
          <t xml:space="preserve">JAnceriz:
Colatosti:  Aug/09 claim  lost days in Sept.= 5.9 days 
Rana:  Reo in Aug.2009 from claim in jan/2008 – Lost days in Sept. = 9 days </t>
        </r>
        <r>
          <rPr>
            <b/>
            <sz val="10"/>
            <color indexed="81"/>
            <rFont val="Tahoma"/>
            <family val="2"/>
          </rPr>
          <t xml:space="preserve">
</t>
        </r>
      </text>
    </comment>
    <comment ref="BU6" authorId="2">
      <text>
        <r>
          <rPr>
            <b/>
            <sz val="8"/>
            <color indexed="81"/>
            <rFont val="Tahoma"/>
            <family val="2"/>
          </rPr>
          <t xml:space="preserve">JAnceriz:
Colatosti:  Aug/09 claim  lost days in Sept.= 5.9 days and Oct = 8.1 </t>
        </r>
        <r>
          <rPr>
            <b/>
            <sz val="10"/>
            <color indexed="81"/>
            <rFont val="Tahoma"/>
            <family val="2"/>
          </rPr>
          <t xml:space="preserve">
</t>
        </r>
      </text>
    </comment>
    <comment ref="BV6" authorId="2">
      <text>
        <r>
          <rPr>
            <b/>
            <sz val="8"/>
            <color indexed="81"/>
            <rFont val="Tahoma"/>
            <family val="2"/>
          </rPr>
          <t>JAnceriz:
Colatosti: 5.7
Tapawan: 12
Clark: 1
Ungar:1.9
Debeljak: 2</t>
        </r>
      </text>
    </comment>
    <comment ref="BW6" authorId="2">
      <text>
        <r>
          <rPr>
            <b/>
            <sz val="8"/>
            <color indexed="81"/>
            <rFont val="Tahoma"/>
            <family val="2"/>
          </rPr>
          <t>JAnceriz:
No Carryovers</t>
        </r>
      </text>
    </comment>
    <comment ref="BX6" authorId="2">
      <text>
        <r>
          <rPr>
            <b/>
            <sz val="8"/>
            <color indexed="81"/>
            <rFont val="Tahoma"/>
            <family val="2"/>
          </rPr>
          <t>JAnceriz:
No Carryovers
Villanueva claim was denied</t>
        </r>
      </text>
    </comment>
    <comment ref="BY6" authorId="2">
      <text>
        <r>
          <rPr>
            <b/>
            <sz val="8"/>
            <color indexed="81"/>
            <rFont val="Tahoma"/>
            <family val="2"/>
          </rPr>
          <t>JAnceriz:
carryover from Jan Tesfagiorgis 3.5 days
All days lost will most likely be denied as no one sought medical attention</t>
        </r>
      </text>
    </comment>
    <comment ref="BZ6" authorId="2">
      <text>
        <r>
          <rPr>
            <b/>
            <sz val="8"/>
            <color indexed="81"/>
            <rFont val="Tahoma"/>
            <family val="2"/>
          </rPr>
          <t xml:space="preserve">JAnceriz:
carryover from Jan Tesfagiorgis 2.2 days
Steven Vanderwielen's claim was denied
</t>
        </r>
      </text>
    </comment>
    <comment ref="CA6" authorId="2">
      <text>
        <r>
          <rPr>
            <b/>
            <sz val="8"/>
            <color indexed="81"/>
            <rFont val="Tahoma"/>
            <family val="2"/>
          </rPr>
          <t xml:space="preserve">JAnceriz:
Carryovers
Hoffman = 4.7
Gowland = 11.2
</t>
        </r>
      </text>
    </comment>
    <comment ref="CB6" authorId="2">
      <text>
        <r>
          <rPr>
            <b/>
            <sz val="8"/>
            <color indexed="81"/>
            <rFont val="Tahoma"/>
            <family val="2"/>
          </rPr>
          <t>JAnceriz:</t>
        </r>
        <r>
          <rPr>
            <sz val="8"/>
            <color indexed="81"/>
            <rFont val="Tahoma"/>
            <family val="2"/>
          </rPr>
          <t xml:space="preserve">
c/o April: Stefiuk (6.1 - DENIED)
2 carryover days from 2005 claim Seeta Karim</t>
        </r>
      </text>
    </comment>
    <comment ref="CC6" authorId="2">
      <text>
        <r>
          <rPr>
            <b/>
            <sz val="8"/>
            <color indexed="81"/>
            <rFont val="Tahoma"/>
            <family val="2"/>
          </rPr>
          <t>Janceriz
Carryover Days
- DENIED - 3.98 days Gary Stefiuk (April Claim)
- DENIED - 1 day Feroza (June Claim)
- 2.9 days Michelle Roukema (May (May Claim)
- 1 day Bozena Siwik (May Claim)
- 4 days Seeta Karim (2005 Claim)</t>
        </r>
      </text>
    </comment>
    <comment ref="CD6" authorId="2">
      <text>
        <r>
          <rPr>
            <b/>
            <sz val="8"/>
            <color indexed="81"/>
            <rFont val="Tahoma"/>
            <family val="2"/>
          </rPr>
          <t>JAnceriz:</t>
        </r>
        <r>
          <rPr>
            <sz val="8"/>
            <color indexed="81"/>
            <rFont val="Tahoma"/>
            <family val="2"/>
          </rPr>
          <t xml:space="preserve">
0.7 carryover days from Charron</t>
        </r>
      </text>
    </comment>
    <comment ref="CG6" authorId="4">
      <text>
        <r>
          <rPr>
            <b/>
            <sz val="8"/>
            <color indexed="81"/>
            <rFont val="Tahoma"/>
            <family val="2"/>
          </rPr>
          <t>Anceriz, Julie:</t>
        </r>
        <r>
          <rPr>
            <sz val="8"/>
            <color indexed="81"/>
            <rFont val="Tahoma"/>
            <family val="2"/>
          </rPr>
          <t xml:space="preserve">
c/o: 19.04 Shalva Krichley
c/o: 16.52 Danielle Soulliere</t>
        </r>
      </text>
    </comment>
    <comment ref="CH6" authorId="4">
      <text>
        <r>
          <rPr>
            <b/>
            <sz val="8"/>
            <color indexed="81"/>
            <rFont val="Tahoma"/>
            <family val="2"/>
          </rPr>
          <t>Anceriz, Julie:</t>
        </r>
        <r>
          <rPr>
            <sz val="8"/>
            <color indexed="81"/>
            <rFont val="Tahoma"/>
            <family val="2"/>
          </rPr>
          <t xml:space="preserve">
c/o: 19.6 Shalva Krichley
c/o: 7.9 Danielle Soulliere</t>
        </r>
      </text>
    </comment>
    <comment ref="CI6" authorId="4">
      <text>
        <r>
          <rPr>
            <b/>
            <sz val="8"/>
            <color indexed="81"/>
            <rFont val="Tahoma"/>
            <family val="2"/>
          </rPr>
          <t>Anceriz, Julie:</t>
        </r>
        <r>
          <rPr>
            <sz val="8"/>
            <color indexed="81"/>
            <rFont val="Tahoma"/>
            <family val="2"/>
          </rPr>
          <t xml:space="preserve">
c/o: Krichley, Shalva (20.9)
c/o: Brenya, Kofi (16.2)</t>
        </r>
      </text>
    </comment>
    <comment ref="CJ6" authorId="4">
      <text>
        <r>
          <rPr>
            <b/>
            <sz val="8"/>
            <color indexed="81"/>
            <rFont val="Tahoma"/>
            <family val="2"/>
          </rPr>
          <t>Anceriz, Julie:</t>
        </r>
        <r>
          <rPr>
            <sz val="8"/>
            <color indexed="81"/>
            <rFont val="Tahoma"/>
            <family val="2"/>
          </rPr>
          <t xml:space="preserve">
c/o: Krichley, Shalva (19)
c/o: Brenya, Kofi (2.7)
Terrel: 5 days
Ames: 5 days</t>
        </r>
      </text>
    </comment>
    <comment ref="Y7" authorId="11">
      <text>
        <r>
          <rPr>
            <b/>
            <sz val="8"/>
            <color indexed="81"/>
            <rFont val="Tahoma"/>
            <family val="2"/>
          </rPr>
          <t>MDS USER:</t>
        </r>
        <r>
          <rPr>
            <sz val="8"/>
            <color indexed="81"/>
            <rFont val="Tahoma"/>
            <family val="2"/>
          </rPr>
          <t xml:space="preserve">
estimated hours ONLY</t>
        </r>
      </text>
    </comment>
    <comment ref="AV9" authorId="0">
      <text>
        <r>
          <rPr>
            <b/>
            <sz val="10"/>
            <color indexed="81"/>
            <rFont val="Tahoma"/>
            <family val="2"/>
          </rPr>
          <t>janceriz:</t>
        </r>
        <r>
          <rPr>
            <sz val="10"/>
            <color indexed="81"/>
            <rFont val="Tahoma"/>
            <family val="2"/>
          </rPr>
          <t xml:space="preserve">
M.Pakulski went with insurance company - claim abandoned therefore deleted in LT total</t>
        </r>
      </text>
    </comment>
    <comment ref="AZ9" authorId="0">
      <text>
        <r>
          <rPr>
            <b/>
            <sz val="10"/>
            <color indexed="81"/>
            <rFont val="Tahoma"/>
            <family val="2"/>
          </rPr>
          <t>janceriz:</t>
        </r>
        <r>
          <rPr>
            <sz val="10"/>
            <color indexed="81"/>
            <rFont val="Tahoma"/>
            <family val="2"/>
          </rPr>
          <t xml:space="preserve">
C.Griffen went through insurance</t>
        </r>
      </text>
    </comment>
    <comment ref="BB9" authorId="0">
      <text>
        <r>
          <rPr>
            <b/>
            <sz val="10"/>
            <color indexed="81"/>
            <rFont val="Tahoma"/>
            <family val="2"/>
          </rPr>
          <t>janceriz:</t>
        </r>
        <r>
          <rPr>
            <sz val="10"/>
            <color indexed="81"/>
            <rFont val="Tahoma"/>
            <family val="2"/>
          </rPr>
          <t xml:space="preserve">
Alison Fleming Incident "Pending"</t>
        </r>
      </text>
    </comment>
    <comment ref="BD9" authorId="0">
      <text>
        <r>
          <rPr>
            <b/>
            <sz val="10"/>
            <color indexed="81"/>
            <rFont val="Tahoma"/>
            <family val="2"/>
          </rPr>
          <t>janceriz:</t>
        </r>
        <r>
          <rPr>
            <sz val="10"/>
            <color indexed="81"/>
            <rFont val="Tahoma"/>
            <family val="2"/>
          </rPr>
          <t xml:space="preserve">
K.Kaur Incident denied</t>
        </r>
      </text>
    </comment>
    <comment ref="BF9" authorId="0">
      <text>
        <r>
          <rPr>
            <b/>
            <sz val="10"/>
            <color indexed="81"/>
            <rFont val="Tahoma"/>
            <family val="2"/>
          </rPr>
          <t>janceriz:</t>
        </r>
        <r>
          <rPr>
            <sz val="10"/>
            <color indexed="81"/>
            <rFont val="Tahoma"/>
            <family val="2"/>
          </rPr>
          <t xml:space="preserve">
S.Karim has been allowed for MT which has been allowed to her 2005 claim.</t>
        </r>
      </text>
    </comment>
    <comment ref="BG9" authorId="0">
      <text>
        <r>
          <rPr>
            <b/>
            <sz val="10"/>
            <color indexed="81"/>
            <rFont val="Tahoma"/>
            <family val="2"/>
          </rPr>
          <t>janceriz:</t>
        </r>
        <r>
          <rPr>
            <sz val="10"/>
            <color indexed="81"/>
            <rFont val="Tahoma"/>
            <family val="2"/>
          </rPr>
          <t xml:space="preserve">
Wendy Cozier LT denied</t>
        </r>
      </text>
    </comment>
    <comment ref="BQ9" authorId="2">
      <text>
        <r>
          <rPr>
            <b/>
            <sz val="8"/>
            <color indexed="81"/>
            <rFont val="Tahoma"/>
            <family val="2"/>
          </rPr>
          <t>JAnceriz:</t>
        </r>
        <r>
          <rPr>
            <sz val="8"/>
            <color indexed="81"/>
            <rFont val="Tahoma"/>
            <family val="2"/>
          </rPr>
          <t xml:space="preserve">
2 LTI's were denied</t>
        </r>
      </text>
    </comment>
    <comment ref="BY9" authorId="2">
      <text>
        <r>
          <rPr>
            <b/>
            <sz val="8"/>
            <color indexed="81"/>
            <rFont val="Tahoma"/>
            <family val="2"/>
          </rPr>
          <t>JAnceriz:</t>
        </r>
        <r>
          <rPr>
            <sz val="8"/>
            <color indexed="81"/>
            <rFont val="Tahoma"/>
            <family val="2"/>
          </rPr>
          <t xml:space="preserve">
Aurora Claudio's claim was denied (1 day lost)</t>
        </r>
      </text>
    </comment>
    <comment ref="BN13" authorId="5">
      <text>
        <r>
          <rPr>
            <b/>
            <sz val="10"/>
            <color indexed="81"/>
            <rFont val="Tahoma"/>
            <family val="2"/>
          </rPr>
          <t>LifeLabs user:</t>
        </r>
        <r>
          <rPr>
            <sz val="10"/>
            <color indexed="81"/>
            <rFont val="Tahoma"/>
            <family val="2"/>
          </rPr>
          <t xml:space="preserve">
Removed 2 MT incidents Sonia Jassal and Judy Phillips</t>
        </r>
      </text>
    </comment>
    <comment ref="BO13" authorId="3">
      <text>
        <r>
          <rPr>
            <b/>
            <sz val="8"/>
            <color indexed="81"/>
            <rFont val="Tahoma"/>
            <family val="2"/>
          </rPr>
          <t>WynneL01:</t>
        </r>
        <r>
          <rPr>
            <sz val="8"/>
            <color indexed="81"/>
            <rFont val="Tahoma"/>
            <family val="2"/>
          </rPr>
          <t xml:space="preserve">
Denied LT Carter - 11.3 hours lost reversed
</t>
        </r>
      </text>
    </comment>
    <comment ref="BQ13" authorId="3">
      <text>
        <r>
          <rPr>
            <b/>
            <sz val="8"/>
            <color indexed="81"/>
            <rFont val="Tahoma"/>
            <family val="2"/>
          </rPr>
          <t>WynneL01:</t>
        </r>
        <r>
          <rPr>
            <sz val="8"/>
            <color indexed="81"/>
            <rFont val="Tahoma"/>
            <family val="2"/>
          </rPr>
          <t xml:space="preserve">
Tong - MT
Arcalas - MT
Donaldson - LT</t>
        </r>
      </text>
    </comment>
    <comment ref="BR13" authorId="3">
      <text>
        <r>
          <rPr>
            <b/>
            <sz val="8"/>
            <color indexed="81"/>
            <rFont val="Tahoma"/>
            <family val="2"/>
          </rPr>
          <t>WynneL01:</t>
        </r>
        <r>
          <rPr>
            <sz val="8"/>
            <color indexed="81"/>
            <rFont val="Tahoma"/>
            <family val="2"/>
          </rPr>
          <t xml:space="preserve">
RENK - LT (DENIED)
Kathlyn - LT
Dykstra - MT</t>
        </r>
      </text>
    </comment>
    <comment ref="BS13" authorId="3">
      <text>
        <r>
          <rPr>
            <b/>
            <sz val="8"/>
            <color indexed="81"/>
            <rFont val="Tahoma"/>
            <family val="2"/>
          </rPr>
          <t>WynneL01:</t>
        </r>
        <r>
          <rPr>
            <sz val="8"/>
            <color indexed="81"/>
            <rFont val="Tahoma"/>
            <family val="2"/>
          </rPr>
          <t xml:space="preserve">
Gray - MT (claim not pursued) removed 1 MT
Raffard - LT
Reynan - LT
Smith - LT (DENIED)
</t>
        </r>
      </text>
    </comment>
    <comment ref="BT13" authorId="3">
      <text>
        <r>
          <rPr>
            <b/>
            <sz val="8"/>
            <color indexed="81"/>
            <rFont val="Tahoma"/>
            <family val="2"/>
          </rPr>
          <t>WynneL01:</t>
        </r>
        <r>
          <rPr>
            <sz val="8"/>
            <color indexed="81"/>
            <rFont val="Tahoma"/>
            <family val="2"/>
          </rPr>
          <t xml:space="preserve">
Domingo - LT (DENINED)
Nielson - MT
Gray - MT
Monteith - MT</t>
        </r>
      </text>
    </comment>
    <comment ref="BU13" authorId="5">
      <text>
        <r>
          <rPr>
            <b/>
            <sz val="8"/>
            <color indexed="81"/>
            <rFont val="Tahoma"/>
            <family val="2"/>
          </rPr>
          <t>LifeLabs user:</t>
        </r>
        <r>
          <rPr>
            <sz val="8"/>
            <color indexed="81"/>
            <rFont val="Tahoma"/>
            <family val="2"/>
          </rPr>
          <t xml:space="preserve">
Jahrarus - MT
Gubatao - MT
Chaplin - MT (claim not pursued)
Quibuyen - MT</t>
        </r>
      </text>
    </comment>
    <comment ref="BV13" authorId="5">
      <text>
        <r>
          <rPr>
            <b/>
            <sz val="8"/>
            <color indexed="81"/>
            <rFont val="Tahoma"/>
            <family val="2"/>
          </rPr>
          <t>LifeLabs user:</t>
        </r>
        <r>
          <rPr>
            <sz val="8"/>
            <color indexed="81"/>
            <rFont val="Tahoma"/>
            <family val="2"/>
          </rPr>
          <t xml:space="preserve">
Brandoli - MT
</t>
        </r>
      </text>
    </comment>
    <comment ref="BW13" authorId="5">
      <text>
        <r>
          <rPr>
            <b/>
            <sz val="8"/>
            <color indexed="81"/>
            <rFont val="Tahoma"/>
            <family val="2"/>
          </rPr>
          <t>LifeLabs user:</t>
        </r>
        <r>
          <rPr>
            <sz val="8"/>
            <color indexed="81"/>
            <rFont val="Tahoma"/>
            <family val="2"/>
          </rPr>
          <t xml:space="preserve">
Chou - MT
Sahota - MT
Langlois - LT
Christensen - LT (DENINED)</t>
        </r>
      </text>
    </comment>
    <comment ref="BX13" authorId="3">
      <text>
        <r>
          <rPr>
            <b/>
            <sz val="8"/>
            <color indexed="81"/>
            <rFont val="Tahoma"/>
            <family val="2"/>
          </rPr>
          <t>WynneL01:</t>
        </r>
        <r>
          <rPr>
            <sz val="8"/>
            <color indexed="81"/>
            <rFont val="Tahoma"/>
            <family val="2"/>
          </rPr>
          <t xml:space="preserve">
Anderson - LT (DENINED)
Clark - LT
Heatherington - MT (Withdrawn)
Bettanin - MT 
(Withdrawn)
Pajaro - MT (Abandoned)
Menzies - LT (DENIED)</t>
        </r>
      </text>
    </comment>
    <comment ref="BY13" authorId="3">
      <text>
        <r>
          <rPr>
            <b/>
            <sz val="8"/>
            <color indexed="81"/>
            <rFont val="Tahoma"/>
            <family val="2"/>
          </rPr>
          <t>WynneL01:</t>
        </r>
        <r>
          <rPr>
            <sz val="8"/>
            <color indexed="81"/>
            <rFont val="Tahoma"/>
            <family val="2"/>
          </rPr>
          <t xml:space="preserve">
Esther Ma decided not to pursue LTI (changed to FA)
Virk - Lost Time (DENIED) - changed to MT
Teichrob - MT (DENIED)
Kinnersley - MT (ABANDONED)
McRae - MT
Rashid - MT (Withdrawn)
Chuo - LT
        </t>
        </r>
      </text>
    </comment>
    <comment ref="BZ13" authorId="5">
      <text>
        <r>
          <rPr>
            <b/>
            <sz val="8"/>
            <color indexed="81"/>
            <rFont val="Tahoma"/>
            <family val="2"/>
          </rPr>
          <t>LifeLabs user:</t>
        </r>
        <r>
          <rPr>
            <sz val="8"/>
            <color indexed="81"/>
            <rFont val="Tahoma"/>
            <family val="2"/>
          </rPr>
          <t xml:space="preserve">
McRae - MT (Withdrawn)</t>
        </r>
      </text>
    </comment>
    <comment ref="CA13" authorId="5">
      <text>
        <r>
          <rPr>
            <b/>
            <sz val="8"/>
            <color indexed="81"/>
            <rFont val="Tahoma"/>
            <family val="2"/>
          </rPr>
          <t>LifeLabs user:</t>
        </r>
        <r>
          <rPr>
            <sz val="8"/>
            <color indexed="81"/>
            <rFont val="Tahoma"/>
            <family val="2"/>
          </rPr>
          <t xml:space="preserve">
Hansen - MT (Withdrawn)
Lane - LT (claim not filed)
Bruce - LT (DENIED)</t>
        </r>
      </text>
    </comment>
    <comment ref="CB13" authorId="5">
      <text>
        <r>
          <rPr>
            <b/>
            <sz val="8"/>
            <color indexed="81"/>
            <rFont val="Tahoma"/>
            <family val="2"/>
          </rPr>
          <t>LifeLabs user:</t>
        </r>
        <r>
          <rPr>
            <sz val="8"/>
            <color indexed="81"/>
            <rFont val="Tahoma"/>
            <family val="2"/>
          </rPr>
          <t xml:space="preserve">
No Incidents for May</t>
        </r>
      </text>
    </comment>
    <comment ref="CC13" authorId="5">
      <text>
        <r>
          <rPr>
            <b/>
            <sz val="8"/>
            <color indexed="81"/>
            <rFont val="Tahoma"/>
            <family val="2"/>
          </rPr>
          <t>LifeLabs user:</t>
        </r>
        <r>
          <rPr>
            <sz val="8"/>
            <color indexed="81"/>
            <rFont val="Tahoma"/>
            <family val="2"/>
          </rPr>
          <t xml:space="preserve">
Prihar - MT</t>
        </r>
      </text>
    </comment>
    <comment ref="CD13" authorId="5">
      <text>
        <r>
          <rPr>
            <b/>
            <sz val="8"/>
            <color indexed="81"/>
            <rFont val="Tahoma"/>
            <family val="2"/>
          </rPr>
          <t>LifeLabs user:</t>
        </r>
        <r>
          <rPr>
            <sz val="8"/>
            <color indexed="81"/>
            <rFont val="Tahoma"/>
            <family val="2"/>
          </rPr>
          <t xml:space="preserve">
Adams (MT)
Denis (LT) - DENIED
Nejedlo (LT)  - DENIED</t>
        </r>
      </text>
    </comment>
    <comment ref="CE13" authorId="5">
      <text>
        <r>
          <rPr>
            <b/>
            <sz val="8"/>
            <color indexed="81"/>
            <rFont val="Tahoma"/>
            <family val="2"/>
          </rPr>
          <t>LifeLabs user:</t>
        </r>
        <r>
          <rPr>
            <sz val="8"/>
            <color indexed="81"/>
            <rFont val="Tahoma"/>
            <family val="2"/>
          </rPr>
          <t xml:space="preserve">
LT - Nayoski</t>
        </r>
      </text>
    </comment>
    <comment ref="CF13" authorId="5">
      <text>
        <r>
          <rPr>
            <b/>
            <sz val="8"/>
            <color indexed="81"/>
            <rFont val="Tahoma"/>
            <family val="2"/>
          </rPr>
          <t>LifeLabs user:</t>
        </r>
        <r>
          <rPr>
            <sz val="8"/>
            <color indexed="81"/>
            <rFont val="Tahoma"/>
            <family val="2"/>
          </rPr>
          <t xml:space="preserve">
LT - Nayoski</t>
        </r>
      </text>
    </comment>
    <comment ref="CG13" authorId="5">
      <text>
        <r>
          <rPr>
            <b/>
            <sz val="8"/>
            <color indexed="81"/>
            <rFont val="Tahoma"/>
            <family val="2"/>
          </rPr>
          <t>LifeLabs user:</t>
        </r>
        <r>
          <rPr>
            <sz val="8"/>
            <color indexed="81"/>
            <rFont val="Tahoma"/>
            <family val="2"/>
          </rPr>
          <t xml:space="preserve">
MT - Russcher (WITHDRAWN)
SC - Prasad (Withdrawn)</t>
        </r>
      </text>
    </comment>
    <comment ref="CH13" authorId="5">
      <text>
        <r>
          <rPr>
            <b/>
            <sz val="8"/>
            <color indexed="81"/>
            <rFont val="Tahoma"/>
            <family val="2"/>
          </rPr>
          <t>LifeLabs user:</t>
        </r>
        <r>
          <rPr>
            <sz val="8"/>
            <color indexed="81"/>
            <rFont val="Tahoma"/>
            <family val="2"/>
          </rPr>
          <t xml:space="preserve">
MT - Hoppe*
LT - Neilson
LT - Sage
</t>
        </r>
      </text>
    </comment>
    <comment ref="CI13" authorId="5">
      <text>
        <r>
          <rPr>
            <b/>
            <sz val="8"/>
            <color indexed="81"/>
            <rFont val="Tahoma"/>
            <family val="2"/>
          </rPr>
          <t>LifeLabs user:</t>
        </r>
        <r>
          <rPr>
            <sz val="8"/>
            <color indexed="81"/>
            <rFont val="Tahoma"/>
            <family val="2"/>
          </rPr>
          <t xml:space="preserve">
SC - Rivera (Withdrawn)
MT - Ciceron</t>
        </r>
      </text>
    </comment>
    <comment ref="CJ13" authorId="5">
      <text>
        <r>
          <rPr>
            <b/>
            <sz val="8"/>
            <color indexed="81"/>
            <rFont val="Tahoma"/>
            <family val="2"/>
          </rPr>
          <t>LifeLabs user:</t>
        </r>
        <r>
          <rPr>
            <sz val="8"/>
            <color indexed="81"/>
            <rFont val="Tahoma"/>
            <family val="2"/>
          </rPr>
          <t xml:space="preserve">
LT - R. Rous
LT - J.Phillips (approved for </t>
        </r>
        <r>
          <rPr>
            <b/>
            <sz val="8"/>
            <color indexed="81"/>
            <rFont val="Tahoma"/>
            <family val="2"/>
          </rPr>
          <t>MT</t>
        </r>
        <r>
          <rPr>
            <sz val="8"/>
            <color indexed="81"/>
            <rFont val="Tahoma"/>
            <family val="2"/>
          </rPr>
          <t xml:space="preserve"> only)
SC - O. Rida (Withdrawn)</t>
        </r>
      </text>
    </comment>
    <comment ref="CK13" authorId="5">
      <text>
        <r>
          <rPr>
            <b/>
            <sz val="8"/>
            <color indexed="81"/>
            <rFont val="Tahoma"/>
            <family val="2"/>
          </rPr>
          <t>LifeLabs user:</t>
        </r>
        <r>
          <rPr>
            <sz val="8"/>
            <color indexed="81"/>
            <rFont val="Tahoma"/>
            <family val="2"/>
          </rPr>
          <t xml:space="preserve">
LT - Denis (Withdrawn)
MT - Ernst (Withdrawn)</t>
        </r>
      </text>
    </comment>
    <comment ref="CL13" authorId="5">
      <text>
        <r>
          <rPr>
            <b/>
            <sz val="8"/>
            <color indexed="81"/>
            <rFont val="Tahoma"/>
            <family val="2"/>
          </rPr>
          <t>LifeLabs user:</t>
        </r>
        <r>
          <rPr>
            <sz val="8"/>
            <color indexed="81"/>
            <rFont val="Tahoma"/>
            <family val="2"/>
          </rPr>
          <t xml:space="preserve">
MT: Kang (needlestick) (Withdrawn)
LT: Lang (STF)
MT: Lego (contact w/)
LT - Santos (ergo)_DENIED</t>
        </r>
      </text>
    </comment>
    <comment ref="CM13" authorId="5">
      <text>
        <r>
          <rPr>
            <b/>
            <sz val="8"/>
            <color indexed="81"/>
            <rFont val="Tahoma"/>
            <family val="2"/>
          </rPr>
          <t>LifeLabs user:</t>
        </r>
        <r>
          <rPr>
            <sz val="8"/>
            <color indexed="81"/>
            <rFont val="Tahoma"/>
            <family val="2"/>
          </rPr>
          <t xml:space="preserve">
MT - Daszuta (Withdrawn)
MT - Nguyen (Withdrawn)</t>
        </r>
      </text>
    </comment>
    <comment ref="CN13" authorId="5">
      <text>
        <r>
          <rPr>
            <b/>
            <sz val="8"/>
            <color indexed="81"/>
            <rFont val="Tahoma"/>
            <family val="2"/>
          </rPr>
          <t>LifeLabs user:</t>
        </r>
        <r>
          <rPr>
            <sz val="8"/>
            <color indexed="81"/>
            <rFont val="Tahoma"/>
            <family val="2"/>
          </rPr>
          <t xml:space="preserve">
MT - B. Chui
MT: Rossner, Beverley
MT: Alves, Cecilia (Withdrawn)</t>
        </r>
      </text>
    </comment>
    <comment ref="CO13" authorId="5">
      <text>
        <r>
          <rPr>
            <b/>
            <sz val="8"/>
            <color indexed="81"/>
            <rFont val="Tahoma"/>
            <family val="2"/>
          </rPr>
          <t>LifeLabs user:</t>
        </r>
        <r>
          <rPr>
            <sz val="8"/>
            <color indexed="81"/>
            <rFont val="Tahoma"/>
            <family val="2"/>
          </rPr>
          <t xml:space="preserve">
DENIED LT: B. Kelly
MT: P Peters
</t>
        </r>
      </text>
    </comment>
    <comment ref="CP13" authorId="5">
      <text>
        <r>
          <rPr>
            <b/>
            <sz val="8"/>
            <color indexed="81"/>
            <rFont val="Tahoma"/>
            <family val="2"/>
          </rPr>
          <t>LifeLabs user:</t>
        </r>
        <r>
          <rPr>
            <sz val="8"/>
            <color indexed="81"/>
            <rFont val="Tahoma"/>
            <family val="2"/>
          </rPr>
          <t xml:space="preserve">
MT: Bhullar</t>
        </r>
      </text>
    </comment>
    <comment ref="CQ13" authorId="6">
      <text>
        <r>
          <rPr>
            <sz val="9"/>
            <color indexed="81"/>
            <rFont val="Tahoma"/>
            <family val="2"/>
          </rPr>
          <t>Glen, D - MT
Giammaria, A - MT
Colville, J - MT
Savarie, R - MT
Wargovcsik, Debbie - (First Aid now)</t>
        </r>
      </text>
    </comment>
    <comment ref="CR13" authorId="4">
      <text>
        <r>
          <rPr>
            <b/>
            <sz val="8"/>
            <color indexed="81"/>
            <rFont val="Tahoma"/>
            <family val="2"/>
          </rPr>
          <t>Anceriz, Julie:</t>
        </r>
        <r>
          <rPr>
            <sz val="8"/>
            <color indexed="81"/>
            <rFont val="Tahoma"/>
            <family val="2"/>
          </rPr>
          <t xml:space="preserve">
LT: Jaundrew, Krista
MT: Liu, Yi-Ting
MT: Savage, Kimberly</t>
        </r>
      </text>
    </comment>
    <comment ref="CS13" authorId="4">
      <text>
        <r>
          <rPr>
            <b/>
            <sz val="8"/>
            <color indexed="81"/>
            <rFont val="Tahoma"/>
            <family val="2"/>
          </rPr>
          <t>Anceriz, Julie:</t>
        </r>
        <r>
          <rPr>
            <sz val="8"/>
            <color indexed="81"/>
            <rFont val="Tahoma"/>
            <family val="2"/>
          </rPr>
          <t xml:space="preserve">
MT: Jacobsen, Wendy (Denied)
MT: Parent, Roger (Withdrawn)</t>
        </r>
      </text>
    </comment>
    <comment ref="CT13" authorId="7">
      <text>
        <r>
          <rPr>
            <b/>
            <sz val="9"/>
            <color indexed="81"/>
            <rFont val="Tahoma"/>
            <family val="2"/>
          </rPr>
          <t>Jay Wang:</t>
        </r>
        <r>
          <rPr>
            <sz val="9"/>
            <color indexed="81"/>
            <rFont val="Tahoma"/>
            <family val="2"/>
          </rPr>
          <t xml:space="preserve">
LT: Chung, Simon
LT: Hynek, Dagmar </t>
        </r>
      </text>
    </comment>
    <comment ref="CU13" authorId="7">
      <text>
        <r>
          <rPr>
            <b/>
            <sz val="9"/>
            <color indexed="81"/>
            <rFont val="Tahoma"/>
            <family val="2"/>
          </rPr>
          <t>Jay Wang:</t>
        </r>
        <r>
          <rPr>
            <sz val="9"/>
            <color indexed="81"/>
            <rFont val="Tahoma"/>
            <family val="2"/>
          </rPr>
          <t xml:space="preserve">
LT: Russell, Renee
MT: Fraser, Jan
MT: Pozney, Tania (First Aid Now)
MT: Strobl, Zina (Denied)
MT: Doerksen, Cynthia</t>
        </r>
      </text>
    </comment>
    <comment ref="CV13" authorId="7">
      <text>
        <r>
          <rPr>
            <b/>
            <sz val="9"/>
            <color indexed="81"/>
            <rFont val="Tahoma"/>
            <family val="2"/>
          </rPr>
          <t>Jay Wang:</t>
        </r>
        <r>
          <rPr>
            <sz val="9"/>
            <color indexed="81"/>
            <rFont val="Tahoma"/>
            <family val="2"/>
          </rPr>
          <t xml:space="preserve">
MT: Harshey, Caitlyn
LT: O'Donnell, Nicole
LT: Morton, Janice
LT: Viray, Rosario (Denied)
LT: Gaskin, Amy
MT: Milligan, Jenna
MT: De Guzman, Gina
LT: Doerksen, Cynthia
MT: Hirschi, Esther</t>
        </r>
      </text>
    </comment>
    <comment ref="CW13" authorId="7">
      <text>
        <r>
          <rPr>
            <b/>
            <sz val="9"/>
            <color indexed="81"/>
            <rFont val="Tahoma"/>
            <family val="2"/>
          </rPr>
          <t>Jay Wang:</t>
        </r>
        <r>
          <rPr>
            <sz val="9"/>
            <color indexed="81"/>
            <rFont val="Tahoma"/>
            <family val="2"/>
          </rPr>
          <t xml:space="preserve">
MT: Tuca, Angelica
MT: Kalyn, Susan (First Aid now)
MT: Munroe, Cheryl
MT: Ng, Sherisse</t>
        </r>
      </text>
    </comment>
    <comment ref="CX13" authorId="7">
      <text>
        <r>
          <rPr>
            <b/>
            <sz val="9"/>
            <color indexed="81"/>
            <rFont val="Tahoma"/>
            <family val="2"/>
          </rPr>
          <t>Jay Wang:</t>
        </r>
        <r>
          <rPr>
            <sz val="9"/>
            <color indexed="81"/>
            <rFont val="Tahoma"/>
            <family val="2"/>
          </rPr>
          <t xml:space="preserve">
LT: Chaplin, Leah
LT: Ross, Debra (Withdrawn)
LT: Pavic, Mila
MT: Jahraus, Jennifer
MT: Dhalla, Nasrin
LT: Krautsieder, Oliver (First Aid now)
MT: Morrison, Marlene
MT: Pinlac, Eduardo (Withdrawn)</t>
        </r>
      </text>
    </comment>
    <comment ref="CY13" authorId="7">
      <text>
        <r>
          <rPr>
            <b/>
            <sz val="9"/>
            <color indexed="81"/>
            <rFont val="Tahoma"/>
            <family val="2"/>
          </rPr>
          <t>Jay Wang:</t>
        </r>
        <r>
          <rPr>
            <sz val="9"/>
            <color indexed="81"/>
            <rFont val="Tahoma"/>
            <family val="2"/>
          </rPr>
          <t xml:space="preserve">
MT: Pearson, Maria Estela
LT: Herbert, Susan
MT: MacDonald, Susan (First Aid now)
LT: Chaplin, Leah
MT:Tuca, Angelica (Denied)
LT: Skipper, Donna</t>
        </r>
      </text>
    </comment>
    <comment ref="CZ13" authorId="7">
      <text>
        <r>
          <rPr>
            <b/>
            <sz val="9"/>
            <color indexed="81"/>
            <rFont val="Tahoma"/>
            <family val="2"/>
          </rPr>
          <t>Jay Wang:</t>
        </r>
        <r>
          <rPr>
            <sz val="9"/>
            <color indexed="81"/>
            <rFont val="Tahoma"/>
            <family val="2"/>
          </rPr>
          <t xml:space="preserve">
LT: Adams, Tracy(Denied)
LT: Drew, Joanne
LT: Johal, Sarabjit (Denied)
MT/SC: Hughes, Dawne
MT/SC:Khokhar, Jennifer (First Aid now)
MT/SC: Wintringham, Mandy
LT: Murphy, Mary (Withdrawn)
MT: Jheeta, Harbindpal
LT:Lalli, Rajdeep (Denied)
MT: Mallonga, Susan
MT: Gill, Harpreet (denied)</t>
        </r>
      </text>
    </comment>
    <comment ref="DA13" authorId="7">
      <text>
        <r>
          <rPr>
            <b/>
            <sz val="9"/>
            <color indexed="81"/>
            <rFont val="Tahoma"/>
            <family val="2"/>
          </rPr>
          <t>Jay Wang:</t>
        </r>
        <r>
          <rPr>
            <sz val="9"/>
            <color indexed="81"/>
            <rFont val="Tahoma"/>
            <family val="2"/>
          </rPr>
          <t xml:space="preserve">
MT: Tesoro, Mary Ann
MT: Jackson, Jessica
MT: Gatenby, Mary (Withdrawn)
MT: Fuerte-Du, Marilou
LT: Savage, Kimberly
MT: Sage, Sonja (Denied)
MT: Griffiths, Gina</t>
        </r>
      </text>
    </comment>
    <comment ref="DB13" authorId="7">
      <text>
        <r>
          <rPr>
            <b/>
            <sz val="9"/>
            <color indexed="81"/>
            <rFont val="Tahoma"/>
            <family val="2"/>
          </rPr>
          <t>Jay Wang:</t>
        </r>
        <r>
          <rPr>
            <sz val="9"/>
            <color indexed="81"/>
            <rFont val="Tahoma"/>
            <family val="2"/>
          </rPr>
          <t xml:space="preserve">
MT:Lim, William (First Aid now)</t>
        </r>
      </text>
    </comment>
    <comment ref="DC13" authorId="7">
      <text>
        <r>
          <rPr>
            <b/>
            <sz val="9"/>
            <color indexed="81"/>
            <rFont val="Tahoma"/>
            <family val="2"/>
          </rPr>
          <t>Jay Wang:</t>
        </r>
        <r>
          <rPr>
            <sz val="9"/>
            <color indexed="81"/>
            <rFont val="Tahoma"/>
            <family val="2"/>
          </rPr>
          <t xml:space="preserve">
LT: Piecuch, Dominique (Denied)
MT: Pritchard, Dennet
MT: Griffiths, Gina
LT: Clarke, Patricia</t>
        </r>
      </text>
    </comment>
    <comment ref="DD13" authorId="7">
      <text>
        <r>
          <rPr>
            <b/>
            <sz val="9"/>
            <color indexed="81"/>
            <rFont val="Tahoma"/>
            <family val="2"/>
          </rPr>
          <t>Jay Wang:</t>
        </r>
        <r>
          <rPr>
            <sz val="9"/>
            <color indexed="81"/>
            <rFont val="Tahoma"/>
            <family val="2"/>
          </rPr>
          <t xml:space="preserve">
MT: Hand, Robin
MT: Vidad, Rezelle
MT: Richardson, Dana
MT: Hogendoorn, Bernice (Denied)
LT: Maldaner, Katherine(Denied)</t>
        </r>
      </text>
    </comment>
    <comment ref="DE13" authorId="7">
      <text>
        <r>
          <rPr>
            <b/>
            <sz val="9"/>
            <color indexed="81"/>
            <rFont val="Tahoma"/>
            <family val="2"/>
          </rPr>
          <t>Jay Wang:</t>
        </r>
        <r>
          <rPr>
            <sz val="9"/>
            <color indexed="81"/>
            <rFont val="Tahoma"/>
            <family val="2"/>
          </rPr>
          <t xml:space="preserve">
MT: Matheson, Ava
MT: Frondall, Cathy
LT: San, Julia (Denied)
LT: Gray, Trista
MT: Russell, Renee (Denied)</t>
        </r>
      </text>
    </comment>
    <comment ref="DF13" authorId="7">
      <text>
        <r>
          <rPr>
            <b/>
            <sz val="9"/>
            <color indexed="81"/>
            <rFont val="Tahoma"/>
            <family val="2"/>
          </rPr>
          <t>Jay Wang:</t>
        </r>
        <r>
          <rPr>
            <sz val="9"/>
            <color indexed="81"/>
            <rFont val="Tahoma"/>
            <family val="2"/>
          </rPr>
          <t xml:space="preserve">
MT: Ng, Sherisse
MT: Northcott, Patricia
LT: Gris, Paige (Denied)
LT: Carmody, Erin (Denied)</t>
        </r>
      </text>
    </comment>
    <comment ref="DG13" authorId="7">
      <text>
        <r>
          <rPr>
            <b/>
            <sz val="9"/>
            <color indexed="81"/>
            <rFont val="Tahoma"/>
            <family val="2"/>
          </rPr>
          <t>Jay Wang:</t>
        </r>
        <r>
          <rPr>
            <sz val="9"/>
            <color indexed="81"/>
            <rFont val="Tahoma"/>
            <family val="2"/>
          </rPr>
          <t xml:space="preserve">
LT: Giammaria, Annamaria
MT: Cajucom, Luz</t>
        </r>
      </text>
    </comment>
    <comment ref="DH13" authorId="7">
      <text>
        <r>
          <rPr>
            <b/>
            <sz val="9"/>
            <color indexed="81"/>
            <rFont val="Tahoma"/>
            <family val="2"/>
          </rPr>
          <t>Jay Wang:</t>
        </r>
        <r>
          <rPr>
            <sz val="9"/>
            <color indexed="81"/>
            <rFont val="Tahoma"/>
            <family val="2"/>
          </rPr>
          <t xml:space="preserve">
MT: Untalan, Celeste
MT: Liu, Vicky
MT: Lancaster, Kate (Denied)
MT: Milligan, Jenna
MT: Basess, Jennifer
MT: Chen, Stellar</t>
        </r>
      </text>
    </comment>
    <comment ref="DI13" authorId="7">
      <text>
        <r>
          <rPr>
            <b/>
            <sz val="9"/>
            <color indexed="81"/>
            <rFont val="Tahoma"/>
            <family val="2"/>
          </rPr>
          <t>Jay Wang:</t>
        </r>
        <r>
          <rPr>
            <sz val="9"/>
            <color indexed="81"/>
            <rFont val="Tahoma"/>
            <family val="2"/>
          </rPr>
          <t xml:space="preserve">
MT: Hegan, Erin
LT: Albert, Carma
LT: Philips, Snezana</t>
        </r>
      </text>
    </comment>
    <comment ref="DJ13" authorId="7">
      <text>
        <r>
          <rPr>
            <b/>
            <sz val="9"/>
            <color indexed="81"/>
            <rFont val="Tahoma"/>
            <family val="2"/>
          </rPr>
          <t>Jay Wang:</t>
        </r>
        <r>
          <rPr>
            <sz val="9"/>
            <color indexed="81"/>
            <rFont val="Tahoma"/>
            <family val="2"/>
          </rPr>
          <t xml:space="preserve">
MT: Hamblin, Dawn (Withdrawn)
MT: Purdy, Alex (Withdrawn)
MT: Maclvor, Kaila
LT: Stefanyk, Doreen (Denied)</t>
        </r>
      </text>
    </comment>
    <comment ref="DK13" authorId="7">
      <text>
        <r>
          <rPr>
            <b/>
            <sz val="9"/>
            <color indexed="81"/>
            <rFont val="Tahoma"/>
            <family val="2"/>
          </rPr>
          <t>Jay Wang:</t>
        </r>
        <r>
          <rPr>
            <sz val="9"/>
            <color indexed="81"/>
            <rFont val="Tahoma"/>
            <family val="2"/>
          </rPr>
          <t xml:space="preserve">
LT: Fraser, Nicole
LT: Lopez, Maria
MT: Douwes, Denise
MT: Whitmore, Eileen (Withdrawn)
MT: Guerrero, Desiree
MT: Cramdell, Ashley (BCB)
LT: Salehzadah, Angeza (BCB)
MT: Millard, Patti (BCB) (denied)</t>
        </r>
      </text>
    </comment>
    <comment ref="DL13" authorId="7">
      <text>
        <r>
          <rPr>
            <b/>
            <sz val="9"/>
            <color indexed="81"/>
            <rFont val="Tahoma"/>
            <family val="2"/>
          </rPr>
          <t>Jay Wang:</t>
        </r>
        <r>
          <rPr>
            <sz val="9"/>
            <color indexed="81"/>
            <rFont val="Tahoma"/>
            <family val="2"/>
          </rPr>
          <t xml:space="preserve">
MT: Gray, Trista (Denied)
LT: Hand, Robin (withdrawn)
LT: Henricks, Tammy (Denied)
LT: Havas, Mandy
LT: Rikh, Rita
LT: Snetsinger, Amanda (Withdrawn)
LT: Sieben, Sirocco (BCB)
LT: Sharma, Priyanka (BCB)</t>
        </r>
      </text>
    </comment>
    <comment ref="DM13" authorId="7">
      <text>
        <r>
          <rPr>
            <b/>
            <sz val="9"/>
            <color indexed="81"/>
            <rFont val="Tahoma"/>
            <family val="2"/>
          </rPr>
          <t>Jay Wang:</t>
        </r>
        <r>
          <rPr>
            <sz val="9"/>
            <color indexed="81"/>
            <rFont val="Tahoma"/>
            <family val="2"/>
          </rPr>
          <t xml:space="preserve">
LT: Benetton, Elizabeth
MT: Frondall, Cathy (Withdrawn)</t>
        </r>
      </text>
    </comment>
    <comment ref="DN13" authorId="7">
      <text>
        <r>
          <rPr>
            <b/>
            <sz val="9"/>
            <color indexed="81"/>
            <rFont val="Tahoma"/>
            <family val="2"/>
          </rPr>
          <t>Jay Wang:</t>
        </r>
        <r>
          <rPr>
            <sz val="9"/>
            <color indexed="81"/>
            <rFont val="Tahoma"/>
            <family val="2"/>
          </rPr>
          <t xml:space="preserve">
MT: Dykman, Brad (Denied)
MT: Rida, Olga
MT: Fernandez, Jay
MT: Alaric, Marcia
MT: Ney, Holly (Withdrawn)</t>
        </r>
      </text>
    </comment>
    <comment ref="DO13" authorId="7">
      <text>
        <r>
          <rPr>
            <b/>
            <sz val="9"/>
            <color indexed="81"/>
            <rFont val="Tahoma"/>
            <family val="2"/>
          </rPr>
          <t>Jay Wang:</t>
        </r>
        <r>
          <rPr>
            <sz val="9"/>
            <color indexed="81"/>
            <rFont val="Tahoma"/>
            <family val="2"/>
          </rPr>
          <t xml:space="preserve">
LT: Denis, Glen (Withdrawn)
MT: Romero, Alexandra
MT: Kerfers, Ellen
MT: Whitmore, Eileen (Withdrawn)
MT: Goy, Linda (BCB)</t>
        </r>
      </text>
    </comment>
    <comment ref="DP13" authorId="7">
      <text>
        <r>
          <rPr>
            <b/>
            <sz val="9"/>
            <color indexed="81"/>
            <rFont val="Tahoma"/>
            <family val="2"/>
          </rPr>
          <t>Jay Wang:</t>
        </r>
        <r>
          <rPr>
            <sz val="9"/>
            <color indexed="81"/>
            <rFont val="Tahoma"/>
            <family val="2"/>
          </rPr>
          <t xml:space="preserve">
LT: Wilson, Jennifer
MT: Mann, Puneet
LT: Birtch, Christine (Withdrawn)
MT: Carrigan, Mercedes
LT: Sim, Debbie
LT: Press, Sharon (Denied)
LT: Ballesteros, Marja (BCB)</t>
        </r>
      </text>
    </comment>
    <comment ref="DQ13" authorId="7">
      <text>
        <r>
          <rPr>
            <b/>
            <sz val="9"/>
            <color indexed="81"/>
            <rFont val="Tahoma"/>
            <family val="2"/>
          </rPr>
          <t>Jay Wang:</t>
        </r>
        <r>
          <rPr>
            <sz val="9"/>
            <color indexed="81"/>
            <rFont val="Tahoma"/>
            <family val="2"/>
          </rPr>
          <t xml:space="preserve">
MT: Yu, Daisy (Withdrawn)
MT: Cruz, Ramen (BCB)
MT: Gidda, Sondeep (BCB)
LT: Ouiment, Katherine (BCB)
LT: Miller, Niki (BCB) (Withdrawn)
MT: Testa, Anna Maria (BCB)
MT: Sandhu, Dolly (BCB)
LT: Mallonga, Susan (Denied)
MT: Francisco, Leonora (Withdrawn)</t>
        </r>
      </text>
    </comment>
    <comment ref="DR13" authorId="7">
      <text>
        <r>
          <rPr>
            <b/>
            <sz val="9"/>
            <color indexed="81"/>
            <rFont val="Tahoma"/>
            <family val="2"/>
          </rPr>
          <t>Jay Wang:</t>
        </r>
        <r>
          <rPr>
            <sz val="9"/>
            <color indexed="81"/>
            <rFont val="Tahoma"/>
            <family val="2"/>
          </rPr>
          <t xml:space="preserve">
MT: Connor, Nathan (BCB) (Withdrawn)
MT: Brennan, Tammy (BCB)
MT: Dorado, Miriam
MT: Santo, Bernadette (BCB)
LT: Cummer, Wendy (Withdrawn)
MT: Jones, Lindsey (BCB) (Denied)
MT: Wilkie, Kathryn (Withdrawn)</t>
        </r>
      </text>
    </comment>
    <comment ref="DS13" authorId="7">
      <text>
        <r>
          <rPr>
            <b/>
            <sz val="9"/>
            <color indexed="81"/>
            <rFont val="Tahoma"/>
            <family val="2"/>
          </rPr>
          <t>Jay Wang:</t>
        </r>
        <r>
          <rPr>
            <sz val="9"/>
            <color indexed="81"/>
            <rFont val="Tahoma"/>
            <family val="2"/>
          </rPr>
          <t xml:space="preserve">
MT: Murphy, Mary
MT: Cayanan, Myrna
LT: Whitmore, Eileen (Denied)
LT: Schiefke, Meagan (BCB) (Denied)
LT: Miller, Carol (BCB)</t>
        </r>
      </text>
    </comment>
    <comment ref="DT13" authorId="7">
      <text>
        <r>
          <rPr>
            <b/>
            <sz val="9"/>
            <color indexed="81"/>
            <rFont val="Tahoma"/>
            <family val="2"/>
          </rPr>
          <t>Jay Wang:</t>
        </r>
        <r>
          <rPr>
            <sz val="9"/>
            <color indexed="81"/>
            <rFont val="Tahoma"/>
            <family val="2"/>
          </rPr>
          <t xml:space="preserve">
LT: Testa, Anna Maria (CCB)
MT: Katz, Joan (CCB)
MT: Dubroy, Shannon (Denied)
LT: Chan, Jerry
MT: Richardson, Dana
LT: Paulokangas, Cathy (CCB)</t>
        </r>
      </text>
    </comment>
    <comment ref="DU13" authorId="7">
      <text>
        <r>
          <rPr>
            <b/>
            <sz val="9"/>
            <color indexed="81"/>
            <rFont val="Tahoma"/>
            <family val="2"/>
          </rPr>
          <t>Jay Wang:</t>
        </r>
        <r>
          <rPr>
            <sz val="9"/>
            <color indexed="81"/>
            <rFont val="Tahoma"/>
            <family val="2"/>
          </rPr>
          <t xml:space="preserve">
MT: Wargovcsik, Debbie (Denied)
MT: Ho, Kuo Ying
MT: Fuggle, John (Withdrawn)
LT: Wong, Sarah
MT: Colville, Joseph</t>
        </r>
      </text>
    </comment>
    <comment ref="DV13" authorId="7">
      <text>
        <r>
          <rPr>
            <b/>
            <sz val="9"/>
            <color indexed="81"/>
            <rFont val="Tahoma"/>
            <family val="2"/>
          </rPr>
          <t>Jay Wang:</t>
        </r>
        <r>
          <rPr>
            <sz val="9"/>
            <color indexed="81"/>
            <rFont val="Tahoma"/>
            <family val="2"/>
          </rPr>
          <t xml:space="preserve">
MT: Hutchinson, Jessica (Withdrawn)
MT: Mager, Amanda
MT: White, Janice
LT: Ouimet, Katherince</t>
        </r>
      </text>
    </comment>
    <comment ref="DW13" authorId="7">
      <text>
        <r>
          <rPr>
            <b/>
            <sz val="9"/>
            <color indexed="81"/>
            <rFont val="Tahoma"/>
            <family val="2"/>
          </rPr>
          <t>Jay Wang:</t>
        </r>
        <r>
          <rPr>
            <sz val="9"/>
            <color indexed="81"/>
            <rFont val="Tahoma"/>
            <family val="2"/>
          </rPr>
          <t xml:space="preserve">
LT: Pinlac, Eduardo (Denied)
MT: Thomson, Holly (Withdrawn)
MT: McRae, Marianne
MT: Drew, Joanne (Withdrawn)
MT: Elferink, Marie
MT: Pires, Monique
LT: Bonilla, Rodolfo (Denied)</t>
        </r>
      </text>
    </comment>
    <comment ref="DX13" authorId="7">
      <text>
        <r>
          <rPr>
            <b/>
            <sz val="9"/>
            <color indexed="81"/>
            <rFont val="Tahoma"/>
            <family val="2"/>
          </rPr>
          <t>Jay Wang:</t>
        </r>
        <r>
          <rPr>
            <sz val="9"/>
            <color indexed="81"/>
            <rFont val="Tahoma"/>
            <family val="2"/>
          </rPr>
          <t xml:space="preserve">
MT: Tabesh, Rita (Denied)
LT: Jones, Kelly (Withdrawn)
LT: Anderson, Sandra (Withdrawn)
LT: Doughty, Karen (Withdrawn)
MT: Quiogue, Anna
LT: Foster-Hoppe, Kellie
LT: Munn, Cindy (Denied)
MT: Watson, Alicia
MT: Nguyen, Bich Thi Ngoc</t>
        </r>
      </text>
    </comment>
    <comment ref="DY13" authorId="7">
      <text>
        <r>
          <rPr>
            <b/>
            <sz val="9"/>
            <color indexed="81"/>
            <rFont val="Tahoma"/>
            <family val="2"/>
          </rPr>
          <t>Jay Wang:</t>
        </r>
        <r>
          <rPr>
            <sz val="9"/>
            <color indexed="81"/>
            <rFont val="Tahoma"/>
            <family val="2"/>
          </rPr>
          <t xml:space="preserve">
MT: Jones, Marti
MT: Munroe, Cheryl (denied)</t>
        </r>
      </text>
    </comment>
    <comment ref="DZ13" authorId="7">
      <text>
        <r>
          <rPr>
            <b/>
            <sz val="9"/>
            <color indexed="81"/>
            <rFont val="Tahoma"/>
            <family val="2"/>
          </rPr>
          <t>Jay Wang:</t>
        </r>
        <r>
          <rPr>
            <sz val="9"/>
            <color indexed="81"/>
            <rFont val="Tahoma"/>
            <family val="2"/>
          </rPr>
          <t xml:space="preserve">
MT: Denis, Glen
LT: Smith, Christine
LT: Patrick-Blackburn, Renee (Denied)</t>
        </r>
      </text>
    </comment>
    <comment ref="EA13" authorId="7">
      <text>
        <r>
          <rPr>
            <b/>
            <sz val="9"/>
            <color indexed="81"/>
            <rFont val="Tahoma"/>
            <family val="2"/>
          </rPr>
          <t>Jay Wang:</t>
        </r>
        <r>
          <rPr>
            <sz val="9"/>
            <color indexed="81"/>
            <rFont val="Tahoma"/>
            <family val="2"/>
          </rPr>
          <t xml:space="preserve">
LT: Foster-Hoppe, Kellie (Withdrawn)
MT: Binta, Mistry (Denied)</t>
        </r>
      </text>
    </comment>
    <comment ref="EB13" authorId="7">
      <text>
        <r>
          <rPr>
            <b/>
            <sz val="9"/>
            <color indexed="81"/>
            <rFont val="Tahoma"/>
            <family val="2"/>
          </rPr>
          <t>Jay Wang:</t>
        </r>
        <r>
          <rPr>
            <sz val="9"/>
            <color indexed="81"/>
            <rFont val="Tahoma"/>
            <family val="2"/>
          </rPr>
          <t xml:space="preserve">
LT: Richardson, Natalie
MT: Sidhu, Nina
MT: Chan, Erika
LT: Lopez, Maria (Withdrawn)
MT: Tabata, Kelly
MT: Dossett, Patricia (Withdrawn)
MT: McRae, Marianne
LT: Sieben, Sirocco</t>
        </r>
      </text>
    </comment>
    <comment ref="EC13" authorId="7">
      <text>
        <r>
          <rPr>
            <b/>
            <sz val="9"/>
            <color indexed="81"/>
            <rFont val="Tahoma"/>
            <family val="2"/>
          </rPr>
          <t>Jay Wang:</t>
        </r>
        <r>
          <rPr>
            <sz val="9"/>
            <color indexed="81"/>
            <rFont val="Tahoma"/>
            <family val="2"/>
          </rPr>
          <t xml:space="preserve">
MT: Black, Chantal
MT: Uy-Mah, Gladys (Withdrawn)
MT: Schiber, Andrea (Withdrawn)
LT: Johnson, Ashley
MT: Peralta, Rosemarie
MT: Patricio, Cristina
MT: Gallacher, Carolyn (Withdrawn)
MT: Holtz, Chantal
MT: Krishna, Malini
MT: Morizaki, Sandra
MT: Delir, Shamira
MT: Singh, Kulbir
MT: Archer, Jordana (Denied)
MT: Star, Alison (Denied)</t>
        </r>
      </text>
    </comment>
    <comment ref="ED13" authorId="7">
      <text>
        <r>
          <rPr>
            <b/>
            <sz val="9"/>
            <color indexed="81"/>
            <rFont val="Tahoma"/>
            <family val="2"/>
          </rPr>
          <t>Jay Wang:</t>
        </r>
        <r>
          <rPr>
            <sz val="9"/>
            <color indexed="81"/>
            <rFont val="Tahoma"/>
            <family val="2"/>
          </rPr>
          <t xml:space="preserve">
LT: Cheng, Viola
LT: De Guzman, Gina
MT: Kornelson, Holly
MT: McFadden, Janel
MT: San, Julia
LT: Wilkie, Kathryn (Suspended)
MT: Narayan, Nakita
LT: Mallonga, Susan (WIthdrawn)
MT: Schweers, Anna-Marie (Denied)
LT: Khalif, Hodan (Denied)
MT: Smith, Cindy (Denied)
MT: Kalar, Sonia (Denied)
MT: Pol, Deanna (Denied)</t>
        </r>
      </text>
    </comment>
    <comment ref="EE13" authorId="7">
      <text>
        <r>
          <rPr>
            <b/>
            <sz val="9"/>
            <color indexed="81"/>
            <rFont val="Tahoma"/>
            <family val="2"/>
          </rPr>
          <t>Jay Wang:</t>
        </r>
        <r>
          <rPr>
            <sz val="9"/>
            <color indexed="81"/>
            <rFont val="Tahoma"/>
            <family val="2"/>
          </rPr>
          <t xml:space="preserve">
MT: Slater, Carol
MT: Santillan, Leilani
MT: Heebner, Maureen
LT: Lamb, Danae (Withdrawn)
MT: Lresultan, Maureen
MT: Torres, Mary Jane</t>
        </r>
      </text>
    </comment>
    <comment ref="EF13" authorId="7">
      <text>
        <r>
          <rPr>
            <b/>
            <sz val="9"/>
            <color indexed="81"/>
            <rFont val="Tahoma"/>
            <family val="2"/>
          </rPr>
          <t>Jay Wang:</t>
        </r>
        <r>
          <rPr>
            <sz val="9"/>
            <color indexed="81"/>
            <rFont val="Tahoma"/>
            <family val="2"/>
          </rPr>
          <t xml:space="preserve">
LT: Hyun, Seung
MT: Rashid-Tabrizi, Shahriar (Denied)
MT: George, Julian
MT: Dekerf, Karla
MT: Hogendoorn, Bernice (Withdrawn)
LT: Hutchinson, Jessica (Withdrawn)
LT: Pratap, Tracy (Withdrawn)
LT: Zaharoff, Colleen
MT: Rhodes, Mryssa (Withdrawn)
LT: Pandher, Ramandeep (Denied)</t>
        </r>
      </text>
    </comment>
    <comment ref="EG13" authorId="7">
      <text>
        <r>
          <rPr>
            <b/>
            <sz val="9"/>
            <color indexed="81"/>
            <rFont val="Tahoma"/>
            <family val="2"/>
          </rPr>
          <t>Jay Wang:</t>
        </r>
        <r>
          <rPr>
            <sz val="9"/>
            <color indexed="81"/>
            <rFont val="Tahoma"/>
            <family val="2"/>
          </rPr>
          <t xml:space="preserve">
LT: Tabata, Kelly
MT: Grant, Gayle
MT: Dhalla, Nasrin
MT: Skare, Anita (Denied)
LT: Fesharaki, Hamila (Denied)
LT: Gary, Trista
LT: Campbell, Colleen (WIthdrawn)
LT: Rous, Roberto (Withdrawn)
LT: Burleson, Deborah
MT: De Wynter, Stacey (Denied)
LT: Founger, Lauren
LT: Porter, Rachel (Withdrwan)
MT:Desiree, Guerrero
</t>
        </r>
      </text>
    </comment>
    <comment ref="EH13" authorId="7">
      <text>
        <r>
          <rPr>
            <b/>
            <sz val="9"/>
            <color indexed="81"/>
            <rFont val="Tahoma"/>
            <family val="2"/>
          </rPr>
          <t>Jay Wang:</t>
        </r>
        <r>
          <rPr>
            <sz val="9"/>
            <color indexed="81"/>
            <rFont val="Tahoma"/>
            <family val="2"/>
          </rPr>
          <t xml:space="preserve">
MT: Stroh, Natalia (Withdrawn)
MT: Kosty, Brottany
LT: Delipper, Anna Rossa (Withdrawn)
LT: Nutt, Ramandeep
LT: De Guzman, Gina (Withdrawn)
</t>
        </r>
      </text>
    </comment>
    <comment ref="EI13" authorId="7">
      <text>
        <r>
          <rPr>
            <b/>
            <sz val="9"/>
            <color indexed="81"/>
            <rFont val="Tahoma"/>
            <family val="2"/>
          </rPr>
          <t>Jay Wang:</t>
        </r>
        <r>
          <rPr>
            <sz val="9"/>
            <color indexed="81"/>
            <rFont val="Tahoma"/>
            <family val="2"/>
          </rPr>
          <t xml:space="preserve">
LT: Driemel, Leah
LT: Jones, Sharon
MT: Manhas, Kanwaldeep
MT: Hynes, Kara (Withdrawn)
LT: Mann, Puneet (Withdrawn)
MT: Rasila, Kristen (Withdrawn)
MT: Marques, Barbara
MT: Wiliamson, Erin</t>
        </r>
      </text>
    </comment>
    <comment ref="EJ13" authorId="8">
      <text>
        <r>
          <rPr>
            <b/>
            <sz val="9"/>
            <color indexed="81"/>
            <rFont val="Tahoma"/>
            <family val="2"/>
          </rPr>
          <t>Varga, Nancy:</t>
        </r>
        <r>
          <rPr>
            <sz val="9"/>
            <color indexed="81"/>
            <rFont val="Tahoma"/>
            <family val="2"/>
          </rPr>
          <t xml:space="preserve">
LT-Blair, Morgan
LT-Sun, Jie (Withdrawn)
LT-Munro, Rima
MT-Lai, Wendy
MT: Cahill, Vicki
</t>
        </r>
      </text>
    </comment>
    <comment ref="EK13" authorId="8">
      <text>
        <r>
          <rPr>
            <b/>
            <sz val="9"/>
            <color indexed="81"/>
            <rFont val="Tahoma"/>
            <family val="2"/>
          </rPr>
          <t>Varga, Nancy:</t>
        </r>
        <r>
          <rPr>
            <sz val="9"/>
            <color indexed="81"/>
            <rFont val="Tahoma"/>
            <family val="2"/>
          </rPr>
          <t xml:space="preserve">
LT-Fuerte-Du, Marilou (Withdrawn)
LT-Chou, Debbie (Withdrawn)
LT-Kwiatkowski, Julie
MT-Stroh, Natalia 
MT-Smith, Kellie (Denied)
MT-Singh, Vrinder (withdrawn)
MT-Millard, Patti
MT-Ward, Theresa
MT-Moore, Rosetta
MT: Raouf, Farighta (Withdrawn)
</t>
        </r>
      </text>
    </comment>
    <comment ref="EL13" authorId="8">
      <text>
        <r>
          <rPr>
            <b/>
            <sz val="9"/>
            <color indexed="81"/>
            <rFont val="Tahoma"/>
            <family val="2"/>
          </rPr>
          <t>Varga, Nancy:</t>
        </r>
        <r>
          <rPr>
            <sz val="9"/>
            <color indexed="81"/>
            <rFont val="Tahoma"/>
            <family val="2"/>
          </rPr>
          <t xml:space="preserve">
LT-Shen, June (Denied)
LT-Foreman, Sarah (Withdrawn)
LT-Recalde, Jannette (Withdrawn)
MT-Ho, Nicholas
MT-Nixon, Iris
MT-Ostapin, Lorraine
MT-Hemming, Doreen
MT-Forrester, Micailyn
MT-Jeffs, Kelly
MT-Sonnberger, Amanda (Withdrawn)
MT-Lessard, Kelly
MT-Reddick, Diane
MT-Edwards, Jaclyn
MT-Halldorson, Carly
MT - Sohi, Gagandeep
MT-Orcullo, Marcos
Burch, Lindsay (changed to 1st aid)</t>
        </r>
      </text>
    </comment>
    <comment ref="EM13" authorId="8">
      <text>
        <r>
          <rPr>
            <b/>
            <sz val="9"/>
            <color indexed="81"/>
            <rFont val="Tahoma"/>
            <family val="2"/>
          </rPr>
          <t>Varga, Nancy:</t>
        </r>
        <r>
          <rPr>
            <sz val="9"/>
            <color indexed="81"/>
            <rFont val="Tahoma"/>
            <family val="2"/>
          </rPr>
          <t xml:space="preserve">
LT-Cheema, Pardeep (DENIED)
LT-Sieffert, Denise (SUSPENDED)
MT-San, Julia (withdrawn)
LT-Vanrossum, Janice
MT-Raffard, Lois
MT-Zhang, Emily
MT-Munif, Rukhsaar
</t>
        </r>
      </text>
    </comment>
    <comment ref="EN13" authorId="9">
      <text>
        <r>
          <rPr>
            <b/>
            <sz val="9"/>
            <color indexed="81"/>
            <rFont val="Tahoma"/>
            <family val="2"/>
          </rPr>
          <t>Hun, Riley:</t>
        </r>
        <r>
          <rPr>
            <sz val="9"/>
            <color indexed="81"/>
            <rFont val="Tahoma"/>
            <family val="2"/>
          </rPr>
          <t xml:space="preserve">
LT-Bhaghar, Prabhjot (Claim Approved partially for LOE)
LT-Havas, Mandy
LT-Herbert, Susan
LT-Makara, Mary
MT-Sumner, Sharon (Claim Approved for HC Only)
MT-Cabato, Felipe Roy
MT-Codimos, Christine
MT-Mohle, Sarah
MT-Sullivan, Danielle L. 
MT-Garrovillas, Enrico
MT-Trinidad, Maria (Denied)
LT-Hamblin, Dawn (Withdrawn)
MT-Badke, Barbie (Withdrawn)
MT-Heebner, Brenda (Withdrawn)
MT-Khokhar, Jennifer (Withdrawn)
LT-Reynolds, Rose (DENIED)
MT-Johal, Sarabjit (Withdrawn)</t>
        </r>
      </text>
    </comment>
    <comment ref="EO13" authorId="9">
      <text>
        <r>
          <rPr>
            <b/>
            <sz val="9"/>
            <color indexed="81"/>
            <rFont val="Tahoma"/>
            <family val="2"/>
          </rPr>
          <t xml:space="preserve">Hun, Riley:
</t>
        </r>
        <r>
          <rPr>
            <sz val="9"/>
            <color indexed="81"/>
            <rFont val="Tahoma"/>
            <family val="2"/>
          </rPr>
          <t xml:space="preserve">LT-Haddadizonoz, Massomeh
LT-Hogendoorn, Bernice
LT-Leung, Hang Yin (DENIED)
LT-Plante, Katie
LT-Russbueldt, Lynda
LT-Temirov, Ekaterina (Denied)
LT-Williams, Christine
MT-Arvay, Kelsi
MT-Campbell, Colleen
MT-Chien, Ivy
MT-Henderson, Sheila
MT-Ilagan, Conchita
</t>
        </r>
      </text>
    </comment>
    <comment ref="EP13" authorId="10">
      <text>
        <r>
          <rPr>
            <b/>
            <sz val="9"/>
            <color indexed="81"/>
            <rFont val="Tahoma"/>
            <family val="2"/>
          </rPr>
          <t>Maguire, Karis:</t>
        </r>
        <r>
          <rPr>
            <sz val="9"/>
            <color indexed="81"/>
            <rFont val="Tahoma"/>
            <family val="2"/>
          </rPr>
          <t xml:space="preserve">
LT Bhullar, Balbir Singh (Denied)
LT Godin, Evelyn (Withdrawn)
LT Jones, Laureen (Denied)
LT Tiongson, Myrna (Denied)
LT Sutton, Kassandra (Withdrawn)
MT Ignacio, Mary Lynn
MT Milns, Brenda</t>
        </r>
      </text>
    </comment>
    <comment ref="EQ13" authorId="10">
      <text>
        <r>
          <rPr>
            <b/>
            <sz val="9"/>
            <color indexed="81"/>
            <rFont val="Tahoma"/>
            <charset val="1"/>
          </rPr>
          <t>Maguire, Karis:</t>
        </r>
        <r>
          <rPr>
            <sz val="9"/>
            <color indexed="81"/>
            <rFont val="Tahoma"/>
            <charset val="1"/>
          </rPr>
          <t xml:space="preserve">
LT - Korisanszky, Jennifer
LT - Porter, Rachel
MT - McCreath, Kiera
MT - Basi, Anupan
MT - Sriranpong, Kocharkrit
MT - Vannes, Connie</t>
        </r>
      </text>
    </comment>
    <comment ref="ER13" authorId="10">
      <text>
        <r>
          <rPr>
            <b/>
            <sz val="9"/>
            <color indexed="81"/>
            <rFont val="Tahoma"/>
            <charset val="1"/>
          </rPr>
          <t>Maguire, Karis:</t>
        </r>
        <r>
          <rPr>
            <sz val="9"/>
            <color indexed="81"/>
            <rFont val="Tahoma"/>
            <charset val="1"/>
          </rPr>
          <t xml:space="preserve">
LT - Brossard, Courtenay
MT - Goldsack, Ariene
MT - Ho, Kuo Ying
MT - Milaney, Chelsea</t>
        </r>
      </text>
    </comment>
    <comment ref="BP14" authorId="3">
      <text>
        <r>
          <rPr>
            <b/>
            <sz val="8"/>
            <color indexed="81"/>
            <rFont val="Tahoma"/>
            <family val="2"/>
          </rPr>
          <t>WynneL01:</t>
        </r>
        <r>
          <rPr>
            <sz val="8"/>
            <color indexed="81"/>
            <rFont val="Tahoma"/>
            <family val="2"/>
          </rPr>
          <t xml:space="preserve">
c/o Hughes - 4 days
Gillis - 1 day
c/o Carter - 21.5 days (DENIED)</t>
        </r>
      </text>
    </comment>
    <comment ref="BQ14" authorId="3">
      <text>
        <r>
          <rPr>
            <b/>
            <sz val="8"/>
            <color indexed="81"/>
            <rFont val="Tahoma"/>
            <family val="2"/>
          </rPr>
          <t>WynneL01:</t>
        </r>
        <r>
          <rPr>
            <sz val="8"/>
            <color indexed="81"/>
            <rFont val="Tahoma"/>
            <family val="2"/>
          </rPr>
          <t xml:space="preserve">
c/o Hughes - 7 days (DENIED)
c/o Gillis - 1 day (DENIED)
Donaldson - days lost in july</t>
        </r>
      </text>
    </comment>
    <comment ref="BR14" authorId="3">
      <text>
        <r>
          <rPr>
            <b/>
            <sz val="8"/>
            <color indexed="81"/>
            <rFont val="Tahoma"/>
            <family val="2"/>
          </rPr>
          <t>WynneL01:</t>
        </r>
        <r>
          <rPr>
            <sz val="8"/>
            <color indexed="81"/>
            <rFont val="Tahoma"/>
            <family val="2"/>
          </rPr>
          <t xml:space="preserve">
c/o RENK - 5.5 days (DENIED)
c/o Carter 17.5 days (DENIED)
KALYN - no days lost until Sept
c/o Donaldson - 9.5 days</t>
        </r>
      </text>
    </comment>
    <comment ref="BS14" authorId="3">
      <text>
        <r>
          <rPr>
            <b/>
            <sz val="8"/>
            <color indexed="81"/>
            <rFont val="Tahoma"/>
            <family val="2"/>
          </rPr>
          <t>WynneL01:</t>
        </r>
        <r>
          <rPr>
            <sz val="8"/>
            <color indexed="81"/>
            <rFont val="Tahoma"/>
            <family val="2"/>
          </rPr>
          <t xml:space="preserve">
c/o RENK 2.5 days (DENIED)
Reynon - 2.5 days
c/o Carter - 15 days (DENIED)
Rafford  - 10 days
Smith - 1.5 days (DENIED)
 c/o Donaldson - 8.5 days</t>
        </r>
      </text>
    </comment>
    <comment ref="BT14" authorId="3">
      <text>
        <r>
          <rPr>
            <b/>
            <sz val="8"/>
            <color indexed="81"/>
            <rFont val="Tahoma"/>
            <family val="2"/>
          </rPr>
          <t>WynneL01:</t>
        </r>
        <r>
          <rPr>
            <sz val="8"/>
            <color indexed="81"/>
            <rFont val="Tahoma"/>
            <family val="2"/>
          </rPr>
          <t xml:space="preserve">
Domingo - 8 days (DENIED)
c/o Kalyn - 0.5 days
c/o Donaldson - 7.5 days
c/o Rafford - 9 days
</t>
        </r>
      </text>
    </comment>
    <comment ref="BU14" authorId="3">
      <text>
        <r>
          <rPr>
            <b/>
            <sz val="8"/>
            <color indexed="81"/>
            <rFont val="Tahoma"/>
            <family val="2"/>
          </rPr>
          <t>WynneL01:</t>
        </r>
        <r>
          <rPr>
            <sz val="8"/>
            <color indexed="81"/>
            <rFont val="Tahoma"/>
            <family val="2"/>
          </rPr>
          <t xml:space="preserve">
c/o Donaldson (1 day), 
c/o Raffard (2.5 days), 
c/o Domingo (13.5 days -DENIED) 
c/o Kalyn (6 days)
Chaplin - MT (claim not pursued - removed 1 MT)</t>
        </r>
      </text>
    </comment>
    <comment ref="BV14" authorId="3">
      <text>
        <r>
          <rPr>
            <b/>
            <sz val="8"/>
            <color indexed="81"/>
            <rFont val="Tahoma"/>
            <family val="2"/>
          </rPr>
          <t>WynneL01:</t>
        </r>
        <r>
          <rPr>
            <sz val="8"/>
            <color indexed="81"/>
            <rFont val="Tahoma"/>
            <family val="2"/>
          </rPr>
          <t xml:space="preserve">
c/o Raffard (4 days), c/oDomingo (9.5 days-DENIED) 
c/o Kalyn (3 days - 1 day denied)</t>
        </r>
      </text>
    </comment>
    <comment ref="BW14" authorId="3">
      <text>
        <r>
          <rPr>
            <b/>
            <sz val="8"/>
            <color indexed="81"/>
            <rFont val="Tahoma"/>
            <family val="2"/>
          </rPr>
          <t>WynneL01:</t>
        </r>
        <r>
          <rPr>
            <sz val="8"/>
            <color indexed="81"/>
            <rFont val="Tahoma"/>
            <family val="2"/>
          </rPr>
          <t xml:space="preserve">
Langlois - 0.5 days
Christensen - DENIED
</t>
        </r>
      </text>
    </comment>
    <comment ref="BX14" authorId="3">
      <text>
        <r>
          <rPr>
            <b/>
            <sz val="8"/>
            <color indexed="81"/>
            <rFont val="Tahoma"/>
            <family val="2"/>
          </rPr>
          <t>WynneL01:</t>
        </r>
        <r>
          <rPr>
            <sz val="8"/>
            <color indexed="81"/>
            <rFont val="Tahoma"/>
            <family val="2"/>
          </rPr>
          <t xml:space="preserve">
Clark - 2 days</t>
        </r>
      </text>
    </comment>
    <comment ref="BY14" authorId="3">
      <text>
        <r>
          <rPr>
            <b/>
            <sz val="8"/>
            <color indexed="81"/>
            <rFont val="Tahoma"/>
            <family val="2"/>
          </rPr>
          <t>WynneL01:</t>
        </r>
        <r>
          <rPr>
            <sz val="8"/>
            <color indexed="81"/>
            <rFont val="Tahoma"/>
            <family val="2"/>
          </rPr>
          <t xml:space="preserve">
c/o Clark (3 days)
2 days for Chuo</t>
        </r>
      </text>
    </comment>
    <comment ref="BZ14" authorId="3">
      <text>
        <r>
          <rPr>
            <b/>
            <sz val="8"/>
            <color indexed="81"/>
            <rFont val="Tahoma"/>
            <family val="2"/>
          </rPr>
          <t>WynneL01:</t>
        </r>
        <r>
          <rPr>
            <sz val="8"/>
            <color indexed="81"/>
            <rFont val="Tahoma"/>
            <family val="2"/>
          </rPr>
          <t xml:space="preserve">
FEB Carryover - 5 days Christensen (DENIED)
</t>
        </r>
      </text>
    </comment>
    <comment ref="CA14" authorId="3">
      <text>
        <r>
          <rPr>
            <b/>
            <sz val="8"/>
            <color indexed="81"/>
            <rFont val="Tahoma"/>
            <family val="2"/>
          </rPr>
          <t>WynneL01:</t>
        </r>
        <r>
          <rPr>
            <sz val="8"/>
            <color indexed="81"/>
            <rFont val="Tahoma"/>
            <family val="2"/>
          </rPr>
          <t xml:space="preserve">
Lane - 1 day (claim not filed)
Bruce - LT Denied
</t>
        </r>
      </text>
    </comment>
    <comment ref="CB14" authorId="5">
      <text>
        <r>
          <rPr>
            <b/>
            <sz val="8"/>
            <color indexed="81"/>
            <rFont val="Tahoma"/>
            <family val="2"/>
          </rPr>
          <t>LifeLabs user:</t>
        </r>
        <r>
          <rPr>
            <sz val="8"/>
            <color indexed="81"/>
            <rFont val="Tahoma"/>
            <family val="2"/>
          </rPr>
          <t xml:space="preserve">
-0 LTI for May 
-0 c/o from April</t>
        </r>
      </text>
    </comment>
    <comment ref="CC14" authorId="5">
      <text>
        <r>
          <rPr>
            <b/>
            <sz val="8"/>
            <color indexed="81"/>
            <rFont val="Tahoma"/>
            <family val="2"/>
          </rPr>
          <t>LifeLabs user:</t>
        </r>
        <r>
          <rPr>
            <sz val="8"/>
            <color indexed="81"/>
            <rFont val="Tahoma"/>
            <family val="2"/>
          </rPr>
          <t xml:space="preserve">
0 LTI in June
0 c/o from May</t>
        </r>
      </text>
    </comment>
    <comment ref="CD14" authorId="5">
      <text>
        <r>
          <rPr>
            <b/>
            <sz val="8"/>
            <color indexed="81"/>
            <rFont val="Tahoma"/>
            <family val="2"/>
          </rPr>
          <t>LifeLbs user:</t>
        </r>
        <r>
          <rPr>
            <sz val="8"/>
            <color indexed="81"/>
            <rFont val="Tahoma"/>
            <family val="2"/>
          </rPr>
          <t xml:space="preserve">
Denis - 10 days - DENIED
Nejedlo - 4 days - DENIED
0 c/o from June</t>
        </r>
      </text>
    </comment>
    <comment ref="CE14" authorId="5">
      <text>
        <r>
          <rPr>
            <b/>
            <sz val="8"/>
            <color indexed="81"/>
            <rFont val="Tahoma"/>
            <family val="2"/>
          </rPr>
          <t>LifeLabs user:</t>
        </r>
        <r>
          <rPr>
            <sz val="8"/>
            <color indexed="81"/>
            <rFont val="Tahoma"/>
            <family val="2"/>
          </rPr>
          <t xml:space="preserve">
Nayoski - 3 days
0 c/o from July</t>
        </r>
      </text>
    </comment>
    <comment ref="CF14" authorId="5">
      <text>
        <r>
          <rPr>
            <b/>
            <sz val="8"/>
            <color indexed="81"/>
            <rFont val="Tahoma"/>
            <family val="2"/>
          </rPr>
          <t>LifeLabs user:</t>
        </r>
        <r>
          <rPr>
            <sz val="8"/>
            <color indexed="81"/>
            <rFont val="Tahoma"/>
            <family val="2"/>
          </rPr>
          <t xml:space="preserve">
Nayoski - 3 days
0 c/o from July</t>
        </r>
      </text>
    </comment>
    <comment ref="CG14" authorId="5">
      <text>
        <r>
          <rPr>
            <b/>
            <sz val="8"/>
            <color indexed="81"/>
            <rFont val="Tahoma"/>
            <family val="2"/>
          </rPr>
          <t>LifeLabs user:</t>
        </r>
        <r>
          <rPr>
            <sz val="8"/>
            <color indexed="81"/>
            <rFont val="Tahoma"/>
            <family val="2"/>
          </rPr>
          <t xml:space="preserve">
0 c/o from sep</t>
        </r>
      </text>
    </comment>
    <comment ref="CH14" authorId="5">
      <text>
        <r>
          <rPr>
            <b/>
            <sz val="8"/>
            <color indexed="81"/>
            <rFont val="Tahoma"/>
            <family val="2"/>
          </rPr>
          <t>LifeLabs user:</t>
        </r>
        <r>
          <rPr>
            <sz val="8"/>
            <color indexed="81"/>
            <rFont val="Tahoma"/>
            <family val="2"/>
          </rPr>
          <t xml:space="preserve">
2 days lost - Neilson
2 days lost - Sage
Hoppe - DENIED
0 c/o from sep</t>
        </r>
      </text>
    </comment>
    <comment ref="CI14" authorId="5">
      <text>
        <r>
          <rPr>
            <b/>
            <sz val="8"/>
            <color indexed="81"/>
            <rFont val="Tahoma"/>
            <family val="2"/>
          </rPr>
          <t>LifeLabs user:</t>
        </r>
        <r>
          <rPr>
            <sz val="8"/>
            <color indexed="81"/>
            <rFont val="Tahoma"/>
            <family val="2"/>
          </rPr>
          <t xml:space="preserve">
2 c/o days - Nielson
1 c/o day - Hoppe (DENIED)
</t>
        </r>
      </text>
    </comment>
    <comment ref="CJ14" authorId="5">
      <text>
        <r>
          <rPr>
            <b/>
            <sz val="8"/>
            <color indexed="81"/>
            <rFont val="Tahoma"/>
            <family val="2"/>
          </rPr>
          <t>LifeLabs user:</t>
        </r>
        <r>
          <rPr>
            <sz val="8"/>
            <color indexed="81"/>
            <rFont val="Tahoma"/>
            <family val="2"/>
          </rPr>
          <t xml:space="preserve">
2.5 days - R. Rous
0 c/o days from December</t>
        </r>
      </text>
    </comment>
    <comment ref="CK14" authorId="5">
      <text>
        <r>
          <rPr>
            <b/>
            <sz val="8"/>
            <color indexed="81"/>
            <rFont val="Tahoma"/>
            <family val="2"/>
          </rPr>
          <t>LifeLabs user:</t>
        </r>
        <r>
          <rPr>
            <sz val="8"/>
            <color indexed="81"/>
            <rFont val="Tahoma"/>
            <family val="2"/>
          </rPr>
          <t xml:space="preserve">
1 day - Denis
0 c/o from January</t>
        </r>
      </text>
    </comment>
    <comment ref="CL14" authorId="5">
      <text>
        <r>
          <rPr>
            <b/>
            <sz val="8"/>
            <color indexed="81"/>
            <rFont val="Tahoma"/>
            <family val="2"/>
          </rPr>
          <t>LifeLabs user:</t>
        </r>
        <r>
          <rPr>
            <sz val="8"/>
            <color indexed="81"/>
            <rFont val="Tahoma"/>
            <family val="2"/>
          </rPr>
          <t xml:space="preserve">
3 LT days 
Lang: 1 day
Santos: 2 days (DENIED)
0 c/o days</t>
        </r>
      </text>
    </comment>
    <comment ref="CO14" authorId="5">
      <text>
        <r>
          <rPr>
            <b/>
            <sz val="8"/>
            <color indexed="81"/>
            <rFont val="Tahoma"/>
            <family val="2"/>
          </rPr>
          <t>LifeLabs user:</t>
        </r>
        <r>
          <rPr>
            <sz val="8"/>
            <color indexed="81"/>
            <rFont val="Tahoma"/>
            <family val="2"/>
          </rPr>
          <t xml:space="preserve">
DENIED LT: B. Kelly - 3.5
c/o: 0 days</t>
        </r>
      </text>
    </comment>
    <comment ref="CP14" authorId="5">
      <text>
        <r>
          <rPr>
            <b/>
            <sz val="8"/>
            <color indexed="81"/>
            <rFont val="Tahoma"/>
            <family val="2"/>
          </rPr>
          <t>LifeLabs user:</t>
        </r>
        <r>
          <rPr>
            <sz val="8"/>
            <color indexed="81"/>
            <rFont val="Tahoma"/>
            <family val="2"/>
          </rPr>
          <t xml:space="preserve">
c/o: 0 days</t>
        </r>
      </text>
    </comment>
    <comment ref="CQ14" authorId="6">
      <text>
        <r>
          <rPr>
            <sz val="9"/>
            <color indexed="81"/>
            <rFont val="Tahoma"/>
            <family val="2"/>
          </rPr>
          <t>Savarie, R - 1 day</t>
        </r>
      </text>
    </comment>
    <comment ref="CR14" authorId="4">
      <text>
        <r>
          <rPr>
            <b/>
            <sz val="8"/>
            <color indexed="81"/>
            <rFont val="Tahoma"/>
            <family val="2"/>
          </rPr>
          <t>Anceriz, Julie:</t>
        </r>
        <r>
          <rPr>
            <sz val="8"/>
            <color indexed="81"/>
            <rFont val="Tahoma"/>
            <family val="2"/>
          </rPr>
          <t xml:space="preserve">
Jaundrew, Krista: 1
c/o: Savarie, Rene: 13.8</t>
        </r>
      </text>
    </comment>
    <comment ref="CT14" authorId="7">
      <text>
        <r>
          <rPr>
            <b/>
            <sz val="9"/>
            <color indexed="81"/>
            <rFont val="Tahoma"/>
            <family val="2"/>
          </rPr>
          <t>Jay Wang:</t>
        </r>
        <r>
          <rPr>
            <sz val="9"/>
            <color indexed="81"/>
            <rFont val="Tahoma"/>
            <family val="2"/>
          </rPr>
          <t xml:space="preserve">
Chung, Simon=4.6
Hynek, Dagma=1</t>
        </r>
      </text>
    </comment>
    <comment ref="CV14" authorId="7">
      <text>
        <r>
          <rPr>
            <b/>
            <sz val="9"/>
            <color indexed="81"/>
            <rFont val="Tahoma"/>
            <family val="2"/>
          </rPr>
          <t>Jay Wang:</t>
        </r>
        <r>
          <rPr>
            <sz val="9"/>
            <color indexed="81"/>
            <rFont val="Tahoma"/>
            <family val="2"/>
          </rPr>
          <t xml:space="preserve">
O'Donnell, Nicole=11
Morton, Janice=10
Heatherington, Cindy=1
Gaskin, Amy=2
Doerksen, Cynthia=14
c/o Russell, Renee=2.33</t>
        </r>
      </text>
    </comment>
    <comment ref="CW14" authorId="7">
      <text>
        <r>
          <rPr>
            <b/>
            <sz val="9"/>
            <color indexed="81"/>
            <rFont val="Tahoma"/>
            <family val="2"/>
          </rPr>
          <t>Jay Wang:</t>
        </r>
        <r>
          <rPr>
            <sz val="9"/>
            <color indexed="81"/>
            <rFont val="Tahoma"/>
            <family val="2"/>
          </rPr>
          <t xml:space="preserve">
c/o Morton, Janice=21
c/o Doerksen, Cynthia=21
c/o O'Donnell, Nicole=13
c/o Russell, Renee=2.53
c/o Gaskin, Amy=8</t>
        </r>
      </text>
    </comment>
    <comment ref="CX14" authorId="7">
      <text>
        <r>
          <rPr>
            <b/>
            <sz val="9"/>
            <color indexed="81"/>
            <rFont val="Tahoma"/>
            <family val="2"/>
          </rPr>
          <t>Jay Wang:</t>
        </r>
        <r>
          <rPr>
            <sz val="9"/>
            <color indexed="81"/>
            <rFont val="Tahoma"/>
            <family val="2"/>
          </rPr>
          <t xml:space="preserve">
Chaplin, Leah=2
Ross, Debra=2
Pavic, Mila=3
c/o Morton, Janice=22
c/o O'Donnell, Nicole=6.67
c/o Doerksen, Cynthia=22</t>
        </r>
      </text>
    </comment>
    <comment ref="CY14" authorId="7">
      <text>
        <r>
          <rPr>
            <b/>
            <sz val="9"/>
            <color indexed="81"/>
            <rFont val="Tahoma"/>
            <family val="2"/>
          </rPr>
          <t>Jay Wang:</t>
        </r>
        <r>
          <rPr>
            <sz val="9"/>
            <color indexed="81"/>
            <rFont val="Tahoma"/>
            <family val="2"/>
          </rPr>
          <t xml:space="preserve">
Herbert, Susan=12
Chaplin, Leah=10
Skipper, Donna=1
c/o Janice, Morton=4.73
c/o Doerksen, Cynthia=14.93</t>
        </r>
      </text>
    </comment>
    <comment ref="CZ14" authorId="7">
      <text>
        <r>
          <rPr>
            <b/>
            <sz val="9"/>
            <color indexed="81"/>
            <rFont val="Tahoma"/>
            <family val="2"/>
          </rPr>
          <t>Jay Wang:</t>
        </r>
        <r>
          <rPr>
            <sz val="9"/>
            <color indexed="81"/>
            <rFont val="Tahoma"/>
            <family val="2"/>
          </rPr>
          <t xml:space="preserve">
Adam, Tracy = 2
Drew, Joanne =4
Lalli, Rajdeep = 21
c/o Doerksen, Cynthia = 5.4
c/o Herbert, Susan = 6
c/o Chaplin, Leah = 22
c/o Skipper, Donna = 4
</t>
        </r>
      </text>
    </comment>
    <comment ref="DA14" authorId="7">
      <text>
        <r>
          <rPr>
            <b/>
            <sz val="9"/>
            <color indexed="81"/>
            <rFont val="Tahoma"/>
            <family val="2"/>
          </rPr>
          <t>Jay Wang:</t>
        </r>
        <r>
          <rPr>
            <sz val="9"/>
            <color indexed="81"/>
            <rFont val="Tahoma"/>
            <family val="2"/>
          </rPr>
          <t xml:space="preserve">
Savage, Kim=2
c/o Lalli, Rajdeep=16
c/o Chaplin, Leah=10.77
c/o Doerksen, Cynthia=1</t>
        </r>
      </text>
    </comment>
    <comment ref="DB14" authorId="7">
      <text>
        <r>
          <rPr>
            <b/>
            <sz val="9"/>
            <color indexed="81"/>
            <rFont val="Tahoma"/>
            <family val="2"/>
          </rPr>
          <t>Jay Wang:</t>
        </r>
        <r>
          <rPr>
            <sz val="9"/>
            <color indexed="81"/>
            <rFont val="Tahoma"/>
            <family val="2"/>
          </rPr>
          <t xml:space="preserve">
c/o Chaplin, Leah=0.13
c/o Doerksen, Cynthia=3</t>
        </r>
      </text>
    </comment>
    <comment ref="DC14" authorId="7">
      <text>
        <r>
          <rPr>
            <b/>
            <sz val="9"/>
            <color indexed="81"/>
            <rFont val="Tahoma"/>
            <family val="2"/>
          </rPr>
          <t>Jay Wang:</t>
        </r>
        <r>
          <rPr>
            <sz val="9"/>
            <color indexed="81"/>
            <rFont val="Tahoma"/>
            <family val="2"/>
          </rPr>
          <t xml:space="preserve">
c/o Doreksen, Cynthia = 9</t>
        </r>
      </text>
    </comment>
    <comment ref="DD14" authorId="7">
      <text>
        <r>
          <rPr>
            <b/>
            <sz val="9"/>
            <color indexed="81"/>
            <rFont val="Tahoma"/>
            <family val="2"/>
          </rPr>
          <t>Jay Wang:</t>
        </r>
        <r>
          <rPr>
            <sz val="9"/>
            <color indexed="81"/>
            <rFont val="Tahoma"/>
            <family val="2"/>
          </rPr>
          <t xml:space="preserve">
c/o Doerksen, Cynthia=6</t>
        </r>
      </text>
    </comment>
    <comment ref="DE14" authorId="7">
      <text>
        <r>
          <rPr>
            <b/>
            <sz val="9"/>
            <color indexed="81"/>
            <rFont val="Tahoma"/>
            <family val="2"/>
          </rPr>
          <t>Jay Wang:</t>
        </r>
        <r>
          <rPr>
            <sz val="9"/>
            <color indexed="81"/>
            <rFont val="Tahoma"/>
            <family val="2"/>
          </rPr>
          <t xml:space="preserve">
San, Julia = 1 (Denied)
Gray, Trista = 2
c/o Doerksen, Cynthia = 5
c/o Clarke, Paricia = 7.07</t>
        </r>
      </text>
    </comment>
    <comment ref="DF14" authorId="7">
      <text>
        <r>
          <rPr>
            <b/>
            <sz val="9"/>
            <color indexed="81"/>
            <rFont val="Tahoma"/>
            <family val="2"/>
          </rPr>
          <t xml:space="preserve">Jay Wang:
</t>
        </r>
        <r>
          <rPr>
            <sz val="9"/>
            <color indexed="81"/>
            <rFont val="Tahoma"/>
            <family val="2"/>
          </rPr>
          <t>Gris, Paige = 0 (originally 7)</t>
        </r>
        <r>
          <rPr>
            <b/>
            <sz val="9"/>
            <color indexed="81"/>
            <rFont val="Tahoma"/>
            <family val="2"/>
          </rPr>
          <t xml:space="preserve">
</t>
        </r>
        <r>
          <rPr>
            <sz val="9"/>
            <color indexed="81"/>
            <rFont val="Tahoma"/>
            <family val="2"/>
          </rPr>
          <t>c/o</t>
        </r>
        <r>
          <rPr>
            <b/>
            <sz val="9"/>
            <color indexed="81"/>
            <rFont val="Tahoma"/>
            <family val="2"/>
          </rPr>
          <t xml:space="preserve"> </t>
        </r>
        <r>
          <rPr>
            <sz val="9"/>
            <color indexed="81"/>
            <rFont val="Tahoma"/>
            <family val="2"/>
          </rPr>
          <t>Doerksen, Cynthia = 5
c/o Clarke, Patricia = 6.47
c/o Gray, Trista = 9.66</t>
        </r>
      </text>
    </comment>
    <comment ref="DG14" authorId="7">
      <text>
        <r>
          <rPr>
            <b/>
            <sz val="9"/>
            <color indexed="81"/>
            <rFont val="Tahoma"/>
            <family val="2"/>
          </rPr>
          <t>Jay Wang:</t>
        </r>
        <r>
          <rPr>
            <sz val="9"/>
            <color indexed="81"/>
            <rFont val="Tahoma"/>
            <family val="2"/>
          </rPr>
          <t xml:space="preserve">
c/o Garis, Paige = 0 (originally 19)
c/o Clarke, Patricia = 4.32
c/o Cynthia, Doerksen = 5</t>
        </r>
      </text>
    </comment>
    <comment ref="DH14" authorId="7">
      <text>
        <r>
          <rPr>
            <b/>
            <sz val="9"/>
            <color indexed="81"/>
            <rFont val="Tahoma"/>
            <family val="2"/>
          </rPr>
          <t>Jay Wang:</t>
        </r>
        <r>
          <rPr>
            <sz val="9"/>
            <color indexed="81"/>
            <rFont val="Tahoma"/>
            <family val="2"/>
          </rPr>
          <t xml:space="preserve">
c/o Cynthia, Doerksen=7
c/o Clarke, Patricia=4.45
c/o Gris, Paige=0 (originally 22)
c/o Giammaria, Annamaria=5.5
</t>
        </r>
      </text>
    </comment>
    <comment ref="DI14" authorId="7">
      <text>
        <r>
          <rPr>
            <b/>
            <sz val="9"/>
            <color indexed="81"/>
            <rFont val="Tahoma"/>
            <family val="2"/>
          </rPr>
          <t>Jay Wang:</t>
        </r>
        <r>
          <rPr>
            <sz val="9"/>
            <color indexed="81"/>
            <rFont val="Tahoma"/>
            <family val="2"/>
          </rPr>
          <t xml:space="preserve">
c/o Doerksen, Cynthia=5
c/o Baess, Jennifer=4.8
Albert, Carma=2
Philips, Snezana=5</t>
        </r>
      </text>
    </comment>
    <comment ref="DJ14" authorId="7">
      <text>
        <r>
          <rPr>
            <b/>
            <sz val="9"/>
            <color indexed="81"/>
            <rFont val="Tahoma"/>
            <family val="2"/>
          </rPr>
          <t>Jay Wang:</t>
        </r>
        <r>
          <rPr>
            <sz val="9"/>
            <color indexed="81"/>
            <rFont val="Tahoma"/>
            <family val="2"/>
          </rPr>
          <t xml:space="preserve">
c/o Doerksen, Cynthia = 3
c/o Clarke, Patricia = 5.47
c/o Baess, Jennifer = 1.4
c/o Philips, Snezana = 5</t>
        </r>
      </text>
    </comment>
    <comment ref="DK14" authorId="7">
      <text>
        <r>
          <rPr>
            <b/>
            <sz val="9"/>
            <color indexed="81"/>
            <rFont val="Tahoma"/>
            <family val="2"/>
          </rPr>
          <t>Jay Wang:</t>
        </r>
        <r>
          <rPr>
            <sz val="9"/>
            <color indexed="81"/>
            <rFont val="Tahoma"/>
            <family val="2"/>
          </rPr>
          <t xml:space="preserve">
Fraser, Nicole = 11
Lopez, Maria = 2
c/o Stefanyk, Doreen = 4.7
c/o Clarke, Patricia = 2.4
c/o Doerksen, Cynthia = 7</t>
        </r>
      </text>
    </comment>
    <comment ref="DL14" authorId="7">
      <text>
        <r>
          <rPr>
            <b/>
            <sz val="9"/>
            <color indexed="81"/>
            <rFont val="Tahoma"/>
            <family val="2"/>
          </rPr>
          <t>Jay Wang:</t>
        </r>
        <r>
          <rPr>
            <sz val="9"/>
            <color indexed="81"/>
            <rFont val="Tahoma"/>
            <family val="2"/>
          </rPr>
          <t xml:space="preserve">
Henricks, Tammy = 0 (Originally 3)
Rikh, Rita = 1
Hand, robin = 0 (Originally 1)
Snetsinger, Amanda = 0 (Originally 1)
Sieben, Sirocco = 2 (BCB)
Sharma, Priyanka = 1 (BCB)
c/o Doerksen, Cynthia = 7
c/o Salehzadah, Angeza = 16.7 (BCB)</t>
        </r>
      </text>
    </comment>
    <comment ref="DM14" authorId="7">
      <text>
        <r>
          <rPr>
            <b/>
            <sz val="9"/>
            <color indexed="81"/>
            <rFont val="Tahoma"/>
            <family val="2"/>
          </rPr>
          <t>Jay Wang:</t>
        </r>
        <r>
          <rPr>
            <sz val="9"/>
            <color indexed="81"/>
            <rFont val="Tahoma"/>
            <family val="2"/>
          </rPr>
          <t xml:space="preserve">
Benetton, Elizabeth = 6
c/o Doerksen, Cynthia = 6
c/o Henricks, Tammy = 0 (Originally 14.32)
c/o Havas, Mandy = 1
c/o Hand, Robin = 0 (Originally 2)
c/o Salehzadah, Angeza = 13.2 (BCB)
c/o Sieben, Sirocco = 2.4 (BCB)
</t>
        </r>
      </text>
    </comment>
    <comment ref="DN14" authorId="7">
      <text>
        <r>
          <rPr>
            <b/>
            <sz val="9"/>
            <color indexed="81"/>
            <rFont val="Tahoma"/>
            <family val="2"/>
          </rPr>
          <t>Jay Wang:</t>
        </r>
        <r>
          <rPr>
            <sz val="9"/>
            <color indexed="81"/>
            <rFont val="Tahoma"/>
            <family val="2"/>
          </rPr>
          <t xml:space="preserve">
c/o Doerksen, Cynthia = 7
c/o Sieben, Sirocco = 0.3 (BCB)</t>
        </r>
      </text>
    </comment>
    <comment ref="DO14" authorId="7">
      <text>
        <r>
          <rPr>
            <b/>
            <sz val="9"/>
            <color indexed="81"/>
            <rFont val="Tahoma"/>
            <family val="2"/>
          </rPr>
          <t>Jay Wang:</t>
        </r>
        <r>
          <rPr>
            <sz val="9"/>
            <color indexed="81"/>
            <rFont val="Tahoma"/>
            <family val="2"/>
          </rPr>
          <t xml:space="preserve">
Denis, Glen = 0 (Originally 1.7)</t>
        </r>
      </text>
    </comment>
    <comment ref="DP14" authorId="7">
      <text>
        <r>
          <rPr>
            <b/>
            <sz val="9"/>
            <color indexed="81"/>
            <rFont val="Tahoma"/>
            <family val="2"/>
          </rPr>
          <t>Jay Wang:</t>
        </r>
        <r>
          <rPr>
            <sz val="9"/>
            <color indexed="81"/>
            <rFont val="Tahoma"/>
            <family val="2"/>
          </rPr>
          <t xml:space="preserve">
Wilson, Jennifer = 6
Ballesteros, Marja = 10 (BCB)
Birtch, Christine = 0 (Originally 1)</t>
        </r>
      </text>
    </comment>
    <comment ref="DQ14" authorId="7">
      <text>
        <r>
          <rPr>
            <b/>
            <sz val="9"/>
            <color indexed="81"/>
            <rFont val="Tahoma"/>
            <family val="2"/>
          </rPr>
          <t>Jay Wang:</t>
        </r>
        <r>
          <rPr>
            <sz val="9"/>
            <color indexed="81"/>
            <rFont val="Tahoma"/>
            <family val="2"/>
          </rPr>
          <t xml:space="preserve">
Mallonga, Susan = 4
c/o Sim, Debbie = 11.67
c/o Press, Sharon = 2
Ouimet, Katherine = 5 (BCB)</t>
        </r>
      </text>
    </comment>
    <comment ref="DR14" authorId="7">
      <text>
        <r>
          <rPr>
            <b/>
            <sz val="9"/>
            <color indexed="81"/>
            <rFont val="Tahoma"/>
            <family val="2"/>
          </rPr>
          <t>Jay Wang:</t>
        </r>
        <r>
          <rPr>
            <sz val="9"/>
            <color indexed="81"/>
            <rFont val="Tahoma"/>
            <family val="2"/>
          </rPr>
          <t xml:space="preserve">
Cummer, Wendy = 0 (originally 0.5)
c/o Mallonga, Susan = 4
c/o Ouimet, Katherine = 13 (BCB)</t>
        </r>
      </text>
    </comment>
    <comment ref="DS14" authorId="7">
      <text>
        <r>
          <rPr>
            <b/>
            <sz val="9"/>
            <color indexed="81"/>
            <rFont val="Tahoma"/>
            <family val="2"/>
          </rPr>
          <t>Jay Wang:</t>
        </r>
        <r>
          <rPr>
            <sz val="9"/>
            <color indexed="81"/>
            <rFont val="Tahoma"/>
            <family val="2"/>
          </rPr>
          <t xml:space="preserve">
Miller, Carol = 2
Schiefke, Meagan = 0 (originally 4.2)
c/o Ouimet, Katherine = 6.3</t>
        </r>
      </text>
    </comment>
    <comment ref="DT14" authorId="7">
      <text>
        <r>
          <rPr>
            <b/>
            <sz val="9"/>
            <color indexed="81"/>
            <rFont val="Tahoma"/>
            <family val="2"/>
          </rPr>
          <t>Jay Wang:</t>
        </r>
        <r>
          <rPr>
            <sz val="9"/>
            <color indexed="81"/>
            <rFont val="Tahoma"/>
            <family val="2"/>
          </rPr>
          <t xml:space="preserve">
Testa, Anna Maria = 7.4
Chan, Jerry = 2</t>
        </r>
      </text>
    </comment>
    <comment ref="DU14" authorId="7">
      <text>
        <r>
          <rPr>
            <b/>
            <sz val="9"/>
            <color indexed="81"/>
            <rFont val="Tahoma"/>
            <family val="2"/>
          </rPr>
          <t xml:space="preserve">Jay Wang:
</t>
        </r>
        <r>
          <rPr>
            <sz val="9"/>
            <color indexed="81"/>
            <rFont val="Tahoma"/>
            <family val="2"/>
          </rPr>
          <t>Wong, Sarah = 2
c/o Testa, Anna Maria = 7.6
c/o Chan, Jerry = 3</t>
        </r>
      </text>
    </comment>
    <comment ref="DV14" authorId="7">
      <text>
        <r>
          <rPr>
            <b/>
            <sz val="9"/>
            <color indexed="81"/>
            <rFont val="Tahoma"/>
            <family val="2"/>
          </rPr>
          <t>Jay Wang:</t>
        </r>
        <r>
          <rPr>
            <sz val="9"/>
            <color indexed="81"/>
            <rFont val="Tahoma"/>
            <family val="2"/>
          </rPr>
          <t xml:space="preserve">
c/o Wargovcsik, Debbie = 0 (was originally 5)
c/o Wong, Sarah = 5
c/o Testa, Anna Maria (FBCB) = 5.6</t>
        </r>
      </text>
    </comment>
    <comment ref="DW14" authorId="7">
      <text>
        <r>
          <rPr>
            <b/>
            <sz val="9"/>
            <color indexed="81"/>
            <rFont val="Tahoma"/>
            <family val="2"/>
          </rPr>
          <t>Jay Wang:</t>
        </r>
        <r>
          <rPr>
            <sz val="9"/>
            <color indexed="81"/>
            <rFont val="Tahoma"/>
            <family val="2"/>
          </rPr>
          <t xml:space="preserve">
Pinlac, Ed = 0 (originally 5)
c/o Ouimet, Kellie (FBCB) = 2 </t>
        </r>
      </text>
    </comment>
    <comment ref="DX14" authorId="7">
      <text>
        <r>
          <rPr>
            <b/>
            <sz val="9"/>
            <color indexed="81"/>
            <rFont val="Tahoma"/>
            <family val="2"/>
          </rPr>
          <t>Jay Wang:</t>
        </r>
        <r>
          <rPr>
            <sz val="9"/>
            <color indexed="81"/>
            <rFont val="Tahoma"/>
            <family val="2"/>
          </rPr>
          <t xml:space="preserve">
Jones, Kelly = 0 (Originally 1)
Anderson, Sandra = 0 (Originally 1)
Doughty, Karen = 2
Foster-Hoppe, Kellie = 2
Munn, Cindy = 0 (Originally 1)</t>
        </r>
      </text>
    </comment>
    <comment ref="DY14" authorId="7">
      <text>
        <r>
          <rPr>
            <b/>
            <sz val="9"/>
            <color indexed="81"/>
            <rFont val="Tahoma"/>
            <family val="2"/>
          </rPr>
          <t>Jay Wang:</t>
        </r>
        <r>
          <rPr>
            <sz val="9"/>
            <color indexed="81"/>
            <rFont val="Tahoma"/>
            <family val="2"/>
          </rPr>
          <t xml:space="preserve">
c/o Foster-Hoppe, Kellie = 2.7</t>
        </r>
      </text>
    </comment>
    <comment ref="DZ14" authorId="7">
      <text>
        <r>
          <rPr>
            <b/>
            <sz val="9"/>
            <color indexed="81"/>
            <rFont val="Tahoma"/>
            <family val="2"/>
          </rPr>
          <t xml:space="preserve">Jay Wang:
</t>
        </r>
        <r>
          <rPr>
            <sz val="9"/>
            <color indexed="81"/>
            <rFont val="Tahoma"/>
            <family val="2"/>
          </rPr>
          <t>Patrick-Blackburn, Renee = 3
Smith, Christine = 18.4</t>
        </r>
      </text>
    </comment>
    <comment ref="EA14" authorId="7">
      <text>
        <r>
          <rPr>
            <b/>
            <sz val="9"/>
            <color indexed="81"/>
            <rFont val="Tahoma"/>
            <family val="2"/>
          </rPr>
          <t>Jay Wang:</t>
        </r>
        <r>
          <rPr>
            <sz val="9"/>
            <color indexed="81"/>
            <rFont val="Tahoma"/>
            <family val="2"/>
          </rPr>
          <t xml:space="preserve">
Foster-Hoppe, kellie = 0 (Originally 1)
c/o Smith, Christine = 0.4</t>
        </r>
      </text>
    </comment>
    <comment ref="EB14" authorId="7">
      <text>
        <r>
          <rPr>
            <b/>
            <sz val="9"/>
            <color indexed="81"/>
            <rFont val="Tahoma"/>
            <family val="2"/>
          </rPr>
          <t>Jay Wang:</t>
        </r>
        <r>
          <rPr>
            <sz val="9"/>
            <color indexed="81"/>
            <rFont val="Tahoma"/>
            <family val="2"/>
          </rPr>
          <t xml:space="preserve">
Richardson, Natalie = 8.8
Sieben, Sirocco = 3.4</t>
        </r>
      </text>
    </comment>
    <comment ref="EC14" authorId="7">
      <text>
        <r>
          <rPr>
            <b/>
            <sz val="9"/>
            <color indexed="81"/>
            <rFont val="Tahoma"/>
            <family val="2"/>
          </rPr>
          <t>Jay Wang:</t>
        </r>
        <r>
          <rPr>
            <sz val="9"/>
            <color indexed="81"/>
            <rFont val="Tahoma"/>
            <family val="2"/>
          </rPr>
          <t xml:space="preserve">
Johnson, Ashley = 11.8
c/o Richardson, Natalie = 0.2
c/o Sieben, Sirocco = 3.2</t>
        </r>
      </text>
    </comment>
    <comment ref="ED14" authorId="7">
      <text>
        <r>
          <rPr>
            <b/>
            <sz val="9"/>
            <color indexed="81"/>
            <rFont val="Tahoma"/>
            <family val="2"/>
          </rPr>
          <t>Jay Wang:</t>
        </r>
        <r>
          <rPr>
            <sz val="9"/>
            <color indexed="81"/>
            <rFont val="Tahoma"/>
            <family val="2"/>
          </rPr>
          <t xml:space="preserve">
Cheng, Viola = 9
De Guzman, Gina = 8
c/o Johnson, Ashley = 5.3
c/o Sieben, Sirocco = 0</t>
        </r>
      </text>
    </comment>
    <comment ref="EE14" authorId="7">
      <text>
        <r>
          <rPr>
            <b/>
            <sz val="9"/>
            <color indexed="81"/>
            <rFont val="Tahoma"/>
            <family val="2"/>
          </rPr>
          <t>Jay Wang:</t>
        </r>
        <r>
          <rPr>
            <sz val="9"/>
            <color indexed="81"/>
            <rFont val="Tahoma"/>
            <family val="2"/>
          </rPr>
          <t xml:space="preserve">
Lamb, Danae = 0 (Was originally 1.6)
c/o Johnson, Ashley = 0.1</t>
        </r>
      </text>
    </comment>
    <comment ref="EF14" authorId="7">
      <text>
        <r>
          <rPr>
            <b/>
            <sz val="9"/>
            <color indexed="81"/>
            <rFont val="Tahoma"/>
            <family val="2"/>
          </rPr>
          <t xml:space="preserve">Jay Wang:
</t>
        </r>
        <r>
          <rPr>
            <sz val="9"/>
            <color indexed="81"/>
            <rFont val="Tahoma"/>
            <family val="2"/>
          </rPr>
          <t xml:space="preserve">Hyun, Seung = 3.1
Hutchinson, Jessica = 0 (Was originally 4)
Pratap, Tracy = 0 (Was originally 2.5)
Zaharoff, Colleen = 7.5
c/o Johnson, Ashley = 4.2
c/o Sieben, Sirocco = 0 (Was originally 3.9)
c/o Lamb, Dannae = 0 (Was originally 10.7) </t>
        </r>
      </text>
    </comment>
    <comment ref="EG14" authorId="7">
      <text>
        <r>
          <rPr>
            <b/>
            <sz val="9"/>
            <color indexed="81"/>
            <rFont val="Tahoma"/>
            <family val="2"/>
          </rPr>
          <t>Jay Wang:</t>
        </r>
        <r>
          <rPr>
            <sz val="9"/>
            <color indexed="81"/>
            <rFont val="Tahoma"/>
            <family val="2"/>
          </rPr>
          <t xml:space="preserve">
Tabata, Kelly = 9.6
Fesharaki, Hamila = 0 (Originally 4.9)
Gray, Trista = 0.7
Rous, Roberto = 0 (Was originally 2.8)
Burleson, Deborah = 0.7
c/o Zaharoff, Colleen = 4.6
c/o Sieben, Sirocco = 0 (Was originally 3.5)
Founger, Lauren = 1
Campbell, Colleen = 0 (Originally 0.06)
</t>
        </r>
      </text>
    </comment>
    <comment ref="EH14" authorId="7">
      <text>
        <r>
          <rPr>
            <b/>
            <sz val="9"/>
            <color indexed="81"/>
            <rFont val="Tahoma"/>
            <family val="2"/>
          </rPr>
          <t>Jay Wang:</t>
        </r>
        <r>
          <rPr>
            <sz val="9"/>
            <color indexed="81"/>
            <rFont val="Tahoma"/>
            <family val="2"/>
          </rPr>
          <t xml:space="preserve">
c/o Burleson, Deborah = 9.1
c/o Campbell, Colleen = 0 (Originally 0.5)
c/o Fesharaki, Hamila = 0.7(denied)
c/o Sieben, Sirocco = 0 (Orignally 1.7)
Nutt, Ramandeep = 2</t>
        </r>
      </text>
    </comment>
    <comment ref="EI14" authorId="7">
      <text>
        <r>
          <rPr>
            <b/>
            <sz val="9"/>
            <color indexed="81"/>
            <rFont val="Tahoma"/>
            <family val="2"/>
          </rPr>
          <t>Jay Wang:</t>
        </r>
        <r>
          <rPr>
            <sz val="9"/>
            <color indexed="81"/>
            <rFont val="Tahoma"/>
            <family val="2"/>
          </rPr>
          <t xml:space="preserve">
Driemel, Leah = 9.4
Jones, Sharon = 8.9
Mann, Puneet = 0.5 (Withdrawn)
c/o Nutt, Ramandeep = 14
c/o Burleson, Deborah = 6
c/o Fesharaki, Hamila = 2.9 (denied)
c/o Busby, Patricia=7.8 
c/o White, Tracey = 14
     </t>
        </r>
      </text>
    </comment>
    <comment ref="EJ14" authorId="8">
      <text>
        <r>
          <rPr>
            <b/>
            <sz val="9"/>
            <color indexed="81"/>
            <rFont val="Tahoma"/>
            <family val="2"/>
          </rPr>
          <t>Varga, Nancy:</t>
        </r>
        <r>
          <rPr>
            <sz val="9"/>
            <color indexed="81"/>
            <rFont val="Tahoma"/>
            <family val="2"/>
          </rPr>
          <t xml:space="preserve">
Blair, Morgan = 0.67
Munro, Rima = 0.64
Sun, Jie = 1 (Withdrawn)
c/o Burleson, Deborah = 4.7
c/o White, Tracey = 5.3
c/o Nutt, Ramandeep = 14.6
c/o Busby, Patricia = 14.1
c/o Driemel, Leah = 13.9</t>
        </r>
      </text>
    </comment>
    <comment ref="EK14" authorId="8">
      <text>
        <r>
          <rPr>
            <b/>
            <sz val="9"/>
            <color indexed="81"/>
            <rFont val="Tahoma"/>
            <family val="2"/>
          </rPr>
          <t>Varga, Nancy:</t>
        </r>
        <r>
          <rPr>
            <sz val="9"/>
            <color indexed="81"/>
            <rFont val="Tahoma"/>
            <family val="2"/>
          </rPr>
          <t xml:space="preserve">
Fuerte-Du, Marilou = 1 (withdrawn)
Chou, Debbie = 2 (withdrawn)
Kwiatkowski, Julie = 4
c/o Burleson, Deborah = 2.84
c/o Busby, Patricia = 4
c/o Driemel, Leah = 1.06
c/o Munro, Rima = 13.6
c/o White, Tracey = 4.06</t>
        </r>
      </text>
    </comment>
    <comment ref="EL14" authorId="8">
      <text>
        <r>
          <rPr>
            <b/>
            <sz val="9"/>
            <color indexed="81"/>
            <rFont val="Tahoma"/>
            <family val="2"/>
          </rPr>
          <t>Varga, Nancy:</t>
        </r>
        <r>
          <rPr>
            <sz val="9"/>
            <color indexed="81"/>
            <rFont val="Tahoma"/>
            <family val="2"/>
          </rPr>
          <t xml:space="preserve">
Shen, June = 9 **Removed
Foreman, Sarah = 1   **Removed
Recalde, Jannette = 1  **Removed
Orcullo, Marcos = 1.25  **Removed
c/o Driemel, Leah = 3.75
c/o Munro, Rima = 12.2
**Removed 82.5 hours</t>
        </r>
      </text>
    </comment>
    <comment ref="EM14" authorId="8">
      <text>
        <r>
          <rPr>
            <b/>
            <sz val="9"/>
            <color indexed="81"/>
            <rFont val="Tahoma"/>
            <family val="2"/>
          </rPr>
          <t>Varga, Nancy:</t>
        </r>
        <r>
          <rPr>
            <sz val="9"/>
            <color indexed="81"/>
            <rFont val="Tahoma"/>
            <family val="2"/>
          </rPr>
          <t xml:space="preserve">
c/o Driemel, Leah - 4.26
c/o Munro, Rima - 13.6
c/o Shen, June - 16 (DENIED)
Cheema, Pardeep - 10.67 (DENIED)
Munif, Rukhsaar - 1.55 (ACCEPTED FOR HC ONLY)**lt REMOVED
Vanrossum, Janice-1
**REMOVED 131.625 HOURS 
</t>
        </r>
      </text>
    </comment>
    <comment ref="EN14" authorId="9">
      <text>
        <r>
          <rPr>
            <b/>
            <sz val="9"/>
            <color indexed="81"/>
            <rFont val="Tahoma"/>
            <family val="2"/>
          </rPr>
          <t xml:space="preserve">Hun, Riley:
</t>
        </r>
        <r>
          <rPr>
            <sz val="9"/>
            <color indexed="81"/>
            <rFont val="Tahoma"/>
            <family val="2"/>
          </rPr>
          <t>c/o Cheema, Pardeep-15.47 (Denied) **Removed</t>
        </r>
        <r>
          <rPr>
            <b/>
            <sz val="9"/>
            <color indexed="81"/>
            <rFont val="Tahoma"/>
            <family val="2"/>
          </rPr>
          <t xml:space="preserve">
</t>
        </r>
        <r>
          <rPr>
            <sz val="9"/>
            <color indexed="81"/>
            <rFont val="Tahoma"/>
            <family val="2"/>
          </rPr>
          <t>c/o Driemel, Leah-5.33
c/o Munro, Rima-13.44
c/o Vanrossum, Janice-3.93</t>
        </r>
        <r>
          <rPr>
            <b/>
            <sz val="9"/>
            <color indexed="81"/>
            <rFont val="Tahoma"/>
            <family val="2"/>
          </rPr>
          <t xml:space="preserve">
</t>
        </r>
        <r>
          <rPr>
            <sz val="9"/>
            <color indexed="81"/>
            <rFont val="Tahoma"/>
            <family val="2"/>
          </rPr>
          <t>Bhaghar, Prabhjot - 1.53</t>
        </r>
        <r>
          <rPr>
            <b/>
            <sz val="9"/>
            <color indexed="81"/>
            <rFont val="Tahoma"/>
            <family val="2"/>
          </rPr>
          <t xml:space="preserve">
</t>
        </r>
        <r>
          <rPr>
            <sz val="9"/>
            <color indexed="81"/>
            <rFont val="Tahoma"/>
            <family val="2"/>
          </rPr>
          <t xml:space="preserve">Hamblin, Dawn - 1 ** Removed
Havas, Mandy - 0.87
Herbert, Susan - 4
Makara, Mary - 0.87
Reynolds, Rose - 1  (DENIED)
Sumner, Sharon-1 (DENIED LOST TIME)
</t>
        </r>
      </text>
    </comment>
    <comment ref="EO14" authorId="9">
      <text>
        <r>
          <rPr>
            <b/>
            <sz val="9"/>
            <color indexed="81"/>
            <rFont val="Tahoma"/>
            <family val="2"/>
          </rPr>
          <t>Hun, Riley:</t>
        </r>
        <r>
          <rPr>
            <sz val="9"/>
            <color indexed="81"/>
            <rFont val="Tahoma"/>
            <family val="2"/>
          </rPr>
          <t xml:space="preserve">
c/o Cheema, Pardeep-13.06 (Denied)**Removed
c/o Havas, Mandy-1.06
c/o Herbert, Susan-15.33
c/o Munro, Rima-14.08
c/o Vanrossum, Janice-1.06
Haddadizonoz, Massomeh-1
Hogendoorn, Bernice-1
Leung, Hang Yin-8.17 (DENIED)
Plante, Katie-0.53
Russbueldt, Lynda-2
Temirov, Ekaterina-5.73 (Denied)
Williams, Christine-3
</t>
        </r>
      </text>
    </comment>
    <comment ref="EP14" authorId="10">
      <text>
        <r>
          <rPr>
            <b/>
            <sz val="9"/>
            <color indexed="81"/>
            <rFont val="Tahoma"/>
            <family val="2"/>
          </rPr>
          <t>Maguire, Karis:</t>
        </r>
        <r>
          <rPr>
            <sz val="9"/>
            <color indexed="81"/>
            <rFont val="Tahoma"/>
            <family val="2"/>
          </rPr>
          <t xml:space="preserve">
Driemel, Leah 8.53
c/o Munro, Rima 14.08
c/o Haddadizonoz, Massomeh 1
c/o Plante, Katie 6.72
c/o Leung, Hang Yni (Denied)
Bhullar, Balbir Singh 4 (Denied) **Removed
Godin, Evelyn 0.66 (Withdrawn) **Removed
Jones, Laureen 14 (Denied) *Removed
Sutton, Kassandra 1 (Withdrawn) **Removed
Tiongson, Myrna 9.33(Denied) *Removed</t>
        </r>
      </text>
    </comment>
    <comment ref="EQ14" authorId="10">
      <text>
        <r>
          <rPr>
            <b/>
            <sz val="9"/>
            <color indexed="81"/>
            <rFont val="Tahoma"/>
            <family val="2"/>
          </rPr>
          <t>Maguire, Karis:</t>
        </r>
        <r>
          <rPr>
            <sz val="9"/>
            <color indexed="81"/>
            <rFont val="Tahoma"/>
            <family val="2"/>
          </rPr>
          <t xml:space="preserve">
Driemel, Leah c/o 5.2
Munro, Rima c/o 13.33
Plante, katie c/o 3.97
Porter, Rachel 2.4
Korisanszky, Jennifer 5.26</t>
        </r>
      </text>
    </comment>
    <comment ref="Y15" authorId="11">
      <text>
        <r>
          <rPr>
            <b/>
            <sz val="8"/>
            <color indexed="81"/>
            <rFont val="Tahoma"/>
            <family val="2"/>
          </rPr>
          <t>MDS USER:</t>
        </r>
        <r>
          <rPr>
            <sz val="8"/>
            <color indexed="81"/>
            <rFont val="Tahoma"/>
            <family val="2"/>
          </rPr>
          <t xml:space="preserve">
estimated hours ONLY</t>
        </r>
      </text>
    </comment>
    <comment ref="AE18" authorId="11">
      <text>
        <r>
          <rPr>
            <b/>
            <sz val="8"/>
            <color indexed="81"/>
            <rFont val="Tahoma"/>
            <family val="2"/>
          </rPr>
          <t>MDS USER:</t>
        </r>
        <r>
          <rPr>
            <sz val="8"/>
            <color indexed="81"/>
            <rFont val="Tahoma"/>
            <family val="2"/>
          </rPr>
          <t xml:space="preserve">
9.5 carry over days</t>
        </r>
      </text>
    </comment>
    <comment ref="AM18" authorId="12">
      <text>
        <r>
          <rPr>
            <b/>
            <sz val="8"/>
            <color indexed="81"/>
            <rFont val="Tahoma"/>
            <family val="2"/>
          </rPr>
          <t>ECabral:</t>
        </r>
        <r>
          <rPr>
            <sz val="8"/>
            <color indexed="81"/>
            <rFont val="Tahoma"/>
            <family val="2"/>
          </rPr>
          <t xml:space="preserve">
13.2 days carry over</t>
        </r>
      </text>
    </comment>
    <comment ref="AN18" authorId="12">
      <text>
        <r>
          <rPr>
            <b/>
            <sz val="8"/>
            <color indexed="81"/>
            <rFont val="Tahoma"/>
            <family val="2"/>
          </rPr>
          <t>ECabral:</t>
        </r>
        <r>
          <rPr>
            <sz val="8"/>
            <color indexed="81"/>
            <rFont val="Tahoma"/>
            <family val="2"/>
          </rPr>
          <t xml:space="preserve">
16.1 carry over days</t>
        </r>
      </text>
    </comment>
    <comment ref="CQ21" authorId="6">
      <text>
        <r>
          <rPr>
            <sz val="9"/>
            <color indexed="81"/>
            <rFont val="Tahoma"/>
            <family val="2"/>
          </rPr>
          <t>Cloutier, V - LT</t>
        </r>
      </text>
    </comment>
    <comment ref="CY21" authorId="7">
      <text>
        <r>
          <rPr>
            <b/>
            <sz val="9"/>
            <color indexed="81"/>
            <rFont val="Tahoma"/>
            <family val="2"/>
          </rPr>
          <t>Jay Wang:</t>
        </r>
        <r>
          <rPr>
            <sz val="9"/>
            <color indexed="81"/>
            <rFont val="Tahoma"/>
            <family val="2"/>
          </rPr>
          <t xml:space="preserve">
MT: Gizas, Christos</t>
        </r>
      </text>
    </comment>
    <comment ref="CQ22" authorId="6">
      <text>
        <r>
          <rPr>
            <sz val="9"/>
            <color indexed="81"/>
            <rFont val="Tahoma"/>
            <family val="2"/>
          </rPr>
          <t>Cloutier, V: 2 days</t>
        </r>
      </text>
    </comment>
    <comment ref="CR22" authorId="4">
      <text>
        <r>
          <rPr>
            <b/>
            <sz val="8"/>
            <color indexed="81"/>
            <rFont val="Tahoma"/>
            <family val="2"/>
          </rPr>
          <t>Anceriz, Julie:</t>
        </r>
        <r>
          <rPr>
            <sz val="8"/>
            <color indexed="81"/>
            <rFont val="Tahoma"/>
            <family val="2"/>
          </rPr>
          <t xml:space="preserve">
c/o: Cloutier, Vincent: 1.8</t>
        </r>
      </text>
    </comment>
    <comment ref="CS22" authorId="4">
      <text>
        <r>
          <rPr>
            <b/>
            <sz val="8"/>
            <color indexed="81"/>
            <rFont val="Tahoma"/>
            <family val="2"/>
          </rPr>
          <t>Anceriz, Julie:</t>
        </r>
        <r>
          <rPr>
            <sz val="8"/>
            <color indexed="81"/>
            <rFont val="Tahoma"/>
            <family val="2"/>
          </rPr>
          <t xml:space="preserve">
c/o: Cloutier, Vincent = 3</t>
        </r>
      </text>
    </comment>
    <comment ref="CT22" authorId="7">
      <text>
        <r>
          <rPr>
            <b/>
            <sz val="9"/>
            <color indexed="81"/>
            <rFont val="Tahoma"/>
            <family val="2"/>
          </rPr>
          <t>Jay Wang:</t>
        </r>
        <r>
          <rPr>
            <sz val="9"/>
            <color indexed="81"/>
            <rFont val="Tahoma"/>
            <family val="2"/>
          </rPr>
          <t xml:space="preserve">
c/o Cloutier, Vincent=4</t>
        </r>
      </text>
    </comment>
    <comment ref="CU22" authorId="7">
      <text>
        <r>
          <rPr>
            <b/>
            <sz val="9"/>
            <color indexed="81"/>
            <rFont val="Tahoma"/>
            <family val="2"/>
          </rPr>
          <t>Jay Wang:</t>
        </r>
        <r>
          <rPr>
            <sz val="9"/>
            <color indexed="81"/>
            <rFont val="Tahoma"/>
            <family val="2"/>
          </rPr>
          <t xml:space="preserve">
c/o Cloutier, Vincent=4</t>
        </r>
      </text>
    </comment>
  </commentList>
</comments>
</file>

<file path=xl/comments3.xml><?xml version="1.0" encoding="utf-8"?>
<comments xmlns="http://schemas.openxmlformats.org/spreadsheetml/2006/main">
  <authors>
    <author>Jay Wang</author>
  </authors>
  <commentList>
    <comment ref="AR5" authorId="0">
      <text>
        <r>
          <rPr>
            <b/>
            <sz val="9"/>
            <color indexed="81"/>
            <rFont val="Tahoma"/>
            <family val="2"/>
          </rPr>
          <t>Jay Wang:</t>
        </r>
        <r>
          <rPr>
            <sz val="9"/>
            <color indexed="81"/>
            <rFont val="Tahoma"/>
            <family val="2"/>
          </rPr>
          <t xml:space="preserve">
FCML: 2</t>
        </r>
      </text>
    </comment>
    <comment ref="AS5" authorId="0">
      <text>
        <r>
          <rPr>
            <b/>
            <sz val="9"/>
            <color indexed="81"/>
            <rFont val="Tahoma"/>
            <family val="2"/>
          </rPr>
          <t>Jay Wang:</t>
        </r>
        <r>
          <rPr>
            <sz val="9"/>
            <color indexed="81"/>
            <rFont val="Tahoma"/>
            <family val="2"/>
          </rPr>
          <t xml:space="preserve">
FCML: 4</t>
        </r>
      </text>
    </comment>
    <comment ref="AU5" authorId="0">
      <text>
        <r>
          <rPr>
            <b/>
            <sz val="9"/>
            <color indexed="81"/>
            <rFont val="Tahoma"/>
            <family val="2"/>
          </rPr>
          <t>Jay Wang:</t>
        </r>
        <r>
          <rPr>
            <sz val="9"/>
            <color indexed="81"/>
            <rFont val="Tahoma"/>
            <family val="2"/>
          </rPr>
          <t xml:space="preserve">
FCML: 1 (C#6118)</t>
        </r>
      </text>
    </comment>
    <comment ref="AW5" authorId="0">
      <text>
        <r>
          <rPr>
            <b/>
            <sz val="9"/>
            <color indexed="81"/>
            <rFont val="Tahoma"/>
            <family val="2"/>
          </rPr>
          <t>Jay Wang:</t>
        </r>
        <r>
          <rPr>
            <sz val="9"/>
            <color indexed="81"/>
            <rFont val="Tahoma"/>
            <family val="2"/>
          </rPr>
          <t xml:space="preserve">
FCML:2</t>
        </r>
      </text>
    </comment>
    <comment ref="AI10" authorId="0">
      <text>
        <r>
          <rPr>
            <b/>
            <sz val="9"/>
            <color indexed="81"/>
            <rFont val="Tahoma"/>
            <family val="2"/>
          </rPr>
          <t>Jay Wang:</t>
        </r>
        <r>
          <rPr>
            <sz val="9"/>
            <color indexed="81"/>
            <rFont val="Tahoma"/>
            <family val="2"/>
          </rPr>
          <t xml:space="preserve">
FBCB: 2</t>
        </r>
      </text>
    </comment>
    <comment ref="AJ10" authorId="0">
      <text>
        <r>
          <rPr>
            <b/>
            <sz val="9"/>
            <color indexed="81"/>
            <rFont val="Tahoma"/>
            <family val="2"/>
          </rPr>
          <t>Jay Wang:</t>
        </r>
        <r>
          <rPr>
            <sz val="9"/>
            <color indexed="81"/>
            <rFont val="Tahoma"/>
            <family val="2"/>
          </rPr>
          <t xml:space="preserve">
FBCB: 2</t>
        </r>
      </text>
    </comment>
    <comment ref="AM10" authorId="0">
      <text>
        <r>
          <rPr>
            <b/>
            <sz val="9"/>
            <color indexed="81"/>
            <rFont val="Tahoma"/>
            <family val="2"/>
          </rPr>
          <t>Jay Wang:</t>
        </r>
        <r>
          <rPr>
            <sz val="9"/>
            <color indexed="81"/>
            <rFont val="Tahoma"/>
            <family val="2"/>
          </rPr>
          <t xml:space="preserve">
FBCB: 1</t>
        </r>
      </text>
    </comment>
    <comment ref="AN10" authorId="0">
      <text>
        <r>
          <rPr>
            <b/>
            <sz val="9"/>
            <color indexed="81"/>
            <rFont val="Tahoma"/>
            <family val="2"/>
          </rPr>
          <t>Jay Wang:</t>
        </r>
        <r>
          <rPr>
            <sz val="9"/>
            <color indexed="81"/>
            <rFont val="Tahoma"/>
            <family val="2"/>
          </rPr>
          <t xml:space="preserve">
FBCB: 1</t>
        </r>
      </text>
    </comment>
    <comment ref="AO10" authorId="0">
      <text>
        <r>
          <rPr>
            <b/>
            <sz val="9"/>
            <color indexed="81"/>
            <rFont val="Tahoma"/>
            <family val="2"/>
          </rPr>
          <t>Jay Wang:</t>
        </r>
        <r>
          <rPr>
            <sz val="9"/>
            <color indexed="81"/>
            <rFont val="Tahoma"/>
            <family val="2"/>
          </rPr>
          <t xml:space="preserve">
FBCB: 5</t>
        </r>
      </text>
    </comment>
    <comment ref="AT26" authorId="0">
      <text>
        <r>
          <rPr>
            <b/>
            <sz val="9"/>
            <color indexed="81"/>
            <rFont val="Tahoma"/>
            <family val="2"/>
          </rPr>
          <t>Jay Wang:</t>
        </r>
        <r>
          <rPr>
            <sz val="9"/>
            <color indexed="81"/>
            <rFont val="Tahoma"/>
            <family val="2"/>
          </rPr>
          <t xml:space="preserve">
FCML: 2</t>
        </r>
      </text>
    </comment>
    <comment ref="AX26" authorId="0">
      <text>
        <r>
          <rPr>
            <b/>
            <sz val="9"/>
            <color indexed="81"/>
            <rFont val="Tahoma"/>
            <family val="2"/>
          </rPr>
          <t>Jay Wang:</t>
        </r>
        <r>
          <rPr>
            <sz val="9"/>
            <color indexed="81"/>
            <rFont val="Tahoma"/>
            <family val="2"/>
          </rPr>
          <t xml:space="preserve">
FCML: 1</t>
        </r>
      </text>
    </comment>
  </commentList>
</comments>
</file>

<file path=xl/comments4.xml><?xml version="1.0" encoding="utf-8"?>
<comments xmlns="http://schemas.openxmlformats.org/spreadsheetml/2006/main">
  <authors>
    <author>Hun, Riley</author>
  </authors>
  <commentList>
    <comment ref="Q7" authorId="0">
      <text>
        <r>
          <rPr>
            <b/>
            <sz val="9"/>
            <color indexed="81"/>
            <rFont val="Tahoma"/>
            <family val="2"/>
          </rPr>
          <t xml:space="preserve">Root Cause: </t>
        </r>
        <r>
          <rPr>
            <sz val="9"/>
            <color indexed="81"/>
            <rFont val="Tahoma"/>
            <family val="2"/>
          </rPr>
          <t xml:space="preserve">Treatment tank level control was stuck, causing the unit to go into overflow. 
</t>
        </r>
        <r>
          <rPr>
            <b/>
            <sz val="9"/>
            <color indexed="81"/>
            <rFont val="Tahoma"/>
            <family val="2"/>
          </rPr>
          <t xml:space="preserve">Corrective Action: </t>
        </r>
        <r>
          <rPr>
            <sz val="9"/>
            <color indexed="81"/>
            <rFont val="Tahoma"/>
            <family val="2"/>
          </rPr>
          <t xml:space="preserve">Cleaned out floats and checked that operation was in good standing. Replaced cooling filters and completed PM tasks. </t>
        </r>
        <r>
          <rPr>
            <b/>
            <sz val="9"/>
            <color indexed="81"/>
            <rFont val="Tahoma"/>
            <family val="2"/>
          </rPr>
          <t xml:space="preserve"> </t>
        </r>
      </text>
    </comment>
    <comment ref="S7" authorId="0">
      <text>
        <r>
          <rPr>
            <b/>
            <sz val="9"/>
            <color indexed="81"/>
            <rFont val="Shonar Bangla"/>
            <family val="2"/>
          </rPr>
          <t>Root Cause:</t>
        </r>
        <r>
          <rPr>
            <sz val="9"/>
            <color indexed="81"/>
            <rFont val="Shonar Bangla"/>
            <family val="2"/>
          </rPr>
          <t xml:space="preserve"> Holding tank level control was stuck, causing the unit to go into overflow. 
</t>
        </r>
        <r>
          <rPr>
            <b/>
            <sz val="9"/>
            <color indexed="81"/>
            <rFont val="Shonar Bangla"/>
            <family val="2"/>
          </rPr>
          <t xml:space="preserve">Corrective Action: </t>
        </r>
        <r>
          <rPr>
            <sz val="9"/>
            <color indexed="81"/>
            <rFont val="Shonar Bangla"/>
            <family val="2"/>
          </rPr>
          <t xml:space="preserve">Cleaned out floats and checked that operation was in good standing. Replaced cooling filters and completed PM tasks.
</t>
        </r>
      </text>
    </comment>
  </commentList>
</comments>
</file>

<file path=xl/sharedStrings.xml><?xml version="1.0" encoding="utf-8"?>
<sst xmlns="http://schemas.openxmlformats.org/spreadsheetml/2006/main" count="2972" uniqueCount="497">
  <si>
    <t>Year</t>
  </si>
  <si>
    <t>Quarter</t>
  </si>
  <si>
    <t>Month</t>
  </si>
  <si>
    <t>IRL</t>
  </si>
  <si>
    <t>FY2006</t>
  </si>
  <si>
    <t>Compacted Waste</t>
  </si>
  <si>
    <t>Cardboard Recycling</t>
  </si>
  <si>
    <t>Mixed Recycling</t>
  </si>
  <si>
    <t>Biohazardous Waste</t>
  </si>
  <si>
    <t>Shred-IT</t>
  </si>
  <si>
    <t>Other Special Waste</t>
  </si>
  <si>
    <t>Waste to Landfill</t>
  </si>
  <si>
    <t>Q2</t>
  </si>
  <si>
    <t>Q3</t>
  </si>
  <si>
    <t>Q4</t>
  </si>
  <si>
    <t>Q1</t>
  </si>
  <si>
    <t>FY2007</t>
  </si>
  <si>
    <t>FY2008</t>
  </si>
  <si>
    <t>FY2009</t>
  </si>
  <si>
    <t>FY2010</t>
  </si>
  <si>
    <t>FY2011</t>
  </si>
  <si>
    <t>FY2012</t>
  </si>
  <si>
    <t>Distance from Target</t>
  </si>
  <si>
    <t>Rolling Average</t>
  </si>
  <si>
    <t>BRL</t>
  </si>
  <si>
    <t>Organics/Compost</t>
  </si>
  <si>
    <t>Total Recycling</t>
  </si>
  <si>
    <t>Belleville</t>
  </si>
  <si>
    <t>IRL + BRL</t>
  </si>
  <si>
    <t xml:space="preserve">Total </t>
  </si>
  <si>
    <t>Total</t>
  </si>
  <si>
    <t>Data</t>
  </si>
  <si>
    <t>Sum of Organics/Compost</t>
  </si>
  <si>
    <t>Sum of Biohazardous Waste</t>
  </si>
  <si>
    <t>Sum of Shred-IT</t>
  </si>
  <si>
    <t>Sum of Total Recycling</t>
  </si>
  <si>
    <t>FY2009 Total</t>
  </si>
  <si>
    <t>FY2010 Total</t>
  </si>
  <si>
    <t>FY2011 Total</t>
  </si>
  <si>
    <t>Sum of Waste to Landfill</t>
  </si>
  <si>
    <t>Location</t>
  </si>
  <si>
    <t>Province</t>
  </si>
  <si>
    <t>ON</t>
  </si>
  <si>
    <t>BC</t>
  </si>
  <si>
    <t>St Catharines</t>
  </si>
  <si>
    <t>Solid Waste</t>
  </si>
  <si>
    <t>Sum of Solid Waste</t>
  </si>
  <si>
    <t>FY 2009</t>
  </si>
  <si>
    <t>Organics</t>
  </si>
  <si>
    <t>Percentage from 2009</t>
  </si>
  <si>
    <t>IRL+BRL</t>
  </si>
  <si>
    <t>% of waste to landfill</t>
  </si>
  <si>
    <t>% of Waste to landfill</t>
  </si>
  <si>
    <t>Grand Total</t>
  </si>
  <si>
    <t>FY2012 Total</t>
  </si>
  <si>
    <t>Average of % of waste to landfill</t>
  </si>
  <si>
    <t>FY2013</t>
  </si>
  <si>
    <t>Rolling average</t>
  </si>
  <si>
    <t>FY2012 - YTD</t>
  </si>
  <si>
    <t>Test Volume</t>
  </si>
  <si>
    <t>Rolling average (solid waste)</t>
  </si>
  <si>
    <t>Rolling average (Shred-IT)</t>
  </si>
  <si>
    <t>Rolling average (Cardboard Recycling)</t>
  </si>
  <si>
    <t>Rolling average (Mixed Recycling)</t>
  </si>
  <si>
    <t>Rolling average (Organics/Compost)</t>
  </si>
  <si>
    <t>Shred-IT / Iron Mountain</t>
  </si>
  <si>
    <t>National</t>
  </si>
  <si>
    <t>% Waste Diverted 
from Landfill</t>
  </si>
  <si>
    <t>% Recycling</t>
  </si>
  <si>
    <t>% Hazardous 
Waste</t>
  </si>
  <si>
    <t>St Cath</t>
  </si>
  <si>
    <t>% Waste Diverted From Landfill</t>
  </si>
  <si>
    <t>Sept</t>
  </si>
  <si>
    <t xml:space="preserve">Cell Link: </t>
  </si>
  <si>
    <t>GRI Standard Disclosures Index</t>
  </si>
  <si>
    <t>EN1</t>
  </si>
  <si>
    <t>Materials Used by Weight or Volume</t>
  </si>
  <si>
    <t>EN3</t>
  </si>
  <si>
    <t>EN4</t>
  </si>
  <si>
    <t>Energy Consumption Within the Organization</t>
  </si>
  <si>
    <t>Energy Consumption Outside the Organization</t>
  </si>
  <si>
    <t>EN5</t>
  </si>
  <si>
    <t>Energy Intensity</t>
  </si>
  <si>
    <t>EN6</t>
  </si>
  <si>
    <t>Reduction of Energy Consumption</t>
  </si>
  <si>
    <t>EN8</t>
  </si>
  <si>
    <t>Total Water Withdrawal By Source</t>
  </si>
  <si>
    <t>EN15</t>
  </si>
  <si>
    <t>Direct Greenhouse Gas (GHG) Emissions (Scope 1)</t>
  </si>
  <si>
    <t>EN16</t>
  </si>
  <si>
    <t>Energy Indirect Greenhouse Gas (GHG) Emissions (Scope 2)</t>
  </si>
  <si>
    <t>EN17</t>
  </si>
  <si>
    <t>Other Indirect Greenhouse Gas</t>
  </si>
  <si>
    <t>EN18</t>
  </si>
  <si>
    <t>Greenhouse Gas (GHG) Emissions Intensity</t>
  </si>
  <si>
    <t>EN19</t>
  </si>
  <si>
    <t>Reduction of Greenhouse Gas (GHG) Emissions</t>
  </si>
  <si>
    <t>EN21</t>
  </si>
  <si>
    <t>Nox, Sox, and Other Significant Air Emissions</t>
  </si>
  <si>
    <t>EN23</t>
  </si>
  <si>
    <t>Total Weight of Waste by Type and Disposal Method</t>
  </si>
  <si>
    <t>EN24</t>
  </si>
  <si>
    <t>Total Number and Volume of Significant Spills</t>
  </si>
  <si>
    <t>EN25</t>
  </si>
  <si>
    <t xml:space="preserve">Weight of Transported, Imported, Exported, or Treated Waste Deemed Hazardous </t>
  </si>
  <si>
    <t>EN29</t>
  </si>
  <si>
    <t>Monetary Value of Significant Fines and Total Number of Non-Monetary Sanctions for Non-Compliance</t>
  </si>
  <si>
    <t>EN31</t>
  </si>
  <si>
    <t>Total Environmental Protection Expenditures and Investments by Type</t>
  </si>
  <si>
    <t>LA6</t>
  </si>
  <si>
    <t>Type of Injury and Rates of Injury, Lost Days by Region and Gender</t>
  </si>
  <si>
    <t>LA7</t>
  </si>
  <si>
    <t>Workers with High Incidence of Increased Risk</t>
  </si>
  <si>
    <t xml:space="preserve">Description </t>
  </si>
  <si>
    <t>Disclosure</t>
  </si>
  <si>
    <t>Requirements</t>
  </si>
  <si>
    <t>Waste Data</t>
  </si>
  <si>
    <t>% of National Waste Diverted from Landfill</t>
  </si>
  <si>
    <t>Organics Compost</t>
  </si>
  <si>
    <t>Date</t>
  </si>
  <si>
    <t>Row Labels</t>
  </si>
  <si>
    <t>(All)</t>
  </si>
  <si>
    <t>Ontario</t>
  </si>
  <si>
    <t>British Columbia</t>
  </si>
  <si>
    <t>Category</t>
  </si>
  <si>
    <t>Weight</t>
  </si>
  <si>
    <t>Sum of Weight</t>
  </si>
  <si>
    <t>[x]</t>
  </si>
  <si>
    <t>FY10</t>
  </si>
  <si>
    <t>FY11</t>
  </si>
  <si>
    <t>QC DATA</t>
  </si>
  <si>
    <t>Patient Volumes</t>
  </si>
  <si>
    <t>Hours Worked</t>
  </si>
  <si>
    <t>Butterfly Needlesticks</t>
  </si>
  <si>
    <t>Conventional Needlesticks</t>
  </si>
  <si>
    <t>Needlesticks/ 1 million patients</t>
  </si>
  <si>
    <t>Rolling</t>
  </si>
  <si>
    <t>Ergonomics</t>
  </si>
  <si>
    <t>Ergonomics/ 100 FTE</t>
  </si>
  <si>
    <t>STF</t>
  </si>
  <si>
    <t>STF/ 100 FTE</t>
  </si>
  <si>
    <t>BBF Exposure</t>
  </si>
  <si>
    <t>Chemical Exposure</t>
  </si>
  <si>
    <t>Exposures/ 100 FTE</t>
  </si>
  <si>
    <t>BC DATA</t>
  </si>
  <si>
    <t>Rolling Ndstk/ 1 mill pts</t>
  </si>
  <si>
    <t>-</t>
  </si>
  <si>
    <t>Rolling Ergonomics/ 100 FTE</t>
  </si>
  <si>
    <t>Rolling STF/ 100 FTE</t>
  </si>
  <si>
    <t>Rolling Exposures/ 100 FTE</t>
  </si>
  <si>
    <t>Contact with Object</t>
  </si>
  <si>
    <t>Contact with Object/ 100 FTE</t>
  </si>
  <si>
    <t>Rolling Contact with Object/ 100 FTE</t>
  </si>
  <si>
    <t>Needlesticks/ 100 FTE</t>
  </si>
  <si>
    <t>Rolling Ndstk/ 100 FTE</t>
  </si>
  <si>
    <t>LifeLabs Total Hours Worked in BC</t>
  </si>
  <si>
    <t>QC</t>
  </si>
  <si>
    <t>LifeLabs Patient Volume in BC</t>
  </si>
  <si>
    <t>Former BCB Total Hours Worked in BC</t>
  </si>
  <si>
    <t>FY11 Rolling</t>
  </si>
  <si>
    <t>Former BCB patient Volume in BC</t>
  </si>
  <si>
    <t>Needlesticks per 1 M patients</t>
  </si>
  <si>
    <t>ON DATA</t>
  </si>
  <si>
    <t>Ergonomic Incidents/ 100 FTE</t>
  </si>
  <si>
    <t>LifeLabs Total Hours Worked in ON</t>
  </si>
  <si>
    <t>Slip/ Trip/ Fall Incidents/ 100 FTE</t>
  </si>
  <si>
    <t>LifeLabs Patient Volume in ON</t>
  </si>
  <si>
    <t>Exposure Incident/ 100 FTE</t>
  </si>
  <si>
    <t>Former CML Total Hours Worked in ON</t>
  </si>
  <si>
    <t>Former CML patient Volume in ON</t>
  </si>
  <si>
    <t>Included in ON total</t>
  </si>
  <si>
    <t>NOV</t>
  </si>
  <si>
    <t>DEC</t>
  </si>
  <si>
    <t>JAN</t>
  </si>
  <si>
    <t>FEB</t>
  </si>
  <si>
    <t>MAR</t>
  </si>
  <si>
    <t>APR</t>
  </si>
  <si>
    <t>MAY</t>
  </si>
  <si>
    <t>JUN</t>
  </si>
  <si>
    <t>JUL</t>
  </si>
  <si>
    <t>AUG</t>
  </si>
  <si>
    <t>SEP</t>
  </si>
  <si>
    <t>OCT</t>
  </si>
  <si>
    <t>JUNE</t>
  </si>
  <si>
    <t>JULY</t>
  </si>
  <si>
    <t>SEPT</t>
  </si>
  <si>
    <t>ON - ACTUAL DATA</t>
  </si>
  <si>
    <t>ON - # of Incidents</t>
  </si>
  <si>
    <t>ON - HRS Lost</t>
  </si>
  <si>
    <t>ON - HRS Lost (-Krichely)</t>
  </si>
  <si>
    <t>ON - HRS Worked</t>
  </si>
  <si>
    <t>ON - IR</t>
  </si>
  <si>
    <t>ON - # of LTI</t>
  </si>
  <si>
    <t>ON - Days Lost/LTI</t>
  </si>
  <si>
    <t>ON - LTR</t>
  </si>
  <si>
    <t>BC - ACTUAL DATA</t>
  </si>
  <si>
    <t>BC - # of Incidents</t>
  </si>
  <si>
    <t>BC - HRS Lost</t>
  </si>
  <si>
    <t>BC - HRS Worked</t>
  </si>
  <si>
    <t>BC - IR</t>
  </si>
  <si>
    <t>BC - # of LTI</t>
  </si>
  <si>
    <t>BC - Days Lost/LTI</t>
  </si>
  <si>
    <t>BC - LTR</t>
  </si>
  <si>
    <t>PQ - ACTUAL DATA</t>
  </si>
  <si>
    <t>PQ - # of Incidents</t>
  </si>
  <si>
    <t>PQ - HRS Lost</t>
  </si>
  <si>
    <t>PQ - HRS Worked</t>
  </si>
  <si>
    <t>PQ - IR</t>
  </si>
  <si>
    <t>PQ - # of LTI</t>
  </si>
  <si>
    <t>PQ - Days Lost/LTI</t>
  </si>
  <si>
    <t>ON - ROLLING DATA</t>
  </si>
  <si>
    <t>ON Rolling IR</t>
  </si>
  <si>
    <t>Rolling Days Lost (12 month rolling average)</t>
  </si>
  <si>
    <t>FTE Lost (12 month average)</t>
  </si>
  <si>
    <t>ON Rolling DL/LTI</t>
  </si>
  <si>
    <t>ON Rolling DL/LTI (-Krichely)</t>
  </si>
  <si>
    <t>BC - ROLLING DATA</t>
  </si>
  <si>
    <t>BC Rolling IR</t>
  </si>
  <si>
    <t>Days Lost</t>
  </si>
  <si>
    <t># LTI</t>
  </si>
  <si>
    <t>FTE Lost (12 month)</t>
  </si>
  <si>
    <t>Days Lost (12 month)</t>
  </si>
  <si>
    <t>BC Rolling DL/LTI</t>
  </si>
  <si>
    <t>PQ  ROLLING DATA</t>
  </si>
  <si>
    <t>PQ Rolling IR</t>
  </si>
  <si>
    <t># Days Lost</t>
  </si>
  <si>
    <t>QC Rolling DL/LTI</t>
  </si>
  <si>
    <t>NATIONAL DATA</t>
  </si>
  <si>
    <t>NAT Hours Worked</t>
  </si>
  <si>
    <t>NATt # of Incidents</t>
  </si>
  <si>
    <t>NAT days lost</t>
  </si>
  <si>
    <t>Nat Days Lost (-Krichely)</t>
  </si>
  <si>
    <t>NAT LTI</t>
  </si>
  <si>
    <t>NAT days lost/ LTI</t>
  </si>
  <si>
    <t>NATIONAL Rolling IR</t>
  </si>
  <si>
    <t>NATIONAL Rolling Days Lost</t>
  </si>
  <si>
    <t>National Rolling DL/ LTI</t>
  </si>
  <si>
    <t>National Rolling DL/ LTI (-Krichely)</t>
  </si>
  <si>
    <t>HAZARD DATA</t>
  </si>
  <si>
    <t>ON # Hazards</t>
  </si>
  <si>
    <t>BC # Hazards</t>
  </si>
  <si>
    <t>National # Hazards</t>
  </si>
  <si>
    <t>MODIFIED HOURS</t>
  </si>
  <si>
    <t>Modified Hours</t>
  </si>
  <si>
    <t>Job Function</t>
  </si>
  <si>
    <t>Jan</t>
  </si>
  <si>
    <t>Feb</t>
  </si>
  <si>
    <t>Mar</t>
  </si>
  <si>
    <t>Apr</t>
  </si>
  <si>
    <t>May</t>
  </si>
  <si>
    <t>Jun</t>
  </si>
  <si>
    <t>Jul</t>
  </si>
  <si>
    <t>Aug</t>
  </si>
  <si>
    <t>Sep</t>
  </si>
  <si>
    <t>Oct</t>
  </si>
  <si>
    <t>Nov</t>
  </si>
  <si>
    <t>Dec</t>
  </si>
  <si>
    <t>June</t>
  </si>
  <si>
    <t>July</t>
  </si>
  <si>
    <t>August</t>
  </si>
  <si>
    <t>September</t>
  </si>
  <si>
    <t>October</t>
  </si>
  <si>
    <t>PSC</t>
  </si>
  <si>
    <t>ONTARIO</t>
  </si>
  <si>
    <t>PSC Hours Worked</t>
  </si>
  <si>
    <t>PSC # of Incidents</t>
  </si>
  <si>
    <t>PSC Monthly Incident Rate (Actual)</t>
  </si>
  <si>
    <t>PSC Rolling Incident Rate (12 Mo)</t>
  </si>
  <si>
    <t>BRITISH COLUMBIA</t>
  </si>
  <si>
    <t>PSC Monthly Incidnet Rate (Actual)</t>
  </si>
  <si>
    <t>QUEBEC</t>
  </si>
  <si>
    <t>National PSC</t>
  </si>
  <si>
    <t>Lab</t>
  </si>
  <si>
    <t>Lab Hours Worked</t>
  </si>
  <si>
    <t>Lab # of Incidents</t>
  </si>
  <si>
    <t>Lab Monthly Incidnet Rate (Actual)</t>
  </si>
  <si>
    <t>Lab Rolling Incident Rate (12 Mo)</t>
  </si>
  <si>
    <t>National Lab</t>
  </si>
  <si>
    <t>Logistics</t>
  </si>
  <si>
    <t>Logistics Hours Worked</t>
  </si>
  <si>
    <t>Logistics # of Incidents</t>
  </si>
  <si>
    <t>Logistics Monthly Incidnet Rate (Actual)</t>
  </si>
  <si>
    <t>Logistics Rolling Incident Rate (12 Mo)</t>
  </si>
  <si>
    <t>Logistics Monthly Incident Rate (Actual)</t>
  </si>
  <si>
    <t>National Logistic</t>
  </si>
  <si>
    <t>Logistic Hours Worked</t>
  </si>
  <si>
    <t>Logistic # of Incidents</t>
  </si>
  <si>
    <t>Support</t>
  </si>
  <si>
    <t>Support Hours Worked</t>
  </si>
  <si>
    <t>Support # of Incidents</t>
  </si>
  <si>
    <t>Support Monthly Incidnet Rate (Actual)</t>
  </si>
  <si>
    <t>Support Rolling Incident Rate (12 Mo)</t>
  </si>
  <si>
    <t>BCBIO</t>
  </si>
  <si>
    <t>BC LifeLabs</t>
  </si>
  <si>
    <t>CML</t>
  </si>
  <si>
    <t>ON LifeLabs</t>
  </si>
  <si>
    <t>Hazard Report</t>
  </si>
  <si>
    <t>PSC # of Hazards Reports</t>
  </si>
  <si>
    <t>Lab # of Hazards Reports</t>
  </si>
  <si>
    <t>Logistics # of Hazards Reports</t>
  </si>
  <si>
    <t>Support # of Hazards Reports</t>
  </si>
  <si>
    <t>Needlesticks</t>
  </si>
  <si>
    <t>Slip, Trip, Fall</t>
  </si>
  <si>
    <t>BBF/Chemical Exposure</t>
  </si>
  <si>
    <t>Count</t>
  </si>
  <si>
    <t>Incident Classification</t>
  </si>
  <si>
    <t>Rolling Incident Rate</t>
  </si>
  <si>
    <t>Number of Incidents</t>
  </si>
  <si>
    <t>Number of Lost Time Incidents</t>
  </si>
  <si>
    <t>Days Lost/Lost Time Incident</t>
  </si>
  <si>
    <t>Lost Time Rate</t>
  </si>
  <si>
    <t>Incident Rate</t>
  </si>
  <si>
    <t>Rolling Days Lost/Lost Time Incident</t>
  </si>
  <si>
    <t xml:space="preserve">Number of Incidents </t>
  </si>
  <si>
    <t xml:space="preserve">Rolling Incident Rate </t>
  </si>
  <si>
    <t xml:space="preserve">Incident Rate </t>
  </si>
  <si>
    <t/>
  </si>
  <si>
    <t xml:space="preserve">Number of Lost Time Incidents </t>
  </si>
  <si>
    <t xml:space="preserve">Lost Time Rate </t>
  </si>
  <si>
    <t xml:space="preserve">Rolling Days Lost/Lost Time Incident </t>
  </si>
  <si>
    <t>Column1</t>
  </si>
  <si>
    <t>Column2</t>
  </si>
  <si>
    <t>Column3</t>
  </si>
  <si>
    <t>Column4</t>
  </si>
  <si>
    <t>Column5</t>
  </si>
  <si>
    <t>Column6</t>
  </si>
  <si>
    <t>Column7</t>
  </si>
  <si>
    <t>Column8</t>
  </si>
  <si>
    <t>Column9</t>
  </si>
  <si>
    <t>Column10</t>
  </si>
  <si>
    <t>Column11</t>
  </si>
  <si>
    <t>Column12</t>
  </si>
  <si>
    <t>Column13</t>
  </si>
  <si>
    <t>Column14</t>
  </si>
  <si>
    <t>January</t>
  </si>
  <si>
    <t>March</t>
  </si>
  <si>
    <t>November</t>
  </si>
  <si>
    <t>December</t>
  </si>
  <si>
    <t>Dynamically Change Scrollbar Max Value:</t>
  </si>
  <si>
    <t>Hazard Number</t>
  </si>
  <si>
    <t>Hazard Date</t>
  </si>
  <si>
    <t>Hazard Time</t>
  </si>
  <si>
    <t>Reported Time</t>
  </si>
  <si>
    <t>One of the biohazard boxes was leaking during removal from the laboratory by Stericycle</t>
  </si>
  <si>
    <t>What happened?</t>
  </si>
  <si>
    <t>Root Cause</t>
  </si>
  <si>
    <t>Equipment Defective</t>
  </si>
  <si>
    <t>Remove Hazard</t>
  </si>
  <si>
    <t>Corrective Actions</t>
  </si>
  <si>
    <t>Corrective Action Description</t>
  </si>
  <si>
    <t>It was determined that the fluid was urine since it was the only liquid substance in the bag. The punctured bag was placed in another yellow biohazard bag, then placed in a new biohazard box. Area of floor cleaned and decontaminated, the lid and the broken box were decontaminated and placed in a yellow bag for removal and transport  by Stericycle. Biological Spill Response &lt;1L followed as per SOP</t>
  </si>
  <si>
    <t>City</t>
  </si>
  <si>
    <t>Ottawa</t>
  </si>
  <si>
    <t>Address</t>
  </si>
  <si>
    <t>1919 Riverside Drive</t>
  </si>
  <si>
    <t xml:space="preserve">Centrifuge was being loaded, and there was unawareness that one SST tube was not well closed, so it dropped on the counter and spilled all over the place. Some of the blood spilled on my clothes and skin. </t>
  </si>
  <si>
    <t>Procedure Not Followed</t>
  </si>
  <si>
    <t>Root Cause Description</t>
  </si>
  <si>
    <t>SST Not Covered Probably</t>
  </si>
  <si>
    <t xml:space="preserve">Cleaned the Site Using the Spill Kit </t>
  </si>
  <si>
    <t>Toronto</t>
  </si>
  <si>
    <t>807 Broadview Avenue</t>
  </si>
  <si>
    <t>100 International Boulevard</t>
  </si>
  <si>
    <t>Reported Date</t>
  </si>
  <si>
    <t>Decal Solution Bottle Spill in Cabinet</t>
  </si>
  <si>
    <t>Lid not properly tightened</t>
  </si>
  <si>
    <t>Tighten the lid</t>
  </si>
  <si>
    <t>Count of Hazard Number</t>
  </si>
  <si>
    <t>Sodium Azide Treatment System Failures</t>
  </si>
  <si>
    <t>Unplanned Discharge</t>
  </si>
  <si>
    <t>Corrective Action</t>
  </si>
  <si>
    <t>Preventative Strategy</t>
  </si>
  <si>
    <t>Comments</t>
  </si>
  <si>
    <t>Sudbury</t>
  </si>
  <si>
    <t>65 Larch Street</t>
  </si>
  <si>
    <t>Oct 21 - 22, 2015</t>
  </si>
  <si>
    <t>Yes (see report)</t>
  </si>
  <si>
    <t xml:space="preserve">Troubleshoot Azide System Tank overflow; Treatment tank level control was stuck, causing the unit to go into overflow.  This doesn't allow the treatment to occur. </t>
  </si>
  <si>
    <t xml:space="preserve">Cleaned out floats and checked that operation was in good standing. Replaced cooling filters and completed PM tasks.  </t>
  </si>
  <si>
    <t xml:space="preserve">Will have frequency of level control being cleaned on all systems during the PMSs changed to monthly to overcome them getting clogged. Will help to keep them clean and prevent sticking. </t>
  </si>
  <si>
    <t xml:space="preserve">Cleaned out both tanks and cleaned the solenoid valve in tank as it looked gunked up. </t>
  </si>
  <si>
    <t>Dec 4 - 7, 2015</t>
  </si>
  <si>
    <t xml:space="preserve">Troubleshoot Azide System Tank overflow; Holding tank level control was stuck, causing the unit to go into overflow. </t>
  </si>
  <si>
    <t xml:space="preserve">Conducted the regular preventative maintenance as well. </t>
  </si>
  <si>
    <t>66 Larch Street</t>
  </si>
  <si>
    <t>Dec 14 - 15, 2015</t>
  </si>
  <si>
    <t>No (diverted samples to IRL)</t>
  </si>
  <si>
    <t>Troubleshoot Azide System Tank overflow; Solenoid valve in the holding tank was stuck. Part was replaced in June 2015 as part of annual preventative maintenance program.</t>
  </si>
  <si>
    <t>No (testing was placed on hold)</t>
  </si>
  <si>
    <r>
      <t xml:space="preserve">Troubleshoot Azide System Tank overflow; </t>
    </r>
    <r>
      <rPr>
        <sz val="11"/>
        <rFont val="Cambria"/>
        <family val="1"/>
        <scheme val="major"/>
      </rPr>
      <t xml:space="preserve">Holding </t>
    </r>
    <r>
      <rPr>
        <sz val="11"/>
        <color theme="1"/>
        <rFont val="Cambria"/>
        <family val="1"/>
        <scheme val="major"/>
      </rPr>
      <t xml:space="preserve">tank level control swtich and sensor stopped sending a signal, causing the unit to go into overflow. </t>
    </r>
  </si>
  <si>
    <t>Replaced the level control switch and sensor.</t>
  </si>
  <si>
    <t>Looking into a different type for future repairs.</t>
  </si>
  <si>
    <t>Dec 21 - 22, 2015</t>
  </si>
  <si>
    <t>Dec 15 2015</t>
  </si>
  <si>
    <t>No</t>
  </si>
  <si>
    <t>The recirucation solenoid valve was stuck open causing the water to recirculate instead of going to drain. Causing the holding tank to fill before the treatment tank empties.</t>
  </si>
  <si>
    <t>Rebuilt the recirculation solenoid valve</t>
  </si>
  <si>
    <t>Evoqua to source a new float control switch and solenoid valve. To be tested at IRL in the near future.</t>
  </si>
  <si>
    <t>Dec 22 2015</t>
  </si>
  <si>
    <t xml:space="preserve">The High Level and low level were activated on the treatment tank. Check the level control and found the low level was not gummed up. It would fail intermittently. </t>
  </si>
  <si>
    <t>Replaced Level controls on treatment tank and to be cautious I changed the holding tank level controls.</t>
  </si>
  <si>
    <t>Evoqua to source a new Float control switch &amp; solenoid valve.
To be tested at IRL in the near future</t>
  </si>
  <si>
    <t>Jan 4 2016</t>
  </si>
  <si>
    <t xml:space="preserve">System 3 was in alarm due to high treatment tank level alarm
The tank was in normal condition and did not have a high level of debris in it. The level switch had mechanically failed. </t>
  </si>
  <si>
    <t>I replaced the level switch cleaned the tank and restarted the system to normal operating conditions.</t>
  </si>
  <si>
    <t>Evoqua to source a new electronic style float.</t>
  </si>
  <si>
    <t xml:space="preserve">The Recirculation solenoid valve was stuck open causing the water to recirculate instead of going to drain. Causing the holding tank to fill before the treatment tank empties. </t>
  </si>
  <si>
    <t>Rebuilt the recirculation solenoid valve.</t>
  </si>
  <si>
    <t>Evoqua to source a new Float control switch &amp; solenoid valve. To be tested at IRL in the near future.</t>
  </si>
  <si>
    <t>Nov 26 2015</t>
  </si>
  <si>
    <t>The GFCI outlet that the transfer pumps are plugged into had tripped.  Upon further inspection, it was determined that the GFCI was tripping without cause, and therefore had failed.  This prevented the pumps from transferring waste, allowing the waste to overflow into the retention basin, initiating the leak detectors and shutting the system down in alarm.</t>
  </si>
  <si>
    <t>The technician replaced the failed GFCI outlet with a new one.</t>
  </si>
  <si>
    <t>Nov 27 2015</t>
  </si>
  <si>
    <t>The transfer pump “B” had failed.  This possibly occurred due to the overflows that had happened a day previously, causing the pump controls to short circuit.</t>
  </si>
  <si>
    <t>Transfer pump “B” was replaced by technician.</t>
  </si>
  <si>
    <t>Burnaby</t>
  </si>
  <si>
    <t>3680 Gilmore Way</t>
  </si>
  <si>
    <t xml:space="preserve">SP2 on the Hematology line empties the waste blood into the drain in the floor behind the stainers.  At approx 1500 the line that drains into the master drain sprayed blood and diluent into the air and onto both SP units as well as on the floor. </t>
  </si>
  <si>
    <t>Workstation Layout and Design</t>
  </si>
  <si>
    <t>The SP units were moved over about 2ft to make room for a new piece of equiptment on Sunday November 1st and presumably the tubing was not extended to match the new distance from the drain. 
Supervisor: Sysmex FSR did install new longer waste tubing but assuming  didnt appear to be long enough.</t>
  </si>
  <si>
    <t>Replace or Repair Product/Equipment</t>
  </si>
  <si>
    <t>The spill kit was deployed to clean up and decontaminate the affected areas. Sysmex service tech called and arrived about 1530 to adress and correct the issue. 
Supervisor: Sysmex FSR installed new waste tubing which was long enough to be inserted deep into the drain.</t>
  </si>
  <si>
    <t>Kamloops</t>
  </si>
  <si>
    <t>405A Tranquille Road</t>
  </si>
  <si>
    <t>Inverting tube slipped out of hand and fell on the floor, breaking and spilling blood on floor behind front desk.</t>
  </si>
  <si>
    <t>No Root Cause Identified</t>
  </si>
  <si>
    <t>No remediable root cause determined, CTA was following correct protocol, the tube slipped from her hand.</t>
  </si>
  <si>
    <t>We spoke on that day, correct responses were taken by the CTA following our spill process, using the kit and other appropraite materials provided for clean up, hazard was reported and further action was not/is not required.</t>
  </si>
  <si>
    <t xml:space="preserve">Initial very slow drip reported from blue pipe installed by Omicron Oct. 25th which was immediatly reported to Pat and indicated would be dealt with. Second report and investigation determined leak increasing. </t>
  </si>
  <si>
    <t>Clamp around pipe either needs tightening or replaced.</t>
  </si>
  <si>
    <t xml:space="preserve">Omicron to fix immediatly. Reported to Ops, Trevor to initiate spill kit clean up. </t>
  </si>
  <si>
    <t xml:space="preserve">Carrying a 24 hour urine container to data sort ,container slipped and landed on the floor and some urine leaked out onto the floor, about 60 ml spilled out </t>
  </si>
  <si>
    <t>Employee did not transport in proper container/bag</t>
  </si>
  <si>
    <t>Spill contained and cleaned as per Spill response for biological spills. Employee to transport all 24 hour urines in transport bag, review proper transport protocol and discuss hazard at next closure meeting</t>
  </si>
  <si>
    <t xml:space="preserve">I saw a puddle around the TEST1 ESR. When I opened the door of the TEST1 there was blood spilled all around and inside of the analyzer. Also around the cap of the waste bottle the blood became hard and thick. </t>
  </si>
  <si>
    <t xml:space="preserve">The last person who change the waste did not do it properly, they forgot to remove the plastic shield before putting on the new bottle. For three days (since November 27, 2015) the waste was not being disposed properly and now there was blood spilled all around and inside of the analyzer. Also around the cap of the waste bottle the blood became hard and thick. </t>
  </si>
  <si>
    <t>Supervisor: Two staff member cleaned up the small blood spill outside the analyzer and did their best for the inside of the analyzer.  They were very careful and used the proper spill clean up material and wore all the required PPE including a face sheild.  The analyzer hotline was called and the service tech is coming Tuesday Dec 1, 2015 to clean up all the dried blood from the interior of the analyzer.   I spoke to the team at the Staff Huddle on Tuesday Dec 1, 2015, we did a show and tell with the waste container and focused on the plastic sheild that needs to be removed.  I will be speaking to the involved employee when he is back to work on Dec 2, 2015.  We reviewed the Test1 ESR analyzer maintenance document and saw the plastic sheild wasn't mentioned so will update this procedure to include the removal of the plastic sheild.</t>
  </si>
  <si>
    <t>Jan 16 2016</t>
  </si>
  <si>
    <t xml:space="preserve">Sink drain plugged with plastic bits and lint. Also Bacteria build up. </t>
  </si>
  <si>
    <t>Advised Customer to try and keep fluids out of the sink. Also to dump 1 L of city water down per week
Rob will be looking into a monthly flush of the sink</t>
  </si>
  <si>
    <t>Under sink transfer pumps - sink drain was blocked before it got to the transfer pumps. Same white accumulation (buildup of yeast/bacteria colony accumulation in the treatment tank and recirculation solenoid)</t>
  </si>
  <si>
    <t xml:space="preserve">Tank has been vaccuumed out and both valves have been cleaned before and after vacuuming out the tank. 4 treatment cycles have gone through without issue. </t>
  </si>
  <si>
    <t xml:space="preserve">Employee was reaching for paper towels on the shelf above the sink and knocked over the flask and funnell that was filtering crystal violet. It spilled into one of the sinks, down the door of the cupboard and onto the mat on the floor.  Upon further investigation, no stain went to drain, as the sink was covered during the filtering process. The majority of the stain landed on the floor, in front of sink and on employee's clothing. </t>
  </si>
  <si>
    <t>Reaching to get something off a shelf, and flask and funnell used in filtering stain not pushed back far enough.</t>
  </si>
  <si>
    <t>Individual discussion</t>
  </si>
  <si>
    <t xml:space="preserve">Use a stool to get items off shelves, ask someone else to get the item if cannot reach it safely. Push flask/funnel to the back near the wall when filtering away from any movement. Place flask/funnel in a bucket in the sink to help protect from knocking over and also having a secondary receptacle to capture stain if a spill occurs. </t>
  </si>
  <si>
    <t>Histo sample should be looked at before shipping and cleanups made then</t>
  </si>
  <si>
    <t>N/A</t>
  </si>
  <si>
    <t>Advised Data Sort to ensure look at specimens before packing up and shipping off to testing</t>
  </si>
  <si>
    <t>Histology sample that was received had leaked out of the bottle and into the bag on some of the other sample (inside bags). Absorbant pads helped keep smell and liquid to a minimum. Bag and samples were cleaned up and leaked sample cleaned up.</t>
  </si>
  <si>
    <t>&lt;1L waste fluid coming out at the back of Advia (Duke) from the waste tube. Fluid on the floor, no discharge to drain.</t>
  </si>
  <si>
    <t>Duke's Waste tube came out of it's waste container where it drains. There are two possible causes: the humidifier in that area was dripping and absorbent pads were placed beneath it (you need to go past this area to access the humidifier, and tube could have been dislodged at that point); and the analyzer (Duke) had service performed on Friday and the servce personal was behind the equipment and could have dislodged as well.</t>
  </si>
  <si>
    <t>Put the waste tube back in container and followed Spill Response to clean the area. Lead purchased Velcro ties to secure tube into waste drain more securely. Discussed at huddles to verify all tubing is sitting properly if there is activity behind the analyzer.</t>
  </si>
  <si>
    <t>Blood tube was accidentally dropped during sample opening/accessioning</t>
  </si>
  <si>
    <t>Not Paying Attention</t>
  </si>
  <si>
    <t>Tech was facing away from counter when holding blood tube and it fell to the ground</t>
  </si>
  <si>
    <t>Tech will put down blood tubes prior to turning around/interacting with colleagues</t>
  </si>
  <si>
    <t>Victoria</t>
  </si>
  <si>
    <t>4464 Markham Street</t>
  </si>
  <si>
    <t>A fresh bottle of virkon fell over while employee was reaching to get microscope cover and the pressure in the bottle made the virkon spray out onto employee's glasses</t>
  </si>
  <si>
    <t>Virkon bottle was too full</t>
  </si>
  <si>
    <t>Ensure bottles are not full over the fill line</t>
  </si>
  <si>
    <t>Modify Work Practices</t>
  </si>
  <si>
    <t>Classification</t>
  </si>
  <si>
    <t>Dec 14 2015</t>
  </si>
  <si>
    <t>Not an Unplanned Discharge</t>
  </si>
  <si>
    <t>4 month Trend</t>
  </si>
  <si>
    <t>February</t>
  </si>
  <si>
    <t>April</t>
  </si>
  <si>
    <t>546 St Paul</t>
  </si>
  <si>
    <t>Unknown clear liquid on floor of Analytical fridge.  Biohazardous waste bags placed in yellow bin that was brought to fridge.  Virkon was poured on liquid, left for 15 minutes, wiped up and disposed of in yellow bin.</t>
  </si>
  <si>
    <t>Root Cause undetermined. No leaks or reagent spills identified</t>
  </si>
  <si>
    <t xml:space="preserve">Will need to check fridge floor again next day to see if there is another pool of liquid.  If so, will contact facilities to have fridge inspected.  </t>
  </si>
  <si>
    <t>Spill was noticed under Hemoglobin Electrophoresis bench which was right behind the Flow  Cytometry Prep Plus instrument.  FLOW's waste container was beside the biohazard garbage.</t>
  </si>
  <si>
    <t>Mississauga</t>
  </si>
  <si>
    <t>6560 Kennedy Road</t>
  </si>
  <si>
    <t>Design of Work</t>
  </si>
  <si>
    <t xml:space="preserve">Clean up the spill. informed management of the spill. 
We need to secure the tubing of the waste into the waste container. please advise who can help us accomplish this. </t>
  </si>
  <si>
    <t>Cap came off of blood tube during labeling , spilling across desk and leaking between plexiglass divider and seal.</t>
  </si>
  <si>
    <t>Equipment Design or Selection</t>
  </si>
  <si>
    <t>Labels places on  tubes by physician's office are affixed like flags, sticking horizontally out from tube. This causes tubes to become stuck in racks, and makes labelers rip flags off before labeling with barcodes. During this process, caps can become dislodged.</t>
  </si>
  <si>
    <t>Unsecured tubing coming from the Prep Plus instrument pushed out of place and not noticed.</t>
  </si>
  <si>
    <t>Group Discussion</t>
  </si>
  <si>
    <t xml:space="preserve">Disinfected entire area, getting inside plexiglass and seal as much as possible. Rejected affected test. Spokje with the physicians office today and requested that they use differant labels. The did not repsond as to whether or not they will change the labels that they are  currently  using. Reminded all staff to take extreme caution when "pulling: the tubes out  of the racks at the labelling stations that they dont pull solely by the cap of the tube. </t>
  </si>
  <si>
    <t>Almonte</t>
  </si>
  <si>
    <t>95 Spring Street</t>
  </si>
  <si>
    <t xml:space="preserve">I had just finished drawing this patients blood and was barcoding my labels when the lid sliped off a lavender tube.
I grabed the vircon and cleaned up the immediate area.  I taped the patient upand cleaned the rest of the room.  lot # of lavender 5272675.  xy6280090.  Employee indicated that blood came out of the tube but droplets on the wall and table.  Virkon was used rather that a full spill kit.  </t>
  </si>
  <si>
    <t xml:space="preserve">I can't say why this happened but the tube cap came off with no resistance.  </t>
  </si>
  <si>
    <t>Document 9466 Supply Chain Incident form has been completed and sent to supply chain, manager and QRA.  
employees have been advised to check all tubes to ensure the lavender tube cap is secure prior to use.</t>
  </si>
  <si>
    <t>Used reagent bottles with residual reagent found in transparent garbage disposal bags for paper and other stationary wastes .These bags are handled by house keeping staff who arent trained to handle reagent bottles.</t>
  </si>
  <si>
    <t>Disposal of waste reagent containers in plastic bags handled by housekeeping staff</t>
  </si>
  <si>
    <t>Pending further investigation</t>
  </si>
  <si>
    <t>Ongoing issue ,was reported previously also with corrective action ,have to collectively take decison of how to handle this issue regarding discarding of waste with involment of facilities and operation</t>
  </si>
  <si>
    <t>Feb 22 2016</t>
  </si>
  <si>
    <t>Higher than normal flows are occurring due to analyzer upgrade project in HVCL as crossover studies are still being conducted. This may be causing a higher than normal sodium azide concentration that Evoqua cannot verify. If this were the case it could be suggested that longer treatment times would be necessary.</t>
  </si>
  <si>
    <t>• During regular service, normal samples were drawn and tested yielding normal results of &lt;0.03 on skid A &amp; skid B. During the preceding period, no functional anomalies were experienced or recorded. System is producing normal results at time of testing. 
• Since longer treatment is currently not an option due to current volumes at or above maximum and expected to increase, a third treatment skid and master collection/distribution system are being added.</t>
  </si>
  <si>
    <t>• Continued sample testing and verification against recent service and adverse conditions.
• Addition of 3rd skid and collection distribution system project</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</si>
</sst>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3" formatCode="_(* #,##0.00_);_(* \(#,##0.00\);_(* &quot;-&quot;??_);_(@_)"/>
    <numFmt numFmtId="164" formatCode="_-&quot;$&quot;* #,##0.00_-;\-&quot;$&quot;* #,##0.00_-;_-&quot;$&quot;* &quot;-&quot;??_-;_-@_-"/>
    <numFmt numFmtId="165" formatCode="_-* #,##0.00_-;\-* #,##0.00_-;_-* &quot;-&quot;??_-;_-@_-"/>
    <numFmt numFmtId="166" formatCode="0.0%"/>
    <numFmt numFmtId="167" formatCode="0.0"/>
    <numFmt numFmtId="168" formatCode="[$-409]mmmmm;@"/>
    <numFmt numFmtId="169" formatCode="[$-409]mmm\-yy;@"/>
    <numFmt numFmtId="170" formatCode="_(* #,##0_);_(* \(#,##0\);_(* &quot;-&quot;??_);_(@_)"/>
    <numFmt numFmtId="171" formatCode="0.000"/>
    <numFmt numFmtId="172" formatCode="0#"/>
  </numFmts>
  <fonts count="35" x14ac:knownFonts="1">
    <font>
      <sz val="11"/>
      <color theme="1"/>
      <name val="Calibri"/>
      <family val="2"/>
      <scheme val="minor"/>
    </font>
    <font>
      <sz val="10"/>
      <name val="Arial"/>
      <family val="2"/>
    </font>
    <font>
      <sz val="10"/>
      <name val="Arial"/>
      <family val="2"/>
    </font>
    <font>
      <sz val="10"/>
      <name val="Arial"/>
      <family val="2"/>
    </font>
    <font>
      <sz val="11"/>
      <color theme="1"/>
      <name val="Calibri"/>
      <family val="2"/>
      <scheme val="minor"/>
    </font>
    <font>
      <b/>
      <sz val="11"/>
      <color theme="1"/>
      <name val="Calibri"/>
      <family val="2"/>
      <scheme val="minor"/>
    </font>
    <font>
      <sz val="11"/>
      <name val="Calibri"/>
      <family val="2"/>
      <scheme val="minor"/>
    </font>
    <font>
      <b/>
      <sz val="10"/>
      <name val="Arial"/>
      <family val="2"/>
    </font>
    <font>
      <b/>
      <sz val="11"/>
      <color theme="0"/>
      <name val="Calibri"/>
      <family val="2"/>
      <scheme val="minor"/>
    </font>
    <font>
      <b/>
      <u/>
      <sz val="10"/>
      <name val="Arial"/>
      <family val="2"/>
    </font>
    <font>
      <u/>
      <sz val="11"/>
      <color theme="10"/>
      <name val="Calibri"/>
      <family val="2"/>
      <scheme val="minor"/>
    </font>
    <font>
      <sz val="10"/>
      <name val="Calibri"/>
      <family val="2"/>
      <scheme val="minor"/>
    </font>
    <font>
      <b/>
      <sz val="10"/>
      <name val="Calibri"/>
      <family val="2"/>
      <scheme val="minor"/>
    </font>
    <font>
      <sz val="11"/>
      <color indexed="56"/>
      <name val="Calibri"/>
      <family val="2"/>
      <scheme val="minor"/>
    </font>
    <font>
      <sz val="11"/>
      <color rgb="FF1F497D"/>
      <name val="Calibri"/>
      <family val="2"/>
      <scheme val="minor"/>
    </font>
    <font>
      <b/>
      <sz val="9"/>
      <color indexed="81"/>
      <name val="Tahoma"/>
      <family val="2"/>
    </font>
    <font>
      <sz val="9"/>
      <color indexed="81"/>
      <name val="Tahoma"/>
      <family val="2"/>
    </font>
    <font>
      <sz val="9"/>
      <color rgb="FF222222"/>
      <name val="Arial"/>
      <family val="2"/>
    </font>
    <font>
      <sz val="8"/>
      <name val="Arial"/>
      <family val="2"/>
    </font>
    <font>
      <b/>
      <sz val="10"/>
      <color indexed="81"/>
      <name val="Tahoma"/>
      <family val="2"/>
    </font>
    <font>
      <sz val="10"/>
      <color indexed="81"/>
      <name val="Tahoma"/>
      <family val="2"/>
    </font>
    <font>
      <b/>
      <sz val="8"/>
      <color indexed="81"/>
      <name val="Tahoma"/>
      <family val="2"/>
    </font>
    <font>
      <sz val="8"/>
      <color indexed="81"/>
      <name val="Tahoma"/>
      <family val="2"/>
    </font>
    <font>
      <sz val="8"/>
      <color indexed="23"/>
      <name val="Tahoma"/>
      <family val="2"/>
    </font>
    <font>
      <sz val="8"/>
      <color indexed="10"/>
      <name val="Tahoma"/>
      <family val="2"/>
    </font>
    <font>
      <sz val="11"/>
      <color rgb="FF9C6500"/>
      <name val="Calibri"/>
      <family val="2"/>
      <scheme val="minor"/>
    </font>
    <font>
      <sz val="11"/>
      <color theme="0"/>
      <name val="Calibri"/>
      <family val="2"/>
      <scheme val="minor"/>
    </font>
    <font>
      <b/>
      <sz val="20"/>
      <color theme="4" tint="-0.499984740745262"/>
      <name val="Cambria"/>
      <family val="1"/>
      <scheme val="major"/>
    </font>
    <font>
      <b/>
      <sz val="11"/>
      <color rgb="FFC00000"/>
      <name val="Cambria"/>
      <family val="1"/>
      <scheme val="major"/>
    </font>
    <font>
      <sz val="11"/>
      <color theme="1"/>
      <name val="Cambria"/>
      <family val="1"/>
      <scheme val="major"/>
    </font>
    <font>
      <sz val="11"/>
      <name val="Cambria"/>
      <family val="1"/>
      <scheme val="major"/>
    </font>
    <font>
      <sz val="9"/>
      <color indexed="81"/>
      <name val="Shonar Bangla"/>
      <family val="2"/>
    </font>
    <font>
      <b/>
      <sz val="9"/>
      <color indexed="81"/>
      <name val="Shonar Bangla"/>
      <family val="2"/>
    </font>
    <font>
      <b/>
      <sz val="9"/>
      <color indexed="81"/>
      <name val="Tahoma"/>
      <charset val="1"/>
    </font>
    <font>
      <sz val="9"/>
      <color indexed="81"/>
      <name val="Tahoma"/>
      <charset val="1"/>
    </font>
  </fonts>
  <fills count="30">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39997558519241921"/>
        <bgColor indexed="64"/>
      </patternFill>
    </fill>
    <fill>
      <gradientFill degree="90">
        <stop position="0">
          <color theme="5" tint="-0.49803155613879818"/>
        </stop>
        <stop position="1">
          <color rgb="FFC00000"/>
        </stop>
      </gradientFill>
    </fill>
    <fill>
      <patternFill patternType="solid">
        <fgColor theme="2"/>
        <bgColor indexed="64"/>
      </patternFill>
    </fill>
    <fill>
      <patternFill patternType="solid">
        <fgColor rgb="FFFF99CC"/>
        <bgColor indexed="64"/>
      </patternFill>
    </fill>
    <fill>
      <patternFill patternType="solid">
        <fgColor indexed="22"/>
        <bgColor indexed="8"/>
      </patternFill>
    </fill>
    <fill>
      <patternFill patternType="solid">
        <fgColor indexed="22"/>
        <bgColor indexed="64"/>
      </patternFill>
    </fill>
    <fill>
      <patternFill patternType="solid">
        <fgColor indexed="42"/>
        <bgColor indexed="64"/>
      </patternFill>
    </fill>
    <fill>
      <patternFill patternType="solid">
        <fgColor theme="8" tint="0.59999389629810485"/>
        <bgColor indexed="64"/>
      </patternFill>
    </fill>
    <fill>
      <patternFill patternType="solid">
        <fgColor indexed="4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indexed="41"/>
        <bgColor indexed="64"/>
      </patternFill>
    </fill>
    <fill>
      <patternFill patternType="solid">
        <fgColor indexed="43"/>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rgb="FF92D050"/>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EB9C"/>
      </patternFill>
    </fill>
    <fill>
      <patternFill patternType="solid">
        <fgColor theme="6" tint="0.39997558519241921"/>
        <bgColor indexed="64"/>
      </patternFill>
    </fill>
    <fill>
      <patternFill patternType="solid">
        <fgColor rgb="FFFF0000"/>
        <bgColor indexed="64"/>
      </patternFill>
    </fill>
    <fill>
      <patternFill patternType="solid">
        <fgColor theme="0" tint="-0.14999847407452621"/>
        <bgColor theme="0" tint="-0.14999847407452621"/>
      </patternFill>
    </fill>
  </fills>
  <borders count="26">
    <border>
      <left/>
      <right/>
      <top/>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bottom/>
      <diagonal/>
    </border>
    <border>
      <left style="thin">
        <color indexed="8"/>
      </left>
      <right style="thin">
        <color indexed="8"/>
      </right>
      <top/>
      <bottom/>
      <diagonal/>
    </border>
    <border>
      <left style="thin">
        <color indexed="65"/>
      </left>
      <right/>
      <top style="thin">
        <color indexed="8"/>
      </top>
      <bottom/>
      <diagonal/>
    </border>
    <border>
      <left style="thin">
        <color indexed="8"/>
      </left>
      <right/>
      <top style="thin">
        <color indexed="8"/>
      </top>
      <bottom style="thin">
        <color indexed="8"/>
      </bottom>
      <diagonal/>
    </border>
    <border>
      <left style="thin">
        <color indexed="65"/>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65"/>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bottom style="thick">
        <color indexed="64"/>
      </bottom>
      <diagonal/>
    </border>
    <border>
      <left/>
      <right/>
      <top style="thick">
        <color indexed="64"/>
      </top>
      <bottom/>
      <diagonal/>
    </border>
    <border>
      <left/>
      <right style="thin">
        <color indexed="64"/>
      </right>
      <top/>
      <bottom/>
      <diagonal/>
    </border>
    <border>
      <left style="thin">
        <color indexed="64"/>
      </left>
      <right/>
      <top/>
      <bottom style="thin">
        <color indexed="64"/>
      </bottom>
      <diagonal/>
    </border>
    <border>
      <left style="thin">
        <color indexed="64"/>
      </left>
      <right/>
      <top style="thin">
        <color indexed="64"/>
      </top>
      <bottom/>
      <diagonal/>
    </border>
    <border>
      <left/>
      <right/>
      <top/>
      <bottom style="medium">
        <color indexed="64"/>
      </bottom>
      <diagonal/>
    </border>
  </borders>
  <cellStyleXfs count="24">
    <xf numFmtId="0" fontId="0" fillId="0" borderId="0"/>
    <xf numFmtId="165" fontId="1"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164" fontId="1" fillId="0" borderId="0" applyFont="0" applyFill="0" applyBorder="0" applyAlignment="0" applyProtection="0"/>
    <xf numFmtId="0" fontId="1" fillId="0" borderId="0"/>
    <xf numFmtId="0" fontId="2" fillId="0" borderId="0"/>
    <xf numFmtId="0" fontId="3" fillId="0" borderId="0"/>
    <xf numFmtId="9" fontId="4"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4"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4" fillId="0" borderId="0"/>
    <xf numFmtId="0" fontId="4" fillId="0" borderId="0"/>
    <xf numFmtId="0" fontId="4" fillId="0" borderId="0"/>
    <xf numFmtId="0" fontId="4" fillId="0" borderId="0"/>
    <xf numFmtId="0" fontId="4" fillId="0" borderId="0"/>
    <xf numFmtId="0" fontId="25" fillId="26" borderId="0" applyNumberFormat="0" applyBorder="0" applyAlignment="0" applyProtection="0"/>
  </cellStyleXfs>
  <cellXfs count="362">
    <xf numFmtId="0" fontId="0" fillId="0" borderId="0" xfId="0"/>
    <xf numFmtId="0" fontId="0" fillId="0" borderId="0" xfId="0"/>
    <xf numFmtId="0" fontId="0" fillId="0" borderId="0" xfId="0" applyAlignment="1">
      <alignment wrapText="1"/>
    </xf>
    <xf numFmtId="17" fontId="0" fillId="0" borderId="0" xfId="0" applyNumberFormat="1"/>
    <xf numFmtId="0" fontId="5" fillId="0" borderId="0" xfId="0" applyFont="1" applyAlignment="1">
      <alignment wrapText="1"/>
    </xf>
    <xf numFmtId="0" fontId="5" fillId="0" borderId="0" xfId="0" applyFont="1"/>
    <xf numFmtId="0" fontId="0" fillId="0" borderId="0" xfId="0" applyFill="1" applyAlignment="1"/>
    <xf numFmtId="0" fontId="0" fillId="0" borderId="0" xfId="0" applyFill="1" applyBorder="1"/>
    <xf numFmtId="0" fontId="0" fillId="0" borderId="0" xfId="0" applyBorder="1"/>
    <xf numFmtId="17" fontId="0" fillId="0" borderId="0" xfId="0" applyNumberFormat="1" applyBorder="1"/>
    <xf numFmtId="0" fontId="0" fillId="0" borderId="1" xfId="0" applyBorder="1"/>
    <xf numFmtId="0" fontId="0" fillId="0" borderId="1" xfId="0" pivotButton="1" applyBorder="1"/>
    <xf numFmtId="0" fontId="0" fillId="0" borderId="2" xfId="0" applyBorder="1"/>
    <xf numFmtId="0" fontId="0" fillId="0" borderId="2" xfId="0" applyNumberFormat="1" applyBorder="1"/>
    <xf numFmtId="0" fontId="0" fillId="0" borderId="3" xfId="0" applyBorder="1"/>
    <xf numFmtId="0" fontId="0" fillId="0" borderId="4" xfId="0" applyNumberFormat="1" applyBorder="1"/>
    <xf numFmtId="0" fontId="0" fillId="0" borderId="5" xfId="0" applyBorder="1"/>
    <xf numFmtId="0" fontId="0" fillId="0" borderId="6" xfId="0" applyBorder="1"/>
    <xf numFmtId="0" fontId="0" fillId="0" borderId="7" xfId="0" applyBorder="1"/>
    <xf numFmtId="0" fontId="0" fillId="0" borderId="8" xfId="0" applyNumberFormat="1" applyBorder="1"/>
    <xf numFmtId="0" fontId="0" fillId="0" borderId="9" xfId="0" applyBorder="1"/>
    <xf numFmtId="0" fontId="0" fillId="0" borderId="0" xfId="0" applyNumberFormat="1" applyBorder="1"/>
    <xf numFmtId="10" fontId="0" fillId="0" borderId="0" xfId="0" applyNumberFormat="1"/>
    <xf numFmtId="0" fontId="5" fillId="0" borderId="0" xfId="0" applyFont="1" applyBorder="1"/>
    <xf numFmtId="10" fontId="0" fillId="0" borderId="0" xfId="0" applyNumberFormat="1" applyBorder="1"/>
    <xf numFmtId="3" fontId="0" fillId="0" borderId="0" xfId="0" applyNumberFormat="1" applyFill="1" applyBorder="1"/>
    <xf numFmtId="0" fontId="5" fillId="2" borderId="0" xfId="0" applyFont="1" applyFill="1" applyBorder="1"/>
    <xf numFmtId="2" fontId="0" fillId="0" borderId="0" xfId="0" applyNumberFormat="1" applyFill="1" applyAlignment="1"/>
    <xf numFmtId="2" fontId="0" fillId="0" borderId="0" xfId="0" applyNumberFormat="1" applyAlignment="1">
      <alignment wrapText="1"/>
    </xf>
    <xf numFmtId="2" fontId="0" fillId="0" borderId="0" xfId="0" applyNumberFormat="1" applyBorder="1"/>
    <xf numFmtId="2" fontId="0" fillId="0" borderId="0" xfId="0" applyNumberFormat="1"/>
    <xf numFmtId="9" fontId="0" fillId="0" borderId="0" xfId="0" applyNumberForma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2" xfId="0" applyNumberFormat="1" applyBorder="1"/>
    <xf numFmtId="0" fontId="0" fillId="0" borderId="16" xfId="0" applyNumberFormat="1" applyBorder="1"/>
    <xf numFmtId="0" fontId="0" fillId="0" borderId="13" xfId="0" applyNumberFormat="1" applyBorder="1"/>
    <xf numFmtId="17" fontId="0" fillId="0" borderId="1" xfId="0" applyNumberFormat="1" applyBorder="1"/>
    <xf numFmtId="17" fontId="0" fillId="0" borderId="3" xfId="0" applyNumberFormat="1" applyBorder="1"/>
    <xf numFmtId="0" fontId="0" fillId="0" borderId="1" xfId="0" applyNumberFormat="1" applyBorder="1"/>
    <xf numFmtId="0" fontId="0" fillId="0" borderId="3" xfId="0" applyNumberFormat="1" applyBorder="1"/>
    <xf numFmtId="17" fontId="0" fillId="0" borderId="14" xfId="0" applyNumberFormat="1" applyBorder="1"/>
    <xf numFmtId="10" fontId="0" fillId="0" borderId="14" xfId="0" applyNumberFormat="1" applyBorder="1"/>
    <xf numFmtId="0" fontId="0" fillId="0" borderId="0" xfId="0" applyNumberFormat="1"/>
    <xf numFmtId="0" fontId="2" fillId="0" borderId="14" xfId="6" applyBorder="1"/>
    <xf numFmtId="0" fontId="2" fillId="0" borderId="0" xfId="6"/>
    <xf numFmtId="0" fontId="1" fillId="0" borderId="14" xfId="6" applyFont="1" applyBorder="1"/>
    <xf numFmtId="17" fontId="2" fillId="0" borderId="14" xfId="6" applyNumberFormat="1" applyBorder="1"/>
    <xf numFmtId="0" fontId="1" fillId="0" borderId="17" xfId="6" applyFont="1" applyBorder="1" applyAlignment="1"/>
    <xf numFmtId="0" fontId="1" fillId="0" borderId="18" xfId="6" applyFont="1" applyBorder="1" applyAlignment="1"/>
    <xf numFmtId="0" fontId="1" fillId="0" borderId="15" xfId="6" applyFont="1" applyBorder="1" applyAlignment="1"/>
    <xf numFmtId="2" fontId="2" fillId="2" borderId="14" xfId="6" applyNumberFormat="1" applyFill="1" applyBorder="1" applyAlignment="1"/>
    <xf numFmtId="0" fontId="1" fillId="0" borderId="14" xfId="6" applyFont="1" applyBorder="1" applyAlignment="1"/>
    <xf numFmtId="0" fontId="0" fillId="0" borderId="14" xfId="0" applyBorder="1" applyAlignment="1">
      <alignment wrapText="1"/>
    </xf>
    <xf numFmtId="0" fontId="0" fillId="0" borderId="14" xfId="0" applyFont="1" applyBorder="1" applyAlignment="1">
      <alignment wrapText="1"/>
    </xf>
    <xf numFmtId="10" fontId="4" fillId="0" borderId="0" xfId="8" applyNumberFormat="1" applyFont="1"/>
    <xf numFmtId="166" fontId="2" fillId="0" borderId="14" xfId="8" applyNumberFormat="1" applyFont="1" applyBorder="1"/>
    <xf numFmtId="0" fontId="0" fillId="0" borderId="0" xfId="0" applyFill="1"/>
    <xf numFmtId="0" fontId="1" fillId="0" borderId="0" xfId="6" applyFont="1"/>
    <xf numFmtId="9" fontId="2" fillId="0" borderId="0" xfId="8" applyFont="1"/>
    <xf numFmtId="166" fontId="2" fillId="0" borderId="0" xfId="8" applyNumberFormat="1" applyFont="1" applyBorder="1"/>
    <xf numFmtId="0" fontId="7" fillId="0" borderId="0" xfId="6" applyFont="1"/>
    <xf numFmtId="17" fontId="2" fillId="0" borderId="14" xfId="6" applyNumberFormat="1" applyBorder="1" applyAlignment="1">
      <alignment horizontal="center"/>
    </xf>
    <xf numFmtId="10" fontId="0" fillId="0" borderId="0" xfId="0" applyNumberFormat="1" applyAlignment="1">
      <alignment horizontal="center"/>
    </xf>
    <xf numFmtId="0" fontId="0" fillId="0" borderId="0" xfId="0" applyAlignment="1">
      <alignment horizontal="left" vertical="center"/>
    </xf>
    <xf numFmtId="0" fontId="0" fillId="0" borderId="0" xfId="0" applyAlignment="1">
      <alignment horizontal="left" vertical="center" wrapText="1"/>
    </xf>
    <xf numFmtId="0" fontId="0" fillId="0" borderId="19" xfId="0" applyBorder="1" applyAlignment="1">
      <alignment wrapText="1"/>
    </xf>
    <xf numFmtId="0" fontId="0" fillId="0" borderId="19" xfId="0" applyBorder="1" applyAlignment="1"/>
    <xf numFmtId="0" fontId="0" fillId="0" borderId="0" xfId="0" pivotButton="1"/>
    <xf numFmtId="17" fontId="0" fillId="0" borderId="0" xfId="0" applyNumberFormat="1" applyAlignment="1">
      <alignment horizontal="left"/>
    </xf>
    <xf numFmtId="17" fontId="0" fillId="0" borderId="0" xfId="0" applyNumberFormat="1" applyAlignment="1">
      <alignment horizontal="center"/>
    </xf>
    <xf numFmtId="168" fontId="0" fillId="0" borderId="0" xfId="0" applyNumberFormat="1" applyAlignment="1">
      <alignment horizontal="center"/>
    </xf>
    <xf numFmtId="0" fontId="0" fillId="0" borderId="0" xfId="0" applyNumberFormat="1" applyAlignment="1">
      <alignment horizontal="center"/>
    </xf>
    <xf numFmtId="2" fontId="2" fillId="2" borderId="0" xfId="6" applyNumberFormat="1" applyFill="1" applyBorder="1" applyAlignment="1"/>
    <xf numFmtId="0" fontId="2" fillId="0" borderId="0" xfId="6" applyBorder="1" applyAlignment="1">
      <alignment horizontal="center"/>
    </xf>
    <xf numFmtId="17" fontId="2" fillId="0" borderId="0" xfId="6" applyNumberFormat="1" applyBorder="1" applyAlignment="1">
      <alignment horizontal="center"/>
    </xf>
    <xf numFmtId="0" fontId="1" fillId="0" borderId="0" xfId="6" applyFont="1" applyBorder="1" applyAlignment="1"/>
    <xf numFmtId="0" fontId="9" fillId="0" borderId="0" xfId="6" applyFont="1"/>
    <xf numFmtId="0" fontId="10" fillId="0" borderId="0" xfId="10" applyAlignment="1">
      <alignment horizontal="center"/>
    </xf>
    <xf numFmtId="0" fontId="11" fillId="0" borderId="0" xfId="5" applyFont="1" applyBorder="1"/>
    <xf numFmtId="170" fontId="6" fillId="3" borderId="0" xfId="11" applyNumberFormat="1" applyFont="1" applyFill="1"/>
    <xf numFmtId="170" fontId="6" fillId="0" borderId="0" xfId="11" applyNumberFormat="1" applyFont="1"/>
    <xf numFmtId="170" fontId="0" fillId="0" borderId="0" xfId="12" applyNumberFormat="1" applyFont="1" applyBorder="1"/>
    <xf numFmtId="170" fontId="11" fillId="0" borderId="0" xfId="12" applyNumberFormat="1" applyFont="1" applyBorder="1"/>
    <xf numFmtId="170" fontId="11" fillId="0" borderId="0" xfId="12" applyNumberFormat="1" applyFont="1" applyFill="1" applyBorder="1"/>
    <xf numFmtId="0" fontId="1" fillId="0" borderId="0" xfId="5"/>
    <xf numFmtId="2" fontId="4" fillId="0" borderId="0" xfId="13" applyNumberFormat="1" applyFill="1" applyBorder="1" applyAlignment="1">
      <alignment horizontal="right"/>
    </xf>
    <xf numFmtId="0" fontId="11" fillId="0" borderId="0" xfId="5" applyFont="1" applyBorder="1" applyAlignment="1">
      <alignment horizontal="center"/>
    </xf>
    <xf numFmtId="0" fontId="12" fillId="0" borderId="0" xfId="5" applyFont="1" applyBorder="1" applyAlignment="1">
      <alignment horizontal="center"/>
    </xf>
    <xf numFmtId="17" fontId="11" fillId="0" borderId="0" xfId="5" applyNumberFormat="1" applyFont="1" applyBorder="1" applyAlignment="1">
      <alignment horizontal="center"/>
    </xf>
    <xf numFmtId="0" fontId="11" fillId="0" borderId="0" xfId="5" applyNumberFormat="1" applyFont="1" applyBorder="1" applyAlignment="1">
      <alignment horizontal="center"/>
    </xf>
    <xf numFmtId="14" fontId="11" fillId="0" borderId="0" xfId="5" applyNumberFormat="1" applyFont="1" applyBorder="1" applyAlignment="1">
      <alignment horizontal="center"/>
    </xf>
    <xf numFmtId="2" fontId="7" fillId="0" borderId="0" xfId="5" applyNumberFormat="1" applyFont="1" applyBorder="1" applyAlignment="1">
      <alignment horizontal="center"/>
    </xf>
    <xf numFmtId="2" fontId="11" fillId="0" borderId="0" xfId="5" applyNumberFormat="1" applyFont="1" applyBorder="1" applyAlignment="1">
      <alignment horizontal="center"/>
    </xf>
    <xf numFmtId="1" fontId="11" fillId="0" borderId="0" xfId="5" applyNumberFormat="1" applyFont="1" applyBorder="1" applyAlignment="1">
      <alignment horizontal="center"/>
    </xf>
    <xf numFmtId="0" fontId="11" fillId="0" borderId="0" xfId="5" applyFont="1" applyFill="1" applyBorder="1" applyAlignment="1">
      <alignment horizontal="center"/>
    </xf>
    <xf numFmtId="2" fontId="11" fillId="0" borderId="0" xfId="5" applyNumberFormat="1" applyFont="1" applyFill="1" applyBorder="1" applyAlignment="1">
      <alignment horizontal="center"/>
    </xf>
    <xf numFmtId="0" fontId="11" fillId="0" borderId="0" xfId="5" quotePrefix="1" applyFont="1" applyFill="1" applyBorder="1" applyAlignment="1">
      <alignment horizontal="center"/>
    </xf>
    <xf numFmtId="0" fontId="1" fillId="0" borderId="0" xfId="6" applyFont="1" applyFill="1"/>
    <xf numFmtId="0" fontId="6" fillId="0" borderId="0" xfId="0" applyFont="1"/>
    <xf numFmtId="10" fontId="0" fillId="0" borderId="0" xfId="8" applyNumberFormat="1" applyFont="1"/>
    <xf numFmtId="0" fontId="0" fillId="0" borderId="0" xfId="0" applyNumberFormat="1" applyAlignment="1"/>
    <xf numFmtId="0" fontId="1" fillId="0" borderId="0" xfId="6" applyFont="1" applyFill="1" applyAlignment="1"/>
    <xf numFmtId="0" fontId="1" fillId="0" borderId="0" xfId="6" applyFont="1" applyAlignment="1"/>
    <xf numFmtId="0" fontId="0" fillId="0" borderId="0" xfId="0" applyAlignment="1">
      <alignment horizontal="left"/>
    </xf>
    <xf numFmtId="0" fontId="7" fillId="0" borderId="0" xfId="0" applyFont="1" applyAlignment="1">
      <alignment horizontal="center"/>
    </xf>
    <xf numFmtId="0" fontId="0" fillId="22" borderId="0" xfId="0" applyFill="1"/>
    <xf numFmtId="0" fontId="25" fillId="26" borderId="0" xfId="23"/>
    <xf numFmtId="2" fontId="7" fillId="0" borderId="0" xfId="0" applyNumberFormat="1" applyFont="1"/>
    <xf numFmtId="0" fontId="0" fillId="23" borderId="0" xfId="0" applyFill="1"/>
    <xf numFmtId="0" fontId="0" fillId="22" borderId="21" xfId="0" applyFill="1" applyBorder="1"/>
    <xf numFmtId="0" fontId="0" fillId="22" borderId="0" xfId="0" applyFill="1" applyBorder="1"/>
    <xf numFmtId="2" fontId="7" fillId="0" borderId="20" xfId="0" applyNumberFormat="1" applyFont="1" applyBorder="1"/>
    <xf numFmtId="2" fontId="0" fillId="0" borderId="0" xfId="0" applyNumberFormat="1" applyFill="1"/>
    <xf numFmtId="0" fontId="7" fillId="22" borderId="0" xfId="0" applyFont="1" applyFill="1"/>
    <xf numFmtId="0" fontId="7" fillId="0" borderId="0" xfId="0" applyFont="1" applyBorder="1" applyAlignment="1">
      <alignment horizontal="right"/>
    </xf>
    <xf numFmtId="0" fontId="7" fillId="0" borderId="0" xfId="0" applyFont="1" applyBorder="1" applyAlignment="1">
      <alignment horizontal="center"/>
    </xf>
    <xf numFmtId="0" fontId="7" fillId="0" borderId="0" xfId="0" applyFont="1" applyFill="1" applyBorder="1" applyAlignment="1">
      <alignment horizontal="center"/>
    </xf>
    <xf numFmtId="2" fontId="7" fillId="0" borderId="0" xfId="0" applyNumberFormat="1" applyFont="1" applyBorder="1"/>
    <xf numFmtId="0" fontId="7" fillId="22" borderId="0" xfId="0" applyFont="1" applyFill="1" applyBorder="1"/>
    <xf numFmtId="2" fontId="7" fillId="23" borderId="0" xfId="0" applyNumberFormat="1" applyFont="1" applyFill="1"/>
    <xf numFmtId="2" fontId="7" fillId="23" borderId="0" xfId="0" applyNumberFormat="1" applyFont="1" applyFill="1" applyBorder="1"/>
    <xf numFmtId="0" fontId="1" fillId="0" borderId="0" xfId="0" applyFont="1"/>
    <xf numFmtId="1" fontId="7" fillId="0" borderId="0" xfId="0" applyNumberFormat="1" applyFont="1" applyBorder="1"/>
    <xf numFmtId="0" fontId="7" fillId="22" borderId="21" xfId="0" applyFont="1" applyFill="1" applyBorder="1"/>
    <xf numFmtId="0" fontId="1" fillId="0" borderId="0" xfId="0" applyFont="1" applyBorder="1"/>
    <xf numFmtId="0" fontId="1" fillId="0" borderId="0" xfId="0" applyFont="1" applyFill="1" applyBorder="1"/>
    <xf numFmtId="0" fontId="25" fillId="26" borderId="0" xfId="23" applyBorder="1"/>
    <xf numFmtId="0" fontId="0" fillId="0" borderId="21" xfId="0" applyBorder="1"/>
    <xf numFmtId="3" fontId="0" fillId="0" borderId="0" xfId="0" applyNumberFormat="1"/>
    <xf numFmtId="0" fontId="0" fillId="22" borderId="22" xfId="0" applyFill="1" applyBorder="1"/>
    <xf numFmtId="0" fontId="1" fillId="22" borderId="0" xfId="0" applyFont="1" applyFill="1"/>
    <xf numFmtId="3" fontId="0" fillId="22" borderId="0" xfId="0" applyNumberFormat="1" applyFill="1"/>
    <xf numFmtId="0" fontId="9" fillId="3" borderId="0" xfId="0" applyFont="1" applyFill="1"/>
    <xf numFmtId="0" fontId="0" fillId="0" borderId="22" xfId="0" applyBorder="1"/>
    <xf numFmtId="0" fontId="7" fillId="0" borderId="0" xfId="0" applyFont="1" applyFill="1" applyBorder="1" applyAlignment="1">
      <alignment horizontal="left"/>
    </xf>
    <xf numFmtId="0" fontId="7" fillId="0" borderId="0" xfId="0" applyFont="1" applyFill="1" applyBorder="1" applyAlignment="1">
      <alignment horizontal="right" vertical="top"/>
    </xf>
    <xf numFmtId="1" fontId="7" fillId="0" borderId="0" xfId="0" applyNumberFormat="1" applyFont="1" applyBorder="1" applyAlignment="1">
      <alignment horizontal="center"/>
    </xf>
    <xf numFmtId="2" fontId="7" fillId="0" borderId="0" xfId="0" applyNumberFormat="1" applyFont="1" applyFill="1" applyBorder="1" applyAlignment="1">
      <alignment horizontal="right" vertical="top"/>
    </xf>
    <xf numFmtId="0" fontId="7" fillId="12" borderId="0" xfId="0" applyFont="1" applyFill="1" applyBorder="1" applyAlignment="1">
      <alignment vertical="top"/>
    </xf>
    <xf numFmtId="0" fontId="7" fillId="9" borderId="0" xfId="0" applyFont="1" applyFill="1" applyBorder="1" applyAlignment="1">
      <alignment vertical="top"/>
    </xf>
    <xf numFmtId="0" fontId="7" fillId="9" borderId="0" xfId="0" applyFont="1" applyFill="1" applyBorder="1" applyAlignment="1">
      <alignment horizontal="right" vertical="top"/>
    </xf>
    <xf numFmtId="0" fontId="1" fillId="12" borderId="0" xfId="0" applyFont="1" applyFill="1" applyBorder="1" applyAlignment="1">
      <alignment vertical="top"/>
    </xf>
    <xf numFmtId="1" fontId="1" fillId="0" borderId="0" xfId="0" applyNumberFormat="1" applyFont="1" applyFill="1" applyBorder="1" applyAlignment="1">
      <alignment horizontal="right" vertical="top"/>
    </xf>
    <xf numFmtId="1" fontId="1" fillId="0" borderId="0" xfId="0" applyNumberFormat="1" applyFont="1" applyFill="1" applyBorder="1" applyAlignment="1">
      <alignment vertical="top"/>
    </xf>
    <xf numFmtId="0" fontId="0" fillId="0" borderId="0" xfId="0" applyFont="1" applyFill="1" applyBorder="1"/>
    <xf numFmtId="0" fontId="17" fillId="0" borderId="0" xfId="0" applyFont="1"/>
    <xf numFmtId="0" fontId="1" fillId="0" borderId="0" xfId="0" applyNumberFormat="1" applyFont="1" applyFill="1" applyBorder="1"/>
    <xf numFmtId="1" fontId="1" fillId="0" borderId="0" xfId="0" applyNumberFormat="1" applyFont="1" applyFill="1" applyBorder="1" applyAlignment="1">
      <alignment horizontal="right"/>
    </xf>
    <xf numFmtId="0" fontId="1" fillId="0" borderId="0" xfId="0" applyFont="1" applyFill="1" applyBorder="1" applyAlignment="1">
      <alignment vertical="top"/>
    </xf>
    <xf numFmtId="0" fontId="1" fillId="0" borderId="0" xfId="0" applyFont="1" applyFill="1"/>
    <xf numFmtId="3" fontId="1" fillId="0" borderId="0" xfId="0" applyNumberFormat="1" applyFont="1" applyFill="1" applyBorder="1" applyAlignment="1">
      <alignment horizontal="right" vertical="top"/>
    </xf>
    <xf numFmtId="3" fontId="1" fillId="0" borderId="0" xfId="0" applyNumberFormat="1" applyFont="1" applyFill="1" applyBorder="1" applyAlignment="1">
      <alignment vertical="top"/>
    </xf>
    <xf numFmtId="3" fontId="1" fillId="0" borderId="0" xfId="0" applyNumberFormat="1" applyFont="1" applyFill="1" applyBorder="1"/>
    <xf numFmtId="3" fontId="0" fillId="0" borderId="0" xfId="0" applyNumberFormat="1" applyBorder="1"/>
    <xf numFmtId="4" fontId="0" fillId="0" borderId="0" xfId="0" applyNumberFormat="1" applyFill="1" applyBorder="1"/>
    <xf numFmtId="4" fontId="1" fillId="0" borderId="0" xfId="0" applyNumberFormat="1" applyFont="1" applyBorder="1"/>
    <xf numFmtId="4" fontId="1" fillId="0" borderId="0" xfId="0" applyNumberFormat="1" applyFont="1" applyFill="1" applyBorder="1"/>
    <xf numFmtId="4" fontId="0" fillId="0" borderId="0" xfId="0" applyNumberFormat="1"/>
    <xf numFmtId="2" fontId="1" fillId="0" borderId="0" xfId="0" applyNumberFormat="1" applyFont="1" applyFill="1" applyBorder="1"/>
    <xf numFmtId="2" fontId="1" fillId="0" borderId="0" xfId="0" applyNumberFormat="1" applyFont="1" applyFill="1" applyBorder="1" applyAlignment="1">
      <alignment horizontal="right" vertical="top"/>
    </xf>
    <xf numFmtId="2" fontId="1" fillId="0" borderId="0" xfId="0" applyNumberFormat="1" applyFont="1" applyFill="1" applyBorder="1" applyAlignment="1">
      <alignment vertical="top"/>
    </xf>
    <xf numFmtId="2" fontId="7" fillId="0" borderId="0" xfId="0" applyNumberFormat="1" applyFont="1" applyFill="1" applyBorder="1"/>
    <xf numFmtId="1" fontId="1" fillId="0" borderId="0" xfId="0" applyNumberFormat="1" applyFont="1" applyFill="1" applyBorder="1"/>
    <xf numFmtId="0" fontId="7" fillId="0" borderId="0" xfId="0" applyFont="1" applyFill="1" applyBorder="1"/>
    <xf numFmtId="2" fontId="1" fillId="9" borderId="0" xfId="0" applyNumberFormat="1" applyFont="1" applyFill="1" applyBorder="1" applyAlignment="1">
      <alignment vertical="top"/>
    </xf>
    <xf numFmtId="0" fontId="7" fillId="0" borderId="0" xfId="0" applyFont="1" applyBorder="1"/>
    <xf numFmtId="0" fontId="7" fillId="15" borderId="0" xfId="0" applyFont="1" applyFill="1" applyBorder="1" applyAlignment="1">
      <alignment vertical="top"/>
    </xf>
    <xf numFmtId="0" fontId="1" fillId="9" borderId="0" xfId="0" applyFont="1" applyFill="1" applyBorder="1" applyAlignment="1">
      <alignment vertical="top"/>
    </xf>
    <xf numFmtId="0" fontId="1" fillId="9" borderId="0" xfId="0" applyFont="1" applyFill="1" applyBorder="1" applyAlignment="1">
      <alignment horizontal="right" vertical="top"/>
    </xf>
    <xf numFmtId="0" fontId="1" fillId="9" borderId="0" xfId="0" applyFont="1" applyFill="1" applyBorder="1" applyAlignment="1">
      <alignment horizontal="right"/>
    </xf>
    <xf numFmtId="0" fontId="1" fillId="15" borderId="0" xfId="0" applyFont="1" applyFill="1" applyBorder="1" applyAlignment="1">
      <alignment vertical="top"/>
    </xf>
    <xf numFmtId="0" fontId="1" fillId="0" borderId="0" xfId="0" applyNumberFormat="1" applyFont="1" applyFill="1" applyBorder="1" applyAlignment="1">
      <alignment horizontal="right" vertical="top"/>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ill="1" applyBorder="1" applyAlignment="1">
      <alignment horizontal="right"/>
    </xf>
    <xf numFmtId="0" fontId="0" fillId="0" borderId="0" xfId="0" applyFont="1" applyFill="1" applyBorder="1" applyAlignment="1">
      <alignment horizontal="right"/>
    </xf>
    <xf numFmtId="167" fontId="1" fillId="0" borderId="0" xfId="0" applyNumberFormat="1" applyFont="1" applyBorder="1"/>
    <xf numFmtId="167" fontId="1" fillId="0" borderId="0" xfId="0" applyNumberFormat="1" applyFont="1" applyFill="1" applyBorder="1"/>
    <xf numFmtId="167" fontId="0" fillId="0" borderId="0" xfId="0" applyNumberFormat="1" applyFill="1" applyBorder="1"/>
    <xf numFmtId="167" fontId="0" fillId="0" borderId="0" xfId="0" applyNumberFormat="1" applyFont="1" applyFill="1" applyBorder="1"/>
    <xf numFmtId="1" fontId="1" fillId="15" borderId="0" xfId="0" applyNumberFormat="1" applyFont="1" applyFill="1" applyBorder="1" applyAlignment="1">
      <alignment horizontal="left" vertical="top"/>
    </xf>
    <xf numFmtId="1" fontId="1" fillId="0" borderId="0" xfId="0" applyNumberFormat="1" applyFont="1" applyBorder="1" applyAlignment="1">
      <alignment horizontal="right" vertical="top"/>
    </xf>
    <xf numFmtId="1" fontId="1" fillId="0" borderId="0" xfId="0" applyNumberFormat="1" applyFont="1" applyBorder="1" applyAlignment="1">
      <alignment horizontal="right"/>
    </xf>
    <xf numFmtId="167" fontId="0" fillId="0" borderId="0" xfId="0" applyNumberFormat="1" applyBorder="1"/>
    <xf numFmtId="2" fontId="1" fillId="0" borderId="0" xfId="0" applyNumberFormat="1" applyFont="1" applyBorder="1" applyAlignment="1">
      <alignment horizontal="right"/>
    </xf>
    <xf numFmtId="2" fontId="1" fillId="0" borderId="0" xfId="0" applyNumberFormat="1" applyFont="1" applyFill="1" applyBorder="1" applyAlignment="1">
      <alignment horizontal="right"/>
    </xf>
    <xf numFmtId="43" fontId="0" fillId="0" borderId="0" xfId="0" applyNumberFormat="1" applyFill="1"/>
    <xf numFmtId="4" fontId="1" fillId="0" borderId="0" xfId="0" applyNumberFormat="1" applyFont="1" applyBorder="1" applyAlignment="1">
      <alignment horizontal="right"/>
    </xf>
    <xf numFmtId="2" fontId="1" fillId="15" borderId="0" xfId="0" applyNumberFormat="1" applyFont="1" applyFill="1" applyBorder="1" applyAlignment="1">
      <alignment vertical="top"/>
    </xf>
    <xf numFmtId="2" fontId="1" fillId="0" borderId="0" xfId="0" applyNumberFormat="1" applyFont="1" applyBorder="1"/>
    <xf numFmtId="167" fontId="7" fillId="0" borderId="0" xfId="0" applyNumberFormat="1" applyFont="1" applyBorder="1"/>
    <xf numFmtId="167" fontId="1" fillId="0" borderId="0" xfId="0" applyNumberFormat="1" applyFont="1" applyFill="1" applyBorder="1" applyAlignment="1">
      <alignment horizontal="right"/>
    </xf>
    <xf numFmtId="167" fontId="0" fillId="0" borderId="0" xfId="0" applyNumberFormat="1" applyFill="1" applyBorder="1" applyAlignment="1">
      <alignment horizontal="right"/>
    </xf>
    <xf numFmtId="0" fontId="18" fillId="0" borderId="0" xfId="0" applyFont="1"/>
    <xf numFmtId="2" fontId="1" fillId="0" borderId="0" xfId="0" applyNumberFormat="1" applyFont="1" applyFill="1" applyBorder="1" applyAlignment="1">
      <alignment horizontal="center" vertical="top"/>
    </xf>
    <xf numFmtId="167" fontId="1" fillId="0" borderId="0" xfId="0" applyNumberFormat="1" applyFont="1" applyFill="1" applyBorder="1" applyAlignment="1">
      <alignment horizontal="right" vertical="top"/>
    </xf>
    <xf numFmtId="167" fontId="1" fillId="0" borderId="0" xfId="0" applyNumberFormat="1" applyFont="1" applyBorder="1" applyAlignment="1">
      <alignment horizontal="right"/>
    </xf>
    <xf numFmtId="0" fontId="7" fillId="16" borderId="0" xfId="0" applyFont="1" applyFill="1" applyBorder="1" applyAlignment="1">
      <alignment horizontal="left" vertical="top"/>
    </xf>
    <xf numFmtId="0" fontId="1" fillId="9" borderId="0" xfId="0" applyFont="1" applyFill="1" applyBorder="1"/>
    <xf numFmtId="0" fontId="1" fillId="16" borderId="0" xfId="0" applyFont="1" applyFill="1" applyBorder="1" applyAlignment="1">
      <alignment vertical="top"/>
    </xf>
    <xf numFmtId="0" fontId="0" fillId="0" borderId="0" xfId="0" applyFont="1" applyBorder="1"/>
    <xf numFmtId="3" fontId="1" fillId="0" borderId="0" xfId="0" applyNumberFormat="1" applyFont="1" applyBorder="1"/>
    <xf numFmtId="4" fontId="0" fillId="0" borderId="0" xfId="0" applyNumberFormat="1" applyFill="1"/>
    <xf numFmtId="4" fontId="0" fillId="0" borderId="0" xfId="0" applyNumberFormat="1" applyFont="1" applyFill="1" applyBorder="1"/>
    <xf numFmtId="2" fontId="1" fillId="16" borderId="0" xfId="0" applyNumberFormat="1" applyFont="1" applyFill="1" applyBorder="1" applyAlignment="1">
      <alignment vertical="top"/>
    </xf>
    <xf numFmtId="2" fontId="1" fillId="9" borderId="0" xfId="0" applyNumberFormat="1" applyFont="1" applyFill="1" applyBorder="1"/>
    <xf numFmtId="171" fontId="0" fillId="0" borderId="0" xfId="0" applyNumberFormat="1" applyBorder="1"/>
    <xf numFmtId="167" fontId="0" fillId="0" borderId="0" xfId="0" applyNumberFormat="1"/>
    <xf numFmtId="0" fontId="7" fillId="12" borderId="0" xfId="0" applyFont="1" applyFill="1" applyBorder="1" applyAlignment="1">
      <alignment horizontal="left"/>
    </xf>
    <xf numFmtId="0" fontId="1" fillId="9" borderId="0" xfId="0" applyFont="1" applyFill="1" applyBorder="1" applyAlignment="1">
      <alignment horizontal="center"/>
    </xf>
    <xf numFmtId="0" fontId="1" fillId="12" borderId="0" xfId="0" applyFont="1" applyFill="1" applyBorder="1"/>
    <xf numFmtId="2" fontId="0" fillId="0" borderId="0" xfId="0" applyNumberFormat="1" applyFont="1" applyBorder="1"/>
    <xf numFmtId="2" fontId="1" fillId="12" borderId="0" xfId="0" applyNumberFormat="1" applyFont="1" applyFill="1" applyBorder="1" applyAlignment="1">
      <alignment horizontal="left" vertical="top"/>
    </xf>
    <xf numFmtId="2" fontId="1" fillId="9" borderId="0" xfId="0" applyNumberFormat="1" applyFont="1" applyFill="1" applyBorder="1" applyAlignment="1">
      <alignment horizontal="center" vertical="top"/>
    </xf>
    <xf numFmtId="1" fontId="7" fillId="15" borderId="0" xfId="0" applyNumberFormat="1" applyFont="1" applyFill="1" applyBorder="1" applyAlignment="1">
      <alignment horizontal="left"/>
    </xf>
    <xf numFmtId="1" fontId="1" fillId="9" borderId="0" xfId="0" applyNumberFormat="1" applyFont="1" applyFill="1" applyBorder="1" applyAlignment="1">
      <alignment horizontal="center"/>
    </xf>
    <xf numFmtId="0" fontId="1" fillId="15" borderId="0" xfId="0" applyFont="1" applyFill="1" applyBorder="1"/>
    <xf numFmtId="2" fontId="1" fillId="15" borderId="0" xfId="0" applyNumberFormat="1" applyFont="1" applyFill="1" applyBorder="1"/>
    <xf numFmtId="1" fontId="1" fillId="0" borderId="0" xfId="0" applyNumberFormat="1" applyFont="1" applyBorder="1"/>
    <xf numFmtId="1" fontId="7" fillId="16" borderId="0" xfId="0" applyNumberFormat="1" applyFont="1" applyFill="1" applyBorder="1" applyAlignment="1">
      <alignment horizontal="left"/>
    </xf>
    <xf numFmtId="2" fontId="1" fillId="9" borderId="0" xfId="0" applyNumberFormat="1" applyFont="1" applyFill="1" applyBorder="1" applyAlignment="1">
      <alignment horizontal="right" vertical="top"/>
    </xf>
    <xf numFmtId="171" fontId="1" fillId="16" borderId="0" xfId="0" applyNumberFormat="1" applyFont="1" applyFill="1" applyBorder="1"/>
    <xf numFmtId="171" fontId="1" fillId="9" borderId="0" xfId="0" applyNumberFormat="1" applyFont="1" applyFill="1" applyBorder="1"/>
    <xf numFmtId="2" fontId="0" fillId="0" borderId="0" xfId="0" applyNumberFormat="1" applyFill="1" applyBorder="1"/>
    <xf numFmtId="2" fontId="1" fillId="16" borderId="0" xfId="0" applyNumberFormat="1" applyFont="1" applyFill="1" applyBorder="1" applyAlignment="1">
      <alignment horizontal="left" vertical="top"/>
    </xf>
    <xf numFmtId="171" fontId="1" fillId="16" borderId="0" xfId="0" applyNumberFormat="1" applyFont="1" applyFill="1" applyBorder="1" applyAlignment="1">
      <alignment horizontal="left" vertical="top"/>
    </xf>
    <xf numFmtId="171" fontId="1" fillId="0" borderId="0" xfId="0" applyNumberFormat="1" applyFont="1" applyFill="1" applyBorder="1"/>
    <xf numFmtId="171" fontId="0" fillId="0" borderId="0" xfId="0" applyNumberFormat="1" applyFill="1" applyBorder="1"/>
    <xf numFmtId="0" fontId="7" fillId="10" borderId="0" xfId="0" applyFont="1" applyFill="1" applyBorder="1"/>
    <xf numFmtId="0" fontId="1" fillId="10" borderId="0" xfId="0" applyFont="1" applyFill="1" applyBorder="1"/>
    <xf numFmtId="0" fontId="7" fillId="17" borderId="0" xfId="0" applyFont="1" applyFill="1" applyBorder="1" applyAlignment="1">
      <alignment horizontal="left"/>
    </xf>
    <xf numFmtId="2" fontId="1" fillId="17" borderId="0" xfId="0" applyNumberFormat="1" applyFont="1" applyFill="1" applyBorder="1"/>
    <xf numFmtId="0" fontId="1" fillId="0" borderId="0" xfId="0" applyFont="1" applyFill="1" applyBorder="1" applyAlignment="1">
      <alignment horizontal="right" vertical="top"/>
    </xf>
    <xf numFmtId="0" fontId="1" fillId="17" borderId="0" xfId="0" applyFont="1" applyFill="1" applyBorder="1" applyAlignment="1">
      <alignment horizontal="left"/>
    </xf>
    <xf numFmtId="0" fontId="1" fillId="17" borderId="0" xfId="0" applyFont="1" applyFill="1" applyBorder="1"/>
    <xf numFmtId="0" fontId="7" fillId="18" borderId="0" xfId="0" applyFont="1" applyFill="1" applyBorder="1"/>
    <xf numFmtId="0" fontId="1" fillId="2" borderId="0" xfId="0" applyFont="1" applyFill="1" applyBorder="1"/>
    <xf numFmtId="4" fontId="1" fillId="2" borderId="0" xfId="0" applyNumberFormat="1" applyFont="1" applyFill="1" applyBorder="1"/>
    <xf numFmtId="0" fontId="1" fillId="18" borderId="0" xfId="0" applyFont="1" applyFill="1" applyBorder="1"/>
    <xf numFmtId="0" fontId="1" fillId="19" borderId="0" xfId="0" applyFont="1" applyFill="1" applyBorder="1"/>
    <xf numFmtId="0" fontId="1" fillId="20" borderId="0" xfId="0" applyFont="1" applyFill="1" applyBorder="1"/>
    <xf numFmtId="0" fontId="0" fillId="2" borderId="0" xfId="0" applyFill="1"/>
    <xf numFmtId="2" fontId="0" fillId="2" borderId="0" xfId="0" applyNumberFormat="1" applyFill="1"/>
    <xf numFmtId="1" fontId="0" fillId="2" borderId="0" xfId="0" applyNumberFormat="1" applyFill="1"/>
    <xf numFmtId="0" fontId="1" fillId="21" borderId="0" xfId="0" applyFont="1" applyFill="1" applyBorder="1"/>
    <xf numFmtId="167" fontId="1" fillId="2" borderId="0" xfId="0" applyNumberFormat="1" applyFont="1" applyFill="1" applyBorder="1"/>
    <xf numFmtId="0" fontId="11" fillId="0" borderId="0" xfId="0" applyFont="1" applyBorder="1"/>
    <xf numFmtId="169" fontId="11" fillId="0" borderId="0" xfId="0" applyNumberFormat="1" applyFont="1" applyBorder="1"/>
    <xf numFmtId="169" fontId="11" fillId="6" borderId="14" xfId="0" applyNumberFormat="1" applyFont="1" applyFill="1" applyBorder="1"/>
    <xf numFmtId="169" fontId="11" fillId="0" borderId="14" xfId="0" applyNumberFormat="1" applyFont="1" applyBorder="1"/>
    <xf numFmtId="17" fontId="11" fillId="0" borderId="14" xfId="0" applyNumberFormat="1" applyFont="1" applyBorder="1"/>
    <xf numFmtId="0" fontId="12" fillId="7" borderId="0" xfId="0" applyFont="1" applyFill="1" applyBorder="1"/>
    <xf numFmtId="169" fontId="11" fillId="8" borderId="0" xfId="0" applyNumberFormat="1" applyFont="1" applyFill="1" applyBorder="1"/>
    <xf numFmtId="169" fontId="11" fillId="6" borderId="0" xfId="0" applyNumberFormat="1" applyFont="1" applyFill="1" applyBorder="1"/>
    <xf numFmtId="169" fontId="11" fillId="9" borderId="0" xfId="0" applyNumberFormat="1" applyFont="1" applyFill="1" applyBorder="1"/>
    <xf numFmtId="3" fontId="13" fillId="0" borderId="0" xfId="0" applyNumberFormat="1" applyFont="1" applyBorder="1"/>
    <xf numFmtId="3" fontId="13" fillId="6" borderId="0" xfId="0" applyNumberFormat="1" applyFont="1" applyFill="1" applyBorder="1"/>
    <xf numFmtId="0" fontId="11" fillId="6" borderId="0" xfId="0" applyFont="1" applyFill="1" applyBorder="1"/>
    <xf numFmtId="0" fontId="11" fillId="0" borderId="0" xfId="0" applyFont="1" applyFill="1" applyBorder="1"/>
    <xf numFmtId="3" fontId="0" fillId="0" borderId="0" xfId="0" applyNumberFormat="1" applyFill="1"/>
    <xf numFmtId="2" fontId="11" fillId="0" borderId="0" xfId="0" applyNumberFormat="1" applyFont="1" applyBorder="1"/>
    <xf numFmtId="0" fontId="12" fillId="10" borderId="0" xfId="0" applyFont="1" applyFill="1" applyBorder="1"/>
    <xf numFmtId="0" fontId="14" fillId="0" borderId="0" xfId="0" applyFont="1" applyBorder="1"/>
    <xf numFmtId="3" fontId="14" fillId="0" borderId="0" xfId="0" applyNumberFormat="1" applyFont="1" applyBorder="1"/>
    <xf numFmtId="3" fontId="14" fillId="6" borderId="0" xfId="0" applyNumberFormat="1" applyFont="1" applyFill="1" applyBorder="1"/>
    <xf numFmtId="0" fontId="11" fillId="11" borderId="0" xfId="0" applyFont="1" applyFill="1" applyBorder="1"/>
    <xf numFmtId="167" fontId="11" fillId="0" borderId="0" xfId="0" applyNumberFormat="1" applyFont="1" applyBorder="1"/>
    <xf numFmtId="2" fontId="11" fillId="6" borderId="0" xfId="0" applyNumberFormat="1" applyFont="1" applyFill="1" applyBorder="1"/>
    <xf numFmtId="0" fontId="12" fillId="12" borderId="0" xfId="0" applyFont="1" applyFill="1" applyBorder="1"/>
    <xf numFmtId="2" fontId="11" fillId="8" borderId="0" xfId="0" applyNumberFormat="1" applyFont="1" applyFill="1" applyBorder="1"/>
    <xf numFmtId="2" fontId="11" fillId="0" borderId="0" xfId="0" applyNumberFormat="1" applyFont="1" applyBorder="1" applyAlignment="1"/>
    <xf numFmtId="3" fontId="11" fillId="0" borderId="0" xfId="0" applyNumberFormat="1" applyFont="1" applyFill="1" applyBorder="1"/>
    <xf numFmtId="4" fontId="11" fillId="0" borderId="0" xfId="0" applyNumberFormat="1" applyFont="1" applyBorder="1"/>
    <xf numFmtId="3" fontId="11" fillId="0" borderId="0" xfId="0" applyNumberFormat="1" applyFont="1" applyBorder="1"/>
    <xf numFmtId="3" fontId="11" fillId="6" borderId="0" xfId="0" applyNumberFormat="1" applyFont="1" applyFill="1" applyBorder="1"/>
    <xf numFmtId="4" fontId="11" fillId="0" borderId="0" xfId="0" applyNumberFormat="1" applyFont="1" applyFill="1" applyBorder="1"/>
    <xf numFmtId="0" fontId="11" fillId="2" borderId="0" xfId="0" applyFont="1" applyFill="1" applyBorder="1"/>
    <xf numFmtId="0" fontId="11" fillId="13" borderId="0" xfId="0" applyFont="1" applyFill="1" applyBorder="1"/>
    <xf numFmtId="167" fontId="11" fillId="2" borderId="0" xfId="0" applyNumberFormat="1" applyFont="1" applyFill="1" applyBorder="1"/>
    <xf numFmtId="2" fontId="11" fillId="2" borderId="0" xfId="0" applyNumberFormat="1" applyFont="1" applyFill="1" applyBorder="1"/>
    <xf numFmtId="0" fontId="11" fillId="14" borderId="0" xfId="0" applyFont="1" applyFill="1" applyBorder="1"/>
    <xf numFmtId="0" fontId="26" fillId="19" borderId="0" xfId="0" applyFont="1" applyFill="1"/>
    <xf numFmtId="0" fontId="26" fillId="0" borderId="0" xfId="0" applyFont="1"/>
    <xf numFmtId="0" fontId="0" fillId="0" borderId="0" xfId="0" applyAlignment="1">
      <alignment horizontal="center" vertical="center"/>
    </xf>
    <xf numFmtId="14" fontId="0" fillId="0" borderId="0" xfId="0" applyNumberFormat="1" applyAlignment="1">
      <alignment horizontal="center" vertical="center"/>
    </xf>
    <xf numFmtId="18" fontId="0" fillId="0" borderId="0" xfId="0" applyNumberFormat="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wrapText="1"/>
    </xf>
    <xf numFmtId="0" fontId="28" fillId="2" borderId="13" xfId="0" applyFont="1" applyFill="1" applyBorder="1" applyAlignment="1">
      <alignment horizontal="center"/>
    </xf>
    <xf numFmtId="0" fontId="28" fillId="2" borderId="14" xfId="0" applyFont="1" applyFill="1" applyBorder="1" applyAlignment="1">
      <alignment horizontal="center"/>
    </xf>
    <xf numFmtId="0" fontId="0" fillId="0" borderId="14" xfId="0" applyBorder="1" applyAlignment="1">
      <alignment horizontal="center" vertical="center"/>
    </xf>
    <xf numFmtId="14" fontId="0" fillId="0" borderId="14" xfId="0" applyNumberFormat="1" applyBorder="1" applyAlignment="1">
      <alignment horizontal="center" vertical="center"/>
    </xf>
    <xf numFmtId="0" fontId="29" fillId="0" borderId="14" xfId="0" applyFont="1" applyBorder="1" applyAlignment="1">
      <alignment horizontal="center" vertical="center" wrapText="1"/>
    </xf>
    <xf numFmtId="14" fontId="0" fillId="0" borderId="14" xfId="0" applyNumberFormat="1" applyBorder="1" applyAlignment="1">
      <alignment horizontal="center" vertical="center" wrapText="1"/>
    </xf>
    <xf numFmtId="15" fontId="0" fillId="0" borderId="14" xfId="0" applyNumberFormat="1" applyBorder="1" applyAlignment="1">
      <alignment horizontal="center" vertical="center"/>
    </xf>
    <xf numFmtId="0" fontId="0" fillId="0" borderId="14" xfId="0" applyBorder="1" applyAlignment="1">
      <alignment horizontal="center" vertical="center" wrapText="1"/>
    </xf>
    <xf numFmtId="0" fontId="29" fillId="0" borderId="14" xfId="0" applyFont="1" applyBorder="1" applyAlignment="1">
      <alignment horizontal="left" vertical="center" wrapText="1"/>
    </xf>
    <xf numFmtId="0" fontId="29" fillId="0" borderId="14" xfId="0" applyFont="1" applyBorder="1" applyAlignment="1">
      <alignment horizontal="left" vertical="center"/>
    </xf>
    <xf numFmtId="0" fontId="0" fillId="0" borderId="0" xfId="0" applyFont="1" applyAlignment="1">
      <alignment horizontal="center" vertical="center"/>
    </xf>
    <xf numFmtId="14" fontId="0" fillId="0" borderId="0" xfId="0" applyNumberFormat="1" applyFont="1" applyAlignment="1">
      <alignment horizontal="center" vertical="center"/>
    </xf>
    <xf numFmtId="1" fontId="0" fillId="0" borderId="0" xfId="0" applyNumberFormat="1" applyFont="1" applyAlignment="1">
      <alignment horizontal="center" vertical="center"/>
    </xf>
    <xf numFmtId="18" fontId="0" fillId="0" borderId="0" xfId="0" applyNumberFormat="1" applyFont="1" applyAlignment="1">
      <alignment horizontal="center" vertical="center"/>
    </xf>
    <xf numFmtId="0" fontId="0" fillId="0" borderId="0" xfId="0" applyFont="1" applyAlignment="1">
      <alignment horizontal="center" vertical="center" wrapText="1"/>
    </xf>
    <xf numFmtId="0" fontId="0" fillId="0" borderId="0" xfId="0" applyFont="1" applyAlignment="1">
      <alignment horizontal="left" vertical="center" wrapText="1"/>
    </xf>
    <xf numFmtId="0" fontId="0" fillId="0" borderId="0" xfId="0" applyFont="1" applyAlignment="1">
      <alignment vertical="center" wrapText="1"/>
    </xf>
    <xf numFmtId="0" fontId="0" fillId="28" borderId="14" xfId="0" applyFill="1" applyBorder="1" applyAlignment="1">
      <alignment horizontal="center" vertical="center"/>
    </xf>
    <xf numFmtId="14" fontId="0" fillId="28" borderId="14" xfId="0" applyNumberFormat="1" applyFill="1" applyBorder="1" applyAlignment="1">
      <alignment horizontal="center" vertical="center"/>
    </xf>
    <xf numFmtId="0" fontId="29" fillId="28" borderId="14" xfId="0" applyFont="1" applyFill="1" applyBorder="1" applyAlignment="1">
      <alignment horizontal="left" vertical="center" wrapText="1"/>
    </xf>
    <xf numFmtId="172" fontId="26" fillId="0" borderId="0" xfId="0" applyNumberFormat="1" applyFont="1"/>
    <xf numFmtId="0" fontId="0" fillId="0" borderId="0" xfId="0" applyNumberFormat="1" applyAlignment="1">
      <alignment horizontal="center" vertical="center"/>
    </xf>
    <xf numFmtId="1" fontId="0" fillId="0" borderId="0" xfId="0" applyNumberFormat="1" applyAlignment="1">
      <alignment horizontal="center" vertical="center"/>
    </xf>
    <xf numFmtId="0" fontId="8" fillId="14" borderId="24" xfId="0" applyFont="1" applyFill="1" applyBorder="1" applyAlignment="1">
      <alignment horizontal="center" vertical="center"/>
    </xf>
    <xf numFmtId="0" fontId="8" fillId="14" borderId="12" xfId="0" applyFont="1" applyFill="1" applyBorder="1" applyAlignment="1">
      <alignment horizontal="center" vertical="center"/>
    </xf>
    <xf numFmtId="0" fontId="0" fillId="29" borderId="12" xfId="0" applyFont="1" applyFill="1" applyBorder="1" applyAlignment="1">
      <alignment horizontal="center" vertical="center"/>
    </xf>
    <xf numFmtId="0" fontId="0" fillId="0" borderId="14" xfId="0" applyBorder="1" applyAlignment="1">
      <alignment horizontal="left" vertical="center" wrapText="1"/>
    </xf>
    <xf numFmtId="0" fontId="5" fillId="29" borderId="24" xfId="0" applyFont="1" applyFill="1" applyBorder="1" applyAlignment="1">
      <alignment horizontal="center" vertical="center"/>
    </xf>
    <xf numFmtId="0" fontId="0" fillId="29" borderId="24" xfId="0" applyFont="1" applyFill="1" applyBorder="1" applyAlignment="1">
      <alignment horizontal="center" vertical="center" wrapText="1"/>
    </xf>
    <xf numFmtId="0" fontId="0" fillId="29" borderId="24" xfId="0" applyFont="1" applyFill="1" applyBorder="1" applyAlignment="1">
      <alignment horizontal="center" vertical="center"/>
    </xf>
    <xf numFmtId="0" fontId="5" fillId="0" borderId="24" xfId="0" applyFont="1" applyBorder="1" applyAlignment="1">
      <alignment horizontal="center" vertical="center"/>
    </xf>
    <xf numFmtId="0" fontId="0" fillId="0" borderId="24" xfId="0" applyFont="1" applyBorder="1" applyAlignment="1">
      <alignment horizontal="center" vertical="center" wrapText="1"/>
    </xf>
    <xf numFmtId="0" fontId="0" fillId="0" borderId="24" xfId="0" applyFont="1" applyBorder="1" applyAlignment="1">
      <alignment horizontal="center" vertical="center"/>
    </xf>
    <xf numFmtId="0" fontId="0" fillId="0" borderId="12" xfId="0" applyFont="1" applyBorder="1" applyAlignment="1">
      <alignment horizontal="center" vertical="center"/>
    </xf>
    <xf numFmtId="0" fontId="0" fillId="0" borderId="14" xfId="0" applyFont="1" applyBorder="1" applyAlignment="1">
      <alignment horizontal="center" vertical="center"/>
    </xf>
    <xf numFmtId="0" fontId="5" fillId="0" borderId="0" xfId="0" applyFont="1" applyAlignment="1">
      <alignment vertical="center"/>
    </xf>
    <xf numFmtId="0" fontId="11" fillId="2" borderId="0" xfId="0" applyFont="1" applyFill="1" applyBorder="1" applyAlignment="1">
      <alignment horizontal="center" wrapText="1"/>
    </xf>
    <xf numFmtId="0" fontId="11" fillId="13" borderId="0" xfId="0" applyFont="1" applyFill="1" applyBorder="1" applyAlignment="1">
      <alignment horizontal="center"/>
    </xf>
    <xf numFmtId="0" fontId="0" fillId="0" borderId="25" xfId="0" applyBorder="1"/>
    <xf numFmtId="0" fontId="0" fillId="19" borderId="0" xfId="0" applyFill="1"/>
    <xf numFmtId="0" fontId="1" fillId="3" borderId="0" xfId="0" applyFont="1" applyFill="1"/>
    <xf numFmtId="0" fontId="0" fillId="3" borderId="0" xfId="0" applyFill="1"/>
    <xf numFmtId="0" fontId="11" fillId="19" borderId="0" xfId="0" applyFont="1" applyFill="1" applyBorder="1"/>
    <xf numFmtId="0" fontId="0" fillId="4" borderId="0" xfId="0" applyFill="1" applyAlignment="1">
      <alignment horizontal="center"/>
    </xf>
    <xf numFmtId="0" fontId="8" fillId="5" borderId="0" xfId="0" applyFont="1" applyFill="1" applyAlignment="1">
      <alignment horizontal="center"/>
    </xf>
    <xf numFmtId="17" fontId="1" fillId="0" borderId="17" xfId="6" applyNumberFormat="1" applyFont="1" applyBorder="1" applyAlignment="1">
      <alignment horizontal="center"/>
    </xf>
    <xf numFmtId="17" fontId="2" fillId="0" borderId="18" xfId="6" applyNumberFormat="1" applyBorder="1" applyAlignment="1">
      <alignment horizontal="center"/>
    </xf>
    <xf numFmtId="17" fontId="2" fillId="0" borderId="15" xfId="6" applyNumberFormat="1" applyBorder="1" applyAlignment="1">
      <alignment horizontal="center"/>
    </xf>
    <xf numFmtId="0" fontId="1" fillId="0" borderId="18" xfId="6" applyFont="1" applyBorder="1" applyAlignment="1">
      <alignment horizontal="center"/>
    </xf>
    <xf numFmtId="0" fontId="2" fillId="0" borderId="18" xfId="6" applyBorder="1" applyAlignment="1">
      <alignment horizontal="center"/>
    </xf>
    <xf numFmtId="0" fontId="0" fillId="0" borderId="0" xfId="0" applyAlignment="1">
      <alignment horizontal="center"/>
    </xf>
    <xf numFmtId="0" fontId="12" fillId="0" borderId="14" xfId="0" applyFont="1" applyBorder="1" applyAlignment="1">
      <alignment horizontal="center"/>
    </xf>
    <xf numFmtId="0" fontId="11" fillId="2" borderId="0" xfId="0" applyFont="1" applyFill="1" applyBorder="1" applyAlignment="1">
      <alignment horizontal="center" wrapText="1"/>
    </xf>
    <xf numFmtId="0" fontId="11" fillId="13" borderId="0" xfId="0" applyFont="1" applyFill="1" applyBorder="1" applyAlignment="1">
      <alignment horizontal="center"/>
    </xf>
    <xf numFmtId="0" fontId="7" fillId="24" borderId="12" xfId="0" applyFont="1" applyFill="1" applyBorder="1" applyAlignment="1">
      <alignment horizontal="center" vertical="center" textRotation="90"/>
    </xf>
    <xf numFmtId="0" fontId="7" fillId="24" borderId="16" xfId="0" applyFont="1" applyFill="1" applyBorder="1" applyAlignment="1">
      <alignment horizontal="center" vertical="center" textRotation="90"/>
    </xf>
    <xf numFmtId="0" fontId="7" fillId="25" borderId="12" xfId="0" applyFont="1" applyFill="1" applyBorder="1" applyAlignment="1">
      <alignment horizontal="center" vertical="center" textRotation="90"/>
    </xf>
    <xf numFmtId="0" fontId="7" fillId="25" borderId="16" xfId="0" applyFont="1" applyFill="1" applyBorder="1" applyAlignment="1">
      <alignment horizontal="center" vertical="center" textRotation="90"/>
    </xf>
    <xf numFmtId="0" fontId="7" fillId="13" borderId="12" xfId="0" applyFont="1" applyFill="1" applyBorder="1" applyAlignment="1">
      <alignment horizontal="center" vertical="center" textRotation="90"/>
    </xf>
    <xf numFmtId="0" fontId="7" fillId="13" borderId="16" xfId="0" applyFont="1" applyFill="1" applyBorder="1" applyAlignment="1">
      <alignment horizontal="center" vertical="center" textRotation="90"/>
    </xf>
    <xf numFmtId="0" fontId="7" fillId="13" borderId="13" xfId="0" applyFont="1" applyFill="1" applyBorder="1" applyAlignment="1">
      <alignment horizontal="center" vertical="center" textRotation="90"/>
    </xf>
    <xf numFmtId="0" fontId="7" fillId="11" borderId="12" xfId="0" applyFont="1" applyFill="1" applyBorder="1" applyAlignment="1">
      <alignment horizontal="center" vertical="center" textRotation="90"/>
    </xf>
    <xf numFmtId="0" fontId="7" fillId="11" borderId="16" xfId="0" applyFont="1" applyFill="1" applyBorder="1" applyAlignment="1">
      <alignment horizontal="center" vertical="center" textRotation="90"/>
    </xf>
    <xf numFmtId="0" fontId="7" fillId="11" borderId="13" xfId="0" applyFont="1" applyFill="1" applyBorder="1" applyAlignment="1">
      <alignment horizontal="center" vertical="center" textRotation="90"/>
    </xf>
    <xf numFmtId="0" fontId="27" fillId="27" borderId="23" xfId="0" applyFont="1" applyFill="1" applyBorder="1" applyAlignment="1">
      <alignment horizontal="center"/>
    </xf>
    <xf numFmtId="0" fontId="27" fillId="27" borderId="19" xfId="0" applyFont="1" applyFill="1" applyBorder="1" applyAlignment="1">
      <alignment horizontal="center"/>
    </xf>
    <xf numFmtId="0" fontId="5" fillId="0" borderId="14" xfId="0" applyFont="1" applyBorder="1" applyAlignment="1">
      <alignment horizontal="center" vertical="center"/>
    </xf>
    <xf numFmtId="0" fontId="0" fillId="0" borderId="14" xfId="0" applyFont="1" applyBorder="1" applyAlignment="1">
      <alignment horizontal="center" vertical="center" wrapText="1"/>
    </xf>
  </cellXfs>
  <cellStyles count="24">
    <cellStyle name="Comma 2" xfId="1"/>
    <cellStyle name="Comma 2 2" xfId="12"/>
    <cellStyle name="Comma 3" xfId="2"/>
    <cellStyle name="Comma 3 2" xfId="14"/>
    <cellStyle name="Comma 4" xfId="3"/>
    <cellStyle name="Comma 4 2" xfId="15"/>
    <cellStyle name="Comma 5" xfId="11"/>
    <cellStyle name="Comma 6" xfId="16"/>
    <cellStyle name="Currency 2" xfId="4"/>
    <cellStyle name="Hyperlink" xfId="10" builtinId="8"/>
    <cellStyle name="Neutral" xfId="23" builtinId="28"/>
    <cellStyle name="Normal" xfId="0" builtinId="0"/>
    <cellStyle name="Normal 2" xfId="5"/>
    <cellStyle name="Normal 2 2" xfId="17"/>
    <cellStyle name="Normal 3" xfId="6"/>
    <cellStyle name="Normal 3 2" xfId="18"/>
    <cellStyle name="Normal 3 3" xfId="19"/>
    <cellStyle name="Normal 3 4" xfId="20"/>
    <cellStyle name="Normal 3 4 2" xfId="21"/>
    <cellStyle name="Normal 3 4 3" xfId="13"/>
    <cellStyle name="Normal 4" xfId="7"/>
    <cellStyle name="Normal 5" xfId="22"/>
    <cellStyle name="Percent" xfId="8" builtinId="5"/>
    <cellStyle name="Percent 2" xfId="9"/>
  </cellStyles>
  <dxfs count="43">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numFmt numFmtId="23" formatCode="h:mm\ AM/PM"/>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minor"/>
      </font>
      <alignment vertical="center" textRotation="0" indent="0" justifyLastLine="0" shrinkToFit="0" readingOrder="0"/>
    </dxf>
    <dxf>
      <numFmt numFmtId="14" formatCode="0.00%"/>
    </dxf>
    <dxf>
      <font>
        <b val="0"/>
        <i val="0"/>
        <strike val="0"/>
        <condense val="0"/>
        <extend val="0"/>
        <outline val="0"/>
        <shadow val="0"/>
        <u val="none"/>
        <vertAlign val="baseline"/>
        <sz val="11"/>
        <color theme="1"/>
        <name val="Calibri"/>
        <scheme val="minor"/>
      </font>
      <numFmt numFmtId="14" formatCode="0.00%"/>
    </dxf>
    <dxf>
      <font>
        <b val="0"/>
        <i val="0"/>
        <strike val="0"/>
        <condense val="0"/>
        <extend val="0"/>
        <outline val="0"/>
        <shadow val="0"/>
        <u val="none"/>
        <vertAlign val="baseline"/>
        <sz val="11"/>
        <color theme="1"/>
        <name val="Calibri"/>
        <scheme val="minor"/>
      </font>
      <numFmt numFmtId="14" formatCode="0.00%"/>
    </dxf>
    <dxf>
      <numFmt numFmtId="14" formatCode="0.00%"/>
    </dxf>
    <dxf>
      <font>
        <b val="0"/>
        <i val="0"/>
        <strike val="0"/>
        <condense val="0"/>
        <extend val="0"/>
        <outline val="0"/>
        <shadow val="0"/>
        <u val="none"/>
        <vertAlign val="baseline"/>
        <sz val="11"/>
        <color theme="1"/>
        <name val="Calibri"/>
        <scheme val="minor"/>
      </font>
      <numFmt numFmtId="14" formatCode="0.00%"/>
    </dxf>
    <dxf>
      <font>
        <b val="0"/>
        <i val="0"/>
        <strike val="0"/>
        <condense val="0"/>
        <extend val="0"/>
        <outline val="0"/>
        <shadow val="0"/>
        <u val="none"/>
        <vertAlign val="baseline"/>
        <sz val="11"/>
        <color theme="1"/>
        <name val="Calibri"/>
        <scheme val="minor"/>
      </font>
      <numFmt numFmtId="14" formatCode="0.00%"/>
    </dxf>
    <dxf>
      <numFmt numFmtId="14" formatCode="0.00%"/>
    </dxf>
    <dxf>
      <font>
        <b val="0"/>
        <i val="0"/>
        <strike val="0"/>
        <condense val="0"/>
        <extend val="0"/>
        <outline val="0"/>
        <shadow val="0"/>
        <u val="none"/>
        <vertAlign val="baseline"/>
        <sz val="11"/>
        <color theme="1"/>
        <name val="Calibri"/>
        <scheme val="minor"/>
      </font>
      <numFmt numFmtId="14" formatCode="0.00%"/>
    </dxf>
    <dxf>
      <font>
        <b val="0"/>
        <i val="0"/>
        <strike val="0"/>
        <condense val="0"/>
        <extend val="0"/>
        <outline val="0"/>
        <shadow val="0"/>
        <u val="none"/>
        <vertAlign val="baseline"/>
        <sz val="11"/>
        <color theme="1"/>
        <name val="Calibri"/>
        <scheme val="minor"/>
      </font>
      <numFmt numFmtId="14" formatCode="0.00%"/>
    </dxf>
    <dxf>
      <font>
        <b val="0"/>
        <i val="0"/>
        <strike val="0"/>
        <condense val="0"/>
        <extend val="0"/>
        <outline val="0"/>
        <shadow val="0"/>
        <u val="none"/>
        <vertAlign val="baseline"/>
        <sz val="11"/>
        <color theme="1"/>
        <name val="Calibri"/>
        <scheme val="minor"/>
      </font>
      <numFmt numFmtId="14" formatCode="0.00%"/>
    </dxf>
    <dxf>
      <font>
        <b val="0"/>
        <i val="0"/>
        <strike val="0"/>
        <condense val="0"/>
        <extend val="0"/>
        <outline val="0"/>
        <shadow val="0"/>
        <u val="none"/>
        <vertAlign val="baseline"/>
        <sz val="11"/>
        <color theme="1"/>
        <name val="Calibri"/>
        <scheme val="minor"/>
      </font>
      <numFmt numFmtId="14" formatCode="0.00%"/>
    </dxf>
    <dxf>
      <font>
        <b val="0"/>
        <i val="0"/>
        <strike val="0"/>
        <condense val="0"/>
        <extend val="0"/>
        <outline val="0"/>
        <shadow val="0"/>
        <u val="none"/>
        <vertAlign val="baseline"/>
        <sz val="11"/>
        <color theme="1"/>
        <name val="Calibri"/>
        <scheme val="minor"/>
      </font>
      <numFmt numFmtId="14" formatCode="0.00%"/>
    </dxf>
    <dxf>
      <numFmt numFmtId="14" formatCode="0.00%"/>
    </dxf>
    <dxf>
      <numFmt numFmtId="22" formatCode="mmm\-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4" formatCode="0.0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numFmt numFmtId="0" formatCode="General"/>
      <alignment horizontal="center" vertical="bottom" textRotation="0" wrapText="0" indent="0" justifyLastLine="0" shrinkToFit="0" readingOrder="0"/>
    </dxf>
    <dxf>
      <numFmt numFmtId="168" formatCode="[$-409]mmmmm;@"/>
      <alignment horizontal="center" vertical="bottom" textRotation="0" wrapText="0" indent="0" justifyLastLine="0" shrinkToFit="0" readingOrder="0"/>
    </dxf>
    <dxf>
      <numFmt numFmtId="22" formatCode="mmm\-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dxf>
    <dxf>
      <alignment horizontal="center" vertical="bottom" textRotation="0" wrapText="0" indent="0" justifyLastLine="0" shrinkToFit="0" readingOrder="0"/>
    </dxf>
    <dxf>
      <font>
        <b/>
        <i val="0"/>
        <strike val="0"/>
        <condense val="0"/>
        <extend val="0"/>
        <outline val="0"/>
        <shadow val="0"/>
        <u val="none"/>
        <vertAlign val="baseline"/>
        <sz val="10"/>
        <color auto="1"/>
        <name val="Arial"/>
        <scheme val="none"/>
      </font>
    </dxf>
    <dxf>
      <font>
        <b/>
        <color theme="1"/>
      </font>
      <border>
        <bottom style="thin">
          <color theme="5"/>
        </bottom>
        <vertical/>
        <horizontal/>
      </border>
    </dxf>
    <dxf>
      <font>
        <color theme="1"/>
      </font>
      <border diagonalUp="0" diagonalDown="0">
        <left/>
        <right/>
        <top/>
        <bottom/>
        <vertical/>
        <horizontal/>
      </border>
    </dxf>
    <dxf>
      <font>
        <name val="Aharoni"/>
        <scheme val="none"/>
      </font>
      <fill>
        <patternFill>
          <bgColor theme="3" tint="0.59996337778862885"/>
        </patternFill>
      </fill>
      <border>
        <left style="thin">
          <color auto="1"/>
        </left>
        <right style="thin">
          <color auto="1"/>
        </right>
        <top style="thin">
          <color auto="1"/>
        </top>
        <bottom style="thin">
          <color auto="1"/>
        </bottom>
      </border>
    </dxf>
  </dxfs>
  <tableStyles count="3" defaultTableStyle="TableStyleMedium2" defaultPivotStyle="PivotStyleLight16">
    <tableStyle name="Slicer Style 1" pivot="0" table="0" count="1"/>
    <tableStyle name="Slicer Style 4" pivot="0" table="0" count="1">
      <tableStyleElement type="headerRow" dxfId="42"/>
    </tableStyle>
    <tableStyle name="SlicerStyleLight2 2" pivot="0" table="0" count="10">
      <tableStyleElement type="wholeTable" dxfId="41"/>
      <tableStyleElement type="headerRow" dxfId="40"/>
    </tableStyle>
  </tableStyles>
  <colors>
    <mruColors>
      <color rgb="FF0B650F"/>
      <color rgb="FF292929"/>
      <color rgb="FFB00000"/>
      <color rgb="FFA3A3A3"/>
      <color rgb="FF83AEE1"/>
      <color rgb="FF5682D2"/>
      <color rgb="FFC8D7EA"/>
      <color rgb="FFF15727"/>
      <color rgb="FF2D69B1"/>
      <color rgb="FF265996"/>
    </mruColors>
  </colors>
  <extLst>
    <ext xmlns:x14="http://schemas.microsoft.com/office/spreadsheetml/2009/9/main" uri="{46F421CA-312F-682f-3DD2-61675219B42D}">
      <x14:dxfs count="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0"/>
            <color rgb="FF000000"/>
            <name val="Arial Narrow"/>
            <scheme val="none"/>
          </font>
          <fill>
            <gradientFill degree="90">
              <stop position="0">
                <color rgb="FFFFFF00"/>
              </stop>
              <stop position="1">
                <color theme="0"/>
              </stop>
            </gradientFill>
          </fill>
          <border>
            <left style="thin">
              <color auto="1"/>
            </left>
            <right style="thin">
              <color auto="1"/>
            </right>
            <top style="thin">
              <color auto="1"/>
            </top>
            <bottom style="thin">
              <color auto="1"/>
            </bottom>
            <vertical/>
            <horizontal/>
          </border>
        </dxf>
        <dxf>
          <font>
            <b/>
            <i val="0"/>
            <sz val="10"/>
            <color rgb="FF000000"/>
            <name val="Arial Narrow"/>
            <scheme val="none"/>
          </font>
          <fill>
            <gradientFill degree="90">
              <stop position="0">
                <color rgb="FFFFFF00"/>
              </stop>
              <stop position="1">
                <color theme="0"/>
              </stop>
            </gradientFill>
          </fill>
          <border>
            <left style="thin">
              <color theme="1"/>
            </left>
            <right style="thin">
              <color theme="1"/>
            </right>
            <top style="thin">
              <color theme="1"/>
            </top>
            <bottom style="thin">
              <color theme="1"/>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b/>
            <i val="0"/>
            <sz val="10"/>
            <color theme="0"/>
            <name val="Arial Narrow"/>
            <scheme val="none"/>
          </font>
          <fill>
            <gradientFill>
              <stop position="0">
                <color rgb="FF700000"/>
              </stop>
              <stop position="1">
                <color rgb="FFFF2D2D"/>
              </stop>
            </gradientFill>
          </fill>
          <border>
            <left style="thin">
              <color auto="1"/>
            </left>
            <right style="thin">
              <color auto="1"/>
            </right>
            <top style="thin">
              <color auto="1"/>
            </top>
            <bottom style="thin">
              <color auto="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10"/>
            <color theme="0"/>
            <name val="Arial Narrow"/>
            <scheme val="none"/>
          </font>
          <fill>
            <patternFill patternType="solid">
              <fgColor auto="1"/>
              <bgColor theme="7" tint="0.39994506668294322"/>
            </patternFill>
          </fill>
          <border>
            <left style="thin">
              <color auto="1"/>
            </left>
            <right style="thin">
              <color auto="1"/>
            </right>
            <top style="thin">
              <color auto="1"/>
            </top>
            <bottom style="thin">
              <color auto="1"/>
            </bottom>
            <vertical/>
            <horizontal/>
          </border>
        </dxf>
        <dxf>
          <font>
            <color theme="0"/>
          </font>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NoData" dxfId="8"/>
          </x14:slicerStyleElements>
        </x14:slicerStyle>
        <x14:slicerStyle name="Slicer Style 4"/>
        <x14:slicerStyle name="SlicerStyleLight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pivotCacheDefinition" Target="pivotCache/pivotCacheDefinition7.xml"/><Relationship Id="rId39" Type="http://schemas.microsoft.com/office/2007/relationships/slicerCache" Target="slicerCaches/slicerCache12.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34" Type="http://schemas.microsoft.com/office/2007/relationships/slicerCache" Target="slicerCaches/slicerCache7.xml"/><Relationship Id="rId42" Type="http://schemas.microsoft.com/office/2007/relationships/slicerCache" Target="slicerCaches/slicerCache15.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pivotCacheDefinition" Target="pivotCache/pivotCacheDefinition6.xml"/><Relationship Id="rId33" Type="http://schemas.microsoft.com/office/2007/relationships/slicerCache" Target="slicerCaches/slicerCache6.xml"/><Relationship Id="rId38" Type="http://schemas.microsoft.com/office/2007/relationships/slicerCache" Target="slicerCaches/slicerCache11.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7/relationships/slicerCache" Target="slicerCaches/slicerCache2.xml"/><Relationship Id="rId41" Type="http://schemas.microsoft.com/office/2007/relationships/slicerCache" Target="slicerCaches/slicerCache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07/relationships/slicerCache" Target="slicerCaches/slicerCache13.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1.xml"/><Relationship Id="rId36" Type="http://schemas.microsoft.com/office/2007/relationships/slicerCache" Target="slicerCaches/slicerCache9.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microsoft.com/office/2007/relationships/slicerCache" Target="slicerCaches/slicerCache4.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microsoft.com/office/2007/relationships/slicerCache" Target="slicerCaches/slicerCache3.xml"/><Relationship Id="rId35" Type="http://schemas.microsoft.com/office/2007/relationships/slicerCache" Target="slicerCaches/slicerCache8.xml"/><Relationship Id="rId43" Type="http://schemas.openxmlformats.org/officeDocument/2006/relationships/theme" Target="theme/theme1.xml"/><Relationship Id="rId48" Type="http://schemas.openxmlformats.org/officeDocument/2006/relationships/customXml" Target="../customXml/item2.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EHS Rolling Waste (IRL &amp; BRL)</a:t>
            </a:r>
          </a:p>
        </c:rich>
      </c:tx>
      <c:overlay val="0"/>
    </c:title>
    <c:autoTitleDeleted val="0"/>
    <c:plotArea>
      <c:layout/>
      <c:lineChart>
        <c:grouping val="standard"/>
        <c:varyColors val="0"/>
        <c:ser>
          <c:idx val="15"/>
          <c:order val="0"/>
          <c:tx>
            <c:strRef>
              <c:f>'IRL+BRL'!$S$2</c:f>
              <c:strCache>
                <c:ptCount val="1"/>
                <c:pt idx="0">
                  <c:v>Rolling average (solid waste)</c:v>
                </c:pt>
              </c:strCache>
            </c:strRef>
          </c:tx>
          <c:spPr>
            <a:ln>
              <a:solidFill>
                <a:schemeClr val="accent6">
                  <a:lumMod val="75000"/>
                </a:schemeClr>
              </a:solidFill>
            </a:ln>
          </c:spPr>
          <c:marker>
            <c:symbol val="none"/>
          </c:marker>
          <c:cat>
            <c:numRef>
              <c:f>'IRL+BRL'!$C$68:$C$79</c:f>
              <c:numCache>
                <c:formatCode>mmm\-yy</c:formatCode>
                <c:ptCount val="12"/>
                <c:pt idx="0">
                  <c:v>40787</c:v>
                </c:pt>
                <c:pt idx="1">
                  <c:v>40817</c:v>
                </c:pt>
                <c:pt idx="2">
                  <c:v>40848</c:v>
                </c:pt>
                <c:pt idx="3">
                  <c:v>40878</c:v>
                </c:pt>
                <c:pt idx="4">
                  <c:v>40909</c:v>
                </c:pt>
                <c:pt idx="5">
                  <c:v>40940</c:v>
                </c:pt>
                <c:pt idx="6">
                  <c:v>40969</c:v>
                </c:pt>
                <c:pt idx="7">
                  <c:v>41000</c:v>
                </c:pt>
                <c:pt idx="8">
                  <c:v>41030</c:v>
                </c:pt>
                <c:pt idx="9">
                  <c:v>41061</c:v>
                </c:pt>
                <c:pt idx="10">
                  <c:v>41091</c:v>
                </c:pt>
                <c:pt idx="11">
                  <c:v>41122</c:v>
                </c:pt>
              </c:numCache>
            </c:numRef>
          </c:cat>
          <c:val>
            <c:numRef>
              <c:f>'IRL+BRL'!$S$68:$S$79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ser>
          <c:idx val="0"/>
          <c:order val="1"/>
          <c:tx>
            <c:strRef>
              <c:f>'IRL+BRL'!$T$2</c:f>
              <c:strCache>
                <c:ptCount val="1"/>
                <c:pt idx="0">
                  <c:v>Rolling average (Cardboard Recycling)</c:v>
                </c:pt>
              </c:strCache>
            </c:strRef>
          </c:tx>
          <c:marker>
            <c:symbol val="none"/>
          </c:marker>
          <c:val>
            <c:numRef>
              <c:f>'IRL+BRL'!$T$68:$T$79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ser>
          <c:idx val="1"/>
          <c:order val="2"/>
          <c:tx>
            <c:strRef>
              <c:f>'IRL+BRL'!$U$2</c:f>
              <c:strCache>
                <c:ptCount val="1"/>
                <c:pt idx="0">
                  <c:v>Rolling average (Mixed Recycling)</c:v>
                </c:pt>
              </c:strCache>
            </c:strRef>
          </c:tx>
          <c:marker>
            <c:symbol val="none"/>
          </c:marker>
          <c:val>
            <c:numRef>
              <c:f>'IRL+BRL'!$U$68:$U$79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ser>
          <c:idx val="2"/>
          <c:order val="3"/>
          <c:tx>
            <c:strRef>
              <c:f>'IRL+BRL'!$V$2</c:f>
              <c:strCache>
                <c:ptCount val="1"/>
                <c:pt idx="0">
                  <c:v>Rolling average (Organics/Compost)</c:v>
                </c:pt>
              </c:strCache>
            </c:strRef>
          </c:tx>
          <c:marker>
            <c:symbol val="none"/>
          </c:marker>
          <c:val>
            <c:numRef>
              <c:f>'IRL+BRL'!$V$68:$V$79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ser>
          <c:idx val="17"/>
          <c:order val="4"/>
          <c:tx>
            <c:strRef>
              <c:f>'IRL+BRL'!$W$2</c:f>
              <c:strCache>
                <c:ptCount val="1"/>
                <c:pt idx="0">
                  <c:v>Rolling average (Shred-IT)</c:v>
                </c:pt>
              </c:strCache>
            </c:strRef>
          </c:tx>
          <c:spPr>
            <a:ln>
              <a:solidFill>
                <a:schemeClr val="tx2">
                  <a:lumMod val="60000"/>
                  <a:lumOff val="40000"/>
                </a:schemeClr>
              </a:solidFill>
            </a:ln>
          </c:spPr>
          <c:marker>
            <c:symbol val="none"/>
          </c:marker>
          <c:cat>
            <c:numRef>
              <c:f>'IRL+BRL'!$C$68:$C$79</c:f>
              <c:numCache>
                <c:formatCode>mmm\-yy</c:formatCode>
                <c:ptCount val="12"/>
                <c:pt idx="0">
                  <c:v>40787</c:v>
                </c:pt>
                <c:pt idx="1">
                  <c:v>40817</c:v>
                </c:pt>
                <c:pt idx="2">
                  <c:v>40848</c:v>
                </c:pt>
                <c:pt idx="3">
                  <c:v>40878</c:v>
                </c:pt>
                <c:pt idx="4">
                  <c:v>40909</c:v>
                </c:pt>
                <c:pt idx="5">
                  <c:v>40940</c:v>
                </c:pt>
                <c:pt idx="6">
                  <c:v>40969</c:v>
                </c:pt>
                <c:pt idx="7">
                  <c:v>41000</c:v>
                </c:pt>
                <c:pt idx="8">
                  <c:v>41030</c:v>
                </c:pt>
                <c:pt idx="9">
                  <c:v>41061</c:v>
                </c:pt>
                <c:pt idx="10">
                  <c:v>41091</c:v>
                </c:pt>
                <c:pt idx="11">
                  <c:v>41122</c:v>
                </c:pt>
              </c:numCache>
            </c:numRef>
          </c:cat>
          <c:val>
            <c:numRef>
              <c:f>'IRL+BRL'!$W$68:$W$79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marker val="1"/>
        <c:smooth val="0"/>
        <c:axId val="200774784"/>
        <c:axId val="200776320"/>
      </c:lineChart>
      <c:dateAx>
        <c:axId val="200774784"/>
        <c:scaling>
          <c:orientation val="minMax"/>
        </c:scaling>
        <c:delete val="0"/>
        <c:axPos val="b"/>
        <c:numFmt formatCode="mmm\/yy" sourceLinked="0"/>
        <c:majorTickMark val="in"/>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0776320"/>
        <c:crosses val="autoZero"/>
        <c:auto val="1"/>
        <c:lblOffset val="100"/>
        <c:baseTimeUnit val="months"/>
      </c:dateAx>
      <c:valAx>
        <c:axId val="200776320"/>
        <c:scaling>
          <c:orientation val="minMax"/>
        </c:scaling>
        <c:delete val="0"/>
        <c:axPos val="l"/>
        <c:majorGridlines/>
        <c:title>
          <c:tx>
            <c:rich>
              <a:bodyPr/>
              <a:lstStyle/>
              <a:p>
                <a:pPr>
                  <a:defRPr sz="1300" b="1" i="0" u="none" strike="noStrike" baseline="0">
                    <a:solidFill>
                      <a:srgbClr val="000000"/>
                    </a:solidFill>
                    <a:latin typeface="Calibri"/>
                    <a:ea typeface="Calibri"/>
                    <a:cs typeface="Calibri"/>
                  </a:defRPr>
                </a:pPr>
                <a:r>
                  <a:rPr lang="en-US"/>
                  <a:t>Kilograms (KG)</a:t>
                </a:r>
              </a:p>
            </c:rich>
          </c:tx>
          <c:overlay val="0"/>
        </c:title>
        <c:numFmt formatCode="General" sourceLinked="1"/>
        <c:majorTickMark val="in"/>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0774784"/>
        <c:crosses val="autoZero"/>
        <c:crossBetween val="between"/>
      </c:valAx>
    </c:plotArea>
    <c:legend>
      <c:legendPos val="b"/>
      <c:overlay val="0"/>
      <c:spPr>
        <a:ln>
          <a:solidFill>
            <a:sysClr val="windowText" lastClr="000000"/>
          </a:solidFill>
        </a:ln>
      </c:spPr>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FY2009 Waste Profile (IRL &amp; BRL)</a:t>
            </a:r>
          </a:p>
        </c:rich>
      </c:tx>
      <c:overlay val="0"/>
    </c:title>
    <c:autoTitleDeleted val="0"/>
    <c:view3D>
      <c:rotX val="30"/>
      <c:rotY val="0"/>
      <c:rAngAx val="0"/>
      <c:perspective val="30"/>
    </c:view3D>
    <c:floor>
      <c:thickness val="0"/>
    </c:floor>
    <c:sideWall>
      <c:thickness val="0"/>
    </c:sideWall>
    <c:backWall>
      <c:thickness val="0"/>
    </c:backWall>
    <c:plotArea>
      <c:layout/>
      <c:pie3DChart>
        <c:varyColors val="1"/>
        <c:ser>
          <c:idx val="0"/>
          <c:order val="0"/>
          <c:tx>
            <c:strRef>
              <c:f>Metric!$C$26</c:f>
              <c:strCache>
                <c:ptCount val="1"/>
                <c:pt idx="0">
                  <c:v>Total</c:v>
                </c:pt>
              </c:strCache>
            </c:strRef>
          </c:tx>
          <c:dPt>
            <c:idx val="0"/>
            <c:bubble3D val="0"/>
          </c:dPt>
          <c:dPt>
            <c:idx val="1"/>
            <c:bubble3D val="0"/>
          </c:dPt>
          <c:dPt>
            <c:idx val="2"/>
            <c:bubble3D val="0"/>
          </c:dPt>
          <c:dPt>
            <c:idx val="3"/>
            <c:bubble3D val="0"/>
          </c:dPt>
          <c:dPt>
            <c:idx val="4"/>
            <c:bubble3D val="0"/>
          </c:dPt>
          <c:dLbls>
            <c:dLbl>
              <c:idx val="0"/>
              <c:layout>
                <c:manualLayout>
                  <c:x val="6.0015091863517063E-2"/>
                  <c:y val="3.8362131816856229E-2"/>
                </c:manualLayout>
              </c:layout>
              <c:dLblPos val="bestFit"/>
              <c:showLegendKey val="0"/>
              <c:showVal val="0"/>
              <c:showCatName val="1"/>
              <c:showSerName val="0"/>
              <c:showPercent val="1"/>
              <c:showBubbleSize val="0"/>
            </c:dLbl>
            <c:dLbl>
              <c:idx val="2"/>
              <c:spPr/>
              <c:txPr>
                <a:bodyPr/>
                <a:lstStyle/>
                <a:p>
                  <a:pPr>
                    <a:defRPr sz="1200" b="0" i="0" u="none" strike="noStrike" baseline="0">
                      <a:solidFill>
                        <a:srgbClr val="000000"/>
                      </a:solidFill>
                      <a:latin typeface="Calibri"/>
                      <a:ea typeface="Calibri"/>
                      <a:cs typeface="Calibri"/>
                    </a:defRPr>
                  </a:pPr>
                  <a:endParaRPr lang="en-US"/>
                </a:p>
              </c:txPr>
              <c:dLblPos val="bestFit"/>
              <c:showLegendKey val="0"/>
              <c:showVal val="0"/>
              <c:showCatName val="1"/>
              <c:showSerName val="0"/>
              <c:showPercent val="1"/>
              <c:showBubbleSize val="0"/>
            </c:dLbl>
            <c:txPr>
              <a:bodyPr/>
              <a:lstStyle/>
              <a:p>
                <a:pPr>
                  <a:defRPr sz="1400" b="0" i="0" u="none" strike="noStrike" baseline="0">
                    <a:solidFill>
                      <a:srgbClr val="000000"/>
                    </a:solidFill>
                    <a:latin typeface="Calibri"/>
                    <a:ea typeface="Calibri"/>
                    <a:cs typeface="Calibri"/>
                  </a:defRPr>
                </a:pPr>
                <a:endParaRPr lang="en-US"/>
              </a:p>
            </c:txPr>
            <c:dLblPos val="bestFit"/>
            <c:showLegendKey val="0"/>
            <c:showVal val="0"/>
            <c:showCatName val="1"/>
            <c:showSerName val="0"/>
            <c:showPercent val="1"/>
            <c:showBubbleSize val="0"/>
            <c:showLeaderLines val="1"/>
          </c:dLbls>
          <c:cat>
            <c:strRef>
              <c:f>Metric!$B$27:$B$31</c:f>
              <c:strCache>
                <c:ptCount val="5"/>
                <c:pt idx="0">
                  <c:v>Solid Waste</c:v>
                </c:pt>
                <c:pt idx="1">
                  <c:v>Organics</c:v>
                </c:pt>
                <c:pt idx="2">
                  <c:v>Biohazardous Waste</c:v>
                </c:pt>
                <c:pt idx="3">
                  <c:v>Shred-IT</c:v>
                </c:pt>
                <c:pt idx="4">
                  <c:v>Total Recycling</c:v>
                </c:pt>
              </c:strCache>
            </c:strRef>
          </c:cat>
          <c:val>
            <c:numRef>
              <c:f>Metric!$C$27:$C$31</c:f>
              <c:numCache>
                <c:formatCode>General</c:formatCode>
                <c:ptCount val="5"/>
                <c:pt idx="0">
                  <c:v>196180</c:v>
                </c:pt>
                <c:pt idx="1">
                  <c:v>7650</c:v>
                </c:pt>
                <c:pt idx="2">
                  <c:v>309298</c:v>
                </c:pt>
                <c:pt idx="3">
                  <c:v>26085</c:v>
                </c:pt>
                <c:pt idx="4">
                  <c:v>75492</c:v>
                </c:pt>
              </c:numCache>
            </c:numRef>
          </c:val>
        </c:ser>
        <c:dLbls>
          <c:showLegendKey val="0"/>
          <c:showVal val="0"/>
          <c:showCatName val="0"/>
          <c:showSerName val="0"/>
          <c:showPercent val="0"/>
          <c:showBubbleSize val="0"/>
          <c:showLeaderLines val="1"/>
        </c:dLbls>
      </c:pie3DChart>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FY2011 Waste Profile (IRL &amp; BRL)</a:t>
            </a:r>
          </a:p>
        </c:rich>
      </c:tx>
      <c:overlay val="0"/>
    </c:title>
    <c:autoTitleDeleted val="0"/>
    <c:view3D>
      <c:rotX val="30"/>
      <c:rotY val="0"/>
      <c:rAngAx val="0"/>
      <c:perspective val="30"/>
    </c:view3D>
    <c:floor>
      <c:thickness val="0"/>
    </c:floor>
    <c:sideWall>
      <c:thickness val="0"/>
    </c:sideWall>
    <c:backWall>
      <c:thickness val="0"/>
    </c:backWall>
    <c:plotArea>
      <c:layout/>
      <c:pie3DChart>
        <c:varyColors val="1"/>
        <c:ser>
          <c:idx val="0"/>
          <c:order val="0"/>
          <c:tx>
            <c:strRef>
              <c:f>Metric!$C$10</c:f>
              <c:strCache>
                <c:ptCount val="1"/>
                <c:pt idx="0">
                  <c:v>Total</c:v>
                </c:pt>
              </c:strCache>
            </c:strRef>
          </c:tx>
          <c:dPt>
            <c:idx val="0"/>
            <c:bubble3D val="0"/>
          </c:dPt>
          <c:dPt>
            <c:idx val="1"/>
            <c:bubble3D val="0"/>
          </c:dPt>
          <c:dPt>
            <c:idx val="2"/>
            <c:bubble3D val="0"/>
          </c:dPt>
          <c:dPt>
            <c:idx val="3"/>
            <c:bubble3D val="0"/>
          </c:dPt>
          <c:dPt>
            <c:idx val="4"/>
            <c:bubble3D val="0"/>
          </c:dPt>
          <c:dLbls>
            <c:dLbl>
              <c:idx val="0"/>
              <c:layout>
                <c:manualLayout>
                  <c:x val="0.10743667979002625"/>
                  <c:y val="8.5668197725284334E-2"/>
                </c:manualLayout>
              </c:layout>
              <c:dLblPos val="bestFit"/>
              <c:showLegendKey val="0"/>
              <c:showVal val="0"/>
              <c:showCatName val="1"/>
              <c:showSerName val="0"/>
              <c:showPercent val="1"/>
              <c:showBubbleSize val="0"/>
            </c:dLbl>
            <c:dLbl>
              <c:idx val="2"/>
              <c:layout>
                <c:manualLayout>
                  <c:x val="0.14862795275590551"/>
                  <c:y val="-0.28958333333333336"/>
                </c:manualLayout>
              </c:layout>
              <c:spPr/>
              <c:txPr>
                <a:bodyPr/>
                <a:lstStyle/>
                <a:p>
                  <a:pPr>
                    <a:defRPr sz="1200" b="0" i="0" u="none" strike="noStrike" baseline="0">
                      <a:solidFill>
                        <a:srgbClr val="000000"/>
                      </a:solidFill>
                      <a:latin typeface="Calibri"/>
                      <a:ea typeface="Calibri"/>
                      <a:cs typeface="Calibri"/>
                    </a:defRPr>
                  </a:pPr>
                  <a:endParaRPr lang="en-US"/>
                </a:p>
              </c:txPr>
              <c:dLblPos val="bestFit"/>
              <c:showLegendKey val="0"/>
              <c:showVal val="0"/>
              <c:showCatName val="1"/>
              <c:showSerName val="0"/>
              <c:showPercent val="1"/>
              <c:showBubbleSize val="0"/>
            </c:dLbl>
            <c:dLbl>
              <c:idx val="3"/>
              <c:layout>
                <c:manualLayout>
                  <c:x val="-8.3904199475065611E-2"/>
                  <c:y val="0.13944152814231556"/>
                </c:manualLayout>
              </c:layout>
              <c:dLblPos val="bestFit"/>
              <c:showLegendKey val="0"/>
              <c:showVal val="0"/>
              <c:showCatName val="1"/>
              <c:showSerName val="0"/>
              <c:showPercent val="1"/>
              <c:showBubbleSize val="0"/>
            </c:dLbl>
            <c:txPr>
              <a:bodyPr/>
              <a:lstStyle/>
              <a:p>
                <a:pPr>
                  <a:defRPr sz="1400" b="0" i="0" u="none" strike="noStrike" baseline="0">
                    <a:solidFill>
                      <a:srgbClr val="000000"/>
                    </a:solidFill>
                    <a:latin typeface="Calibri"/>
                    <a:ea typeface="Calibri"/>
                    <a:cs typeface="Calibri"/>
                  </a:defRPr>
                </a:pPr>
                <a:endParaRPr lang="en-US"/>
              </a:p>
            </c:txPr>
            <c:showLegendKey val="0"/>
            <c:showVal val="0"/>
            <c:showCatName val="1"/>
            <c:showSerName val="0"/>
            <c:showPercent val="1"/>
            <c:showBubbleSize val="0"/>
            <c:showLeaderLines val="1"/>
          </c:dLbls>
          <c:cat>
            <c:strRef>
              <c:f>Metric!$B$11:$B$15</c:f>
              <c:strCache>
                <c:ptCount val="5"/>
                <c:pt idx="0">
                  <c:v>Solid Waste</c:v>
                </c:pt>
                <c:pt idx="1">
                  <c:v>Organics</c:v>
                </c:pt>
                <c:pt idx="2">
                  <c:v>Biohazardous Waste</c:v>
                </c:pt>
                <c:pt idx="3">
                  <c:v>Shred-IT</c:v>
                </c:pt>
                <c:pt idx="4">
                  <c:v>Total Recycling</c:v>
                </c:pt>
              </c:strCache>
            </c:strRef>
          </c:cat>
          <c:val>
            <c:numRef>
              <c:f>Metric!$C$11:$C$15</c:f>
              <c:numCache>
                <c:formatCode>General</c:formatCode>
                <c:ptCount val="5"/>
                <c:pt idx="0">
                  <c:v>183634</c:v>
                </c:pt>
                <c:pt idx="1">
                  <c:v>10837</c:v>
                </c:pt>
                <c:pt idx="2">
                  <c:v>323703</c:v>
                </c:pt>
                <c:pt idx="3">
                  <c:v>35494</c:v>
                </c:pt>
                <c:pt idx="4">
                  <c:v>82353</c:v>
                </c:pt>
              </c:numCache>
            </c:numRef>
          </c:val>
        </c:ser>
        <c:dLbls>
          <c:showLegendKey val="0"/>
          <c:showVal val="0"/>
          <c:showCatName val="0"/>
          <c:showSerName val="0"/>
          <c:showPercent val="0"/>
          <c:showBubbleSize val="0"/>
          <c:showLeaderLines val="1"/>
        </c:dLbls>
      </c:pie3DChart>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000000"/>
                </a:solidFill>
                <a:latin typeface="Calibri"/>
              </a:rPr>
              <a:t>Waste Profile (IRL &amp; BRL)</a:t>
            </a:r>
          </a:p>
          <a:p>
            <a:pPr>
              <a:defRPr sz="1000" b="0" i="0" u="none" strike="noStrike" baseline="0">
                <a:solidFill>
                  <a:srgbClr val="000000"/>
                </a:solidFill>
                <a:latin typeface="Calibri"/>
                <a:ea typeface="Calibri"/>
                <a:cs typeface="Calibri"/>
              </a:defRPr>
            </a:pPr>
            <a:r>
              <a:rPr lang="en-US" sz="1800" b="1" i="0" u="none" strike="noStrike" baseline="0">
                <a:solidFill>
                  <a:srgbClr val="000000"/>
                </a:solidFill>
                <a:latin typeface="Calibri"/>
              </a:rPr>
              <a:t>Year over Year Comparison</a:t>
            </a:r>
          </a:p>
        </c:rich>
      </c:tx>
      <c:overlay val="0"/>
    </c:title>
    <c:autoTitleDeleted val="0"/>
    <c:plotArea>
      <c:layout/>
      <c:barChart>
        <c:barDir val="bar"/>
        <c:grouping val="percentStacked"/>
        <c:varyColors val="0"/>
        <c:ser>
          <c:idx val="2"/>
          <c:order val="0"/>
          <c:tx>
            <c:strRef>
              <c:f>Metric!$B$43</c:f>
              <c:strCache>
                <c:ptCount val="1"/>
                <c:pt idx="0">
                  <c:v>Biohazardous Waste</c:v>
                </c:pt>
              </c:strCache>
            </c:strRef>
          </c:tx>
          <c:invertIfNegative val="0"/>
          <c:dLbls>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Metric!$C$38:$F$38</c:f>
              <c:strCache>
                <c:ptCount val="4"/>
                <c:pt idx="0">
                  <c:v>FY2009</c:v>
                </c:pt>
                <c:pt idx="1">
                  <c:v>FY2010</c:v>
                </c:pt>
                <c:pt idx="2">
                  <c:v>FY2011</c:v>
                </c:pt>
                <c:pt idx="3">
                  <c:v>FY2012 - YTD</c:v>
                </c:pt>
              </c:strCache>
            </c:strRef>
          </c:cat>
          <c:val>
            <c:numRef>
              <c:f>Metric!$C$43:$F$43</c:f>
              <c:numCache>
                <c:formatCode>0%</c:formatCode>
                <c:ptCount val="4"/>
                <c:pt idx="0">
                  <c:v>0.50316493277263075</c:v>
                </c:pt>
                <c:pt idx="1">
                  <c:v>0.51061342551307953</c:v>
                </c:pt>
                <c:pt idx="2">
                  <c:v>0.50895017617342819</c:v>
                </c:pt>
                <c:pt idx="3">
                  <c:v>0.48867712724702622</c:v>
                </c:pt>
              </c:numCache>
            </c:numRef>
          </c:val>
        </c:ser>
        <c:ser>
          <c:idx val="0"/>
          <c:order val="1"/>
          <c:tx>
            <c:strRef>
              <c:f>Metric!$B$42</c:f>
              <c:strCache>
                <c:ptCount val="1"/>
                <c:pt idx="0">
                  <c:v>Solid Waste</c:v>
                </c:pt>
              </c:strCache>
            </c:strRef>
          </c:tx>
          <c:invertIfNegative val="0"/>
          <c:dLbls>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Metric!$C$38:$F$38</c:f>
              <c:strCache>
                <c:ptCount val="4"/>
                <c:pt idx="0">
                  <c:v>FY2009</c:v>
                </c:pt>
                <c:pt idx="1">
                  <c:v>FY2010</c:v>
                </c:pt>
                <c:pt idx="2">
                  <c:v>FY2011</c:v>
                </c:pt>
                <c:pt idx="3">
                  <c:v>FY2012 - YTD</c:v>
                </c:pt>
              </c:strCache>
            </c:strRef>
          </c:cat>
          <c:val>
            <c:numRef>
              <c:f>Metric!$C$42:$F$42</c:f>
              <c:numCache>
                <c:formatCode>0%</c:formatCode>
                <c:ptCount val="4"/>
                <c:pt idx="0">
                  <c:v>0.31914495571046275</c:v>
                </c:pt>
                <c:pt idx="1">
                  <c:v>0.27535564541495477</c:v>
                </c:pt>
                <c:pt idx="2">
                  <c:v>0.28872317109026274</c:v>
                </c:pt>
                <c:pt idx="3">
                  <c:v>0.30590885731336459</c:v>
                </c:pt>
              </c:numCache>
            </c:numRef>
          </c:val>
        </c:ser>
        <c:ser>
          <c:idx val="4"/>
          <c:order val="2"/>
          <c:tx>
            <c:strRef>
              <c:f>Metric!$B$41</c:f>
              <c:strCache>
                <c:ptCount val="1"/>
                <c:pt idx="0">
                  <c:v>Total Recycling</c:v>
                </c:pt>
              </c:strCache>
            </c:strRef>
          </c:tx>
          <c:invertIfNegative val="0"/>
          <c:dLbls>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Metric!$C$38:$F$38</c:f>
              <c:strCache>
                <c:ptCount val="4"/>
                <c:pt idx="0">
                  <c:v>FY2009</c:v>
                </c:pt>
                <c:pt idx="1">
                  <c:v>FY2010</c:v>
                </c:pt>
                <c:pt idx="2">
                  <c:v>FY2011</c:v>
                </c:pt>
                <c:pt idx="3">
                  <c:v>FY2012 - YTD</c:v>
                </c:pt>
              </c:strCache>
            </c:strRef>
          </c:cat>
          <c:val>
            <c:numRef>
              <c:f>Metric!$C$41:$F$41</c:f>
              <c:numCache>
                <c:formatCode>0%</c:formatCode>
                <c:ptCount val="4"/>
                <c:pt idx="0">
                  <c:v>0.12281012843559105</c:v>
                </c:pt>
                <c:pt idx="1">
                  <c:v>0.14378062344552067</c:v>
                </c:pt>
                <c:pt idx="2">
                  <c:v>0.12948157372162239</c:v>
                </c:pt>
                <c:pt idx="3">
                  <c:v>0.14929333052592608</c:v>
                </c:pt>
              </c:numCache>
            </c:numRef>
          </c:val>
        </c:ser>
        <c:ser>
          <c:idx val="3"/>
          <c:order val="3"/>
          <c:tx>
            <c:strRef>
              <c:f>Metric!$B$40</c:f>
              <c:strCache>
                <c:ptCount val="1"/>
                <c:pt idx="0">
                  <c:v>Shred-IT</c:v>
                </c:pt>
              </c:strCache>
            </c:strRef>
          </c:tx>
          <c:invertIfNegative val="0"/>
          <c:dLbls>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Metric!$C$38:$F$38</c:f>
              <c:strCache>
                <c:ptCount val="4"/>
                <c:pt idx="0">
                  <c:v>FY2009</c:v>
                </c:pt>
                <c:pt idx="1">
                  <c:v>FY2010</c:v>
                </c:pt>
                <c:pt idx="2">
                  <c:v>FY2011</c:v>
                </c:pt>
                <c:pt idx="3">
                  <c:v>FY2012 - YTD</c:v>
                </c:pt>
              </c:strCache>
            </c:strRef>
          </c:cat>
          <c:val>
            <c:numRef>
              <c:f>Metric!$C$40:$F$40</c:f>
              <c:numCache>
                <c:formatCode>0%</c:formatCode>
                <c:ptCount val="4"/>
                <c:pt idx="0">
                  <c:v>4.2434989141132737E-2</c:v>
                </c:pt>
                <c:pt idx="1">
                  <c:v>5.7360490039982746E-2</c:v>
                </c:pt>
                <c:pt idx="2">
                  <c:v>5.5806333438675769E-2</c:v>
                </c:pt>
                <c:pt idx="3">
                  <c:v>4.0795439594667256E-2</c:v>
                </c:pt>
              </c:numCache>
            </c:numRef>
          </c:val>
        </c:ser>
        <c:ser>
          <c:idx val="1"/>
          <c:order val="4"/>
          <c:tx>
            <c:strRef>
              <c:f>Metric!$B$39</c:f>
              <c:strCache>
                <c:ptCount val="1"/>
                <c:pt idx="0">
                  <c:v>Organics</c:v>
                </c:pt>
              </c:strCache>
            </c:strRef>
          </c:tx>
          <c:invertIfNegative val="0"/>
          <c:dLbls>
            <c:txPr>
              <a:bodyPr/>
              <a:lstStyle/>
              <a:p>
                <a:pP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Metric!$C$38:$F$38</c:f>
              <c:strCache>
                <c:ptCount val="4"/>
                <c:pt idx="0">
                  <c:v>FY2009</c:v>
                </c:pt>
                <c:pt idx="1">
                  <c:v>FY2010</c:v>
                </c:pt>
                <c:pt idx="2">
                  <c:v>FY2011</c:v>
                </c:pt>
                <c:pt idx="3">
                  <c:v>FY2012 - YTD</c:v>
                </c:pt>
              </c:strCache>
            </c:strRef>
          </c:cat>
          <c:val>
            <c:numRef>
              <c:f>Metric!$C$39:$F$39</c:f>
              <c:numCache>
                <c:formatCode>0%</c:formatCode>
                <c:ptCount val="4"/>
                <c:pt idx="0">
                  <c:v>1.244499394018269E-2</c:v>
                </c:pt>
                <c:pt idx="1">
                  <c:v>1.2889815586462289E-2</c:v>
                </c:pt>
                <c:pt idx="2">
                  <c:v>1.7038745576010855E-2</c:v>
                </c:pt>
                <c:pt idx="3">
                  <c:v>1.5325245319015881E-2</c:v>
                </c:pt>
              </c:numCache>
            </c:numRef>
          </c:val>
        </c:ser>
        <c:dLbls>
          <c:showLegendKey val="0"/>
          <c:showVal val="0"/>
          <c:showCatName val="0"/>
          <c:showSerName val="0"/>
          <c:showPercent val="0"/>
          <c:showBubbleSize val="0"/>
        </c:dLbls>
        <c:gapWidth val="55"/>
        <c:overlap val="100"/>
        <c:axId val="200653440"/>
        <c:axId val="200667520"/>
      </c:barChart>
      <c:catAx>
        <c:axId val="200653440"/>
        <c:scaling>
          <c:orientation val="minMax"/>
        </c:scaling>
        <c:delete val="0"/>
        <c:axPos val="l"/>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0667520"/>
        <c:crosses val="autoZero"/>
        <c:auto val="1"/>
        <c:lblAlgn val="ctr"/>
        <c:lblOffset val="100"/>
        <c:noMultiLvlLbl val="0"/>
      </c:catAx>
      <c:valAx>
        <c:axId val="200667520"/>
        <c:scaling>
          <c:orientation val="minMax"/>
        </c:scaling>
        <c:delete val="0"/>
        <c:axPos val="b"/>
        <c:majorGridlines/>
        <c:numFmt formatCode="0%"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0653440"/>
        <c:crosses val="autoZero"/>
        <c:crossBetween val="between"/>
      </c:valAx>
    </c:plotArea>
    <c:legend>
      <c:legendPos val="r"/>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000000"/>
                </a:solidFill>
                <a:latin typeface="Calibri"/>
              </a:rPr>
              <a:t>Waste to Landfill </a:t>
            </a:r>
          </a:p>
          <a:p>
            <a:pPr>
              <a:defRPr sz="1000" b="0" i="0" u="none" strike="noStrike" baseline="0">
                <a:solidFill>
                  <a:srgbClr val="000000"/>
                </a:solidFill>
                <a:latin typeface="Calibri"/>
                <a:ea typeface="Calibri"/>
                <a:cs typeface="Calibri"/>
              </a:defRPr>
            </a:pPr>
            <a:r>
              <a:rPr lang="en-US" sz="1800" b="1" i="0" u="none" strike="noStrike" baseline="0">
                <a:solidFill>
                  <a:srgbClr val="000000"/>
                </a:solidFill>
                <a:latin typeface="Calibri"/>
              </a:rPr>
              <a:t>Year over Year Comparison</a:t>
            </a:r>
          </a:p>
        </c:rich>
      </c:tx>
      <c:overlay val="0"/>
    </c:title>
    <c:autoTitleDeleted val="0"/>
    <c:plotArea>
      <c:layout/>
      <c:lineChart>
        <c:grouping val="standard"/>
        <c:varyColors val="0"/>
        <c:ser>
          <c:idx val="0"/>
          <c:order val="0"/>
          <c:tx>
            <c:strRef>
              <c:f>'Waste to Landfill comparison'!$L$4</c:f>
              <c:strCache>
                <c:ptCount val="1"/>
                <c:pt idx="0">
                  <c:v>IRL</c:v>
                </c:pt>
              </c:strCache>
            </c:strRef>
          </c:tx>
          <c:marker>
            <c:symbol val="diamond"/>
            <c:size val="5"/>
          </c:marker>
          <c:cat>
            <c:multiLvlStrRef>
              <c:f>'Waste to Landfill comparison'!$J$5:$K$18</c:f>
              <c:multiLvlStrCache>
                <c:ptCount val="14"/>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lvl>
                <c:lvl>
                  <c:pt idx="0">
                    <c:v>FY2009</c:v>
                  </c:pt>
                  <c:pt idx="4">
                    <c:v>FY2010</c:v>
                  </c:pt>
                  <c:pt idx="8">
                    <c:v>FY2011</c:v>
                  </c:pt>
                  <c:pt idx="12">
                    <c:v>FY2012</c:v>
                  </c:pt>
                </c:lvl>
              </c:multiLvlStrCache>
            </c:multiLvlStrRef>
          </c:cat>
          <c:val>
            <c:numRef>
              <c:f>'Waste to Landfill comparison'!$L$5:$L$18</c:f>
              <c:numCache>
                <c:formatCode>General</c:formatCode>
                <c:ptCount val="14"/>
                <c:pt idx="0">
                  <c:v>30470</c:v>
                </c:pt>
                <c:pt idx="1">
                  <c:v>37170</c:v>
                </c:pt>
                <c:pt idx="2">
                  <c:v>34060</c:v>
                </c:pt>
                <c:pt idx="3">
                  <c:v>34200</c:v>
                </c:pt>
                <c:pt idx="4">
                  <c:v>31990</c:v>
                </c:pt>
                <c:pt idx="5">
                  <c:v>29840</c:v>
                </c:pt>
                <c:pt idx="6">
                  <c:v>29410</c:v>
                </c:pt>
                <c:pt idx="7">
                  <c:v>27340</c:v>
                </c:pt>
                <c:pt idx="8">
                  <c:v>26830</c:v>
                </c:pt>
                <c:pt idx="9">
                  <c:v>30240</c:v>
                </c:pt>
                <c:pt idx="10">
                  <c:v>34530</c:v>
                </c:pt>
                <c:pt idx="11">
                  <c:v>31460</c:v>
                </c:pt>
                <c:pt idx="12">
                  <c:v>31396</c:v>
                </c:pt>
                <c:pt idx="13">
                  <c:v>34360</c:v>
                </c:pt>
              </c:numCache>
            </c:numRef>
          </c:val>
          <c:smooth val="0"/>
        </c:ser>
        <c:ser>
          <c:idx val="2"/>
          <c:order val="1"/>
          <c:tx>
            <c:strRef>
              <c:f>'Waste to Landfill comparison'!$P$4</c:f>
              <c:strCache>
                <c:ptCount val="1"/>
                <c:pt idx="0">
                  <c:v>BRL</c:v>
                </c:pt>
              </c:strCache>
            </c:strRef>
          </c:tx>
          <c:spPr>
            <a:ln>
              <a:solidFill>
                <a:schemeClr val="accent2"/>
              </a:solidFill>
            </a:ln>
          </c:spPr>
          <c:marker>
            <c:spPr>
              <a:solidFill>
                <a:schemeClr val="accent2"/>
              </a:solidFill>
              <a:ln>
                <a:solidFill>
                  <a:schemeClr val="accent2"/>
                </a:solidFill>
              </a:ln>
            </c:spPr>
          </c:marker>
          <c:cat>
            <c:multiLvlStrRef>
              <c:f>'Waste to Landfill comparison'!$J$5:$K$18</c:f>
              <c:multiLvlStrCache>
                <c:ptCount val="14"/>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lvl>
                <c:lvl>
                  <c:pt idx="0">
                    <c:v>FY2009</c:v>
                  </c:pt>
                  <c:pt idx="4">
                    <c:v>FY2010</c:v>
                  </c:pt>
                  <c:pt idx="8">
                    <c:v>FY2011</c:v>
                  </c:pt>
                  <c:pt idx="12">
                    <c:v>FY2012</c:v>
                  </c:pt>
                </c:lvl>
              </c:multiLvlStrCache>
            </c:multiLvlStrRef>
          </c:cat>
          <c:val>
            <c:numRef>
              <c:f>'Waste to Landfill comparison'!$P$5:$P$18</c:f>
              <c:numCache>
                <c:formatCode>General</c:formatCode>
                <c:ptCount val="14"/>
                <c:pt idx="0">
                  <c:v>17663</c:v>
                </c:pt>
                <c:pt idx="1">
                  <c:v>16174</c:v>
                </c:pt>
                <c:pt idx="2">
                  <c:v>15552</c:v>
                </c:pt>
                <c:pt idx="3">
                  <c:v>15491</c:v>
                </c:pt>
                <c:pt idx="4">
                  <c:v>14537</c:v>
                </c:pt>
                <c:pt idx="5">
                  <c:v>13445</c:v>
                </c:pt>
                <c:pt idx="6">
                  <c:v>13444</c:v>
                </c:pt>
                <c:pt idx="7">
                  <c:v>13144</c:v>
                </c:pt>
                <c:pt idx="8">
                  <c:v>14738</c:v>
                </c:pt>
                <c:pt idx="9">
                  <c:v>14865</c:v>
                </c:pt>
                <c:pt idx="10">
                  <c:v>13563</c:v>
                </c:pt>
                <c:pt idx="11">
                  <c:v>17408</c:v>
                </c:pt>
                <c:pt idx="12">
                  <c:v>19038</c:v>
                </c:pt>
                <c:pt idx="13">
                  <c:v>19784</c:v>
                </c:pt>
              </c:numCache>
            </c:numRef>
          </c:val>
          <c:smooth val="0"/>
        </c:ser>
        <c:dLbls>
          <c:showLegendKey val="0"/>
          <c:showVal val="0"/>
          <c:showCatName val="0"/>
          <c:showSerName val="0"/>
          <c:showPercent val="0"/>
          <c:showBubbleSize val="0"/>
        </c:dLbls>
        <c:marker val="1"/>
        <c:smooth val="0"/>
        <c:axId val="203357184"/>
        <c:axId val="203031296"/>
      </c:lineChart>
      <c:catAx>
        <c:axId val="203357184"/>
        <c:scaling>
          <c:orientation val="minMax"/>
        </c:scaling>
        <c:delete val="0"/>
        <c:axPos val="b"/>
        <c:numFmt formatCode="General" sourceLinked="1"/>
        <c:majorTickMark val="none"/>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203031296"/>
        <c:crosses val="autoZero"/>
        <c:auto val="1"/>
        <c:lblAlgn val="ctr"/>
        <c:lblOffset val="100"/>
        <c:noMultiLvlLbl val="0"/>
      </c:catAx>
      <c:valAx>
        <c:axId val="203031296"/>
        <c:scaling>
          <c:orientation val="minMax"/>
        </c:scaling>
        <c:delete val="0"/>
        <c:axPos val="l"/>
        <c:majorGridlines/>
        <c:title>
          <c:tx>
            <c:rich>
              <a:bodyPr/>
              <a:lstStyle/>
              <a:p>
                <a:pPr>
                  <a:defRPr sz="1100" b="1" i="0" u="none" strike="noStrike" baseline="0">
                    <a:solidFill>
                      <a:srgbClr val="000000"/>
                    </a:solidFill>
                    <a:latin typeface="Calibri"/>
                    <a:ea typeface="Calibri"/>
                    <a:cs typeface="Calibri"/>
                  </a:defRPr>
                </a:pPr>
                <a:r>
                  <a:t>Waste To Landfill (Kg)</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3357184"/>
        <c:crosses val="autoZero"/>
        <c:crossBetween val="between"/>
      </c:valAx>
    </c:plotArea>
    <c:legend>
      <c:legendPos val="r"/>
      <c:overlay val="0"/>
      <c:txPr>
        <a:bodyPr/>
        <a:lstStyle/>
        <a:p>
          <a:pPr>
            <a:defRPr sz="65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t>% of Waste to landfill</a:t>
            </a:r>
          </a:p>
        </c:rich>
      </c:tx>
      <c:overlay val="0"/>
    </c:title>
    <c:autoTitleDeleted val="0"/>
    <c:plotArea>
      <c:layout/>
      <c:lineChart>
        <c:grouping val="standard"/>
        <c:varyColors val="0"/>
        <c:ser>
          <c:idx val="0"/>
          <c:order val="0"/>
          <c:tx>
            <c:strRef>
              <c:f>'Waste to Landfill comparison'!$M$42</c:f>
              <c:strCache>
                <c:ptCount val="1"/>
                <c:pt idx="0">
                  <c:v>IRL</c:v>
                </c:pt>
              </c:strCache>
            </c:strRef>
          </c:tx>
          <c:marker>
            <c:symbol val="none"/>
          </c:marker>
          <c:cat>
            <c:numRef>
              <c:f>'Waste to Landfill comparison'!$L$43:$L$54</c:f>
              <c:numCache>
                <c:formatCode>mmm\-yy</c:formatCode>
                <c:ptCount val="12"/>
                <c:pt idx="0">
                  <c:v>40725</c:v>
                </c:pt>
                <c:pt idx="1">
                  <c:v>40756</c:v>
                </c:pt>
                <c:pt idx="2">
                  <c:v>40787</c:v>
                </c:pt>
                <c:pt idx="3">
                  <c:v>40817</c:v>
                </c:pt>
                <c:pt idx="4">
                  <c:v>40848</c:v>
                </c:pt>
                <c:pt idx="5">
                  <c:v>40878</c:v>
                </c:pt>
                <c:pt idx="6">
                  <c:v>40909</c:v>
                </c:pt>
                <c:pt idx="7">
                  <c:v>40940</c:v>
                </c:pt>
                <c:pt idx="8">
                  <c:v>40969</c:v>
                </c:pt>
                <c:pt idx="9">
                  <c:v>41000</c:v>
                </c:pt>
                <c:pt idx="10">
                  <c:v>41030</c:v>
                </c:pt>
                <c:pt idx="11">
                  <c:v>41061</c:v>
                </c:pt>
              </c:numCache>
            </c:numRef>
          </c:cat>
          <c:val>
            <c:numRef>
              <c:f>'Waste to Landfill comparison'!$M$43:$M$54</c:f>
              <c:numCache>
                <c:formatCode>0.00%</c:formatCode>
                <c:ptCount val="12"/>
                <c:pt idx="0">
                  <c:v>0.26936128044202878</c:v>
                </c:pt>
                <c:pt idx="1">
                  <c:v>0.24198194737852891</c:v>
                </c:pt>
                <c:pt idx="2">
                  <c:v>0.31239887486620366</c:v>
                </c:pt>
                <c:pt idx="3">
                  <c:v>0.24371391995362432</c:v>
                </c:pt>
                <c:pt idx="4">
                  <c:v>0.24486274509803921</c:v>
                </c:pt>
                <c:pt idx="5">
                  <c:v>0.31131301130635619</c:v>
                </c:pt>
                <c:pt idx="6">
                  <c:v>0.24664341921247282</c:v>
                </c:pt>
                <c:pt idx="7">
                  <c:v>0.24757636463933824</c:v>
                </c:pt>
                <c:pt idx="8">
                  <c:v>0.34934942243402956</c:v>
                </c:pt>
                <c:pt idx="9">
                  <c:v>0.25338233712809455</c:v>
                </c:pt>
                <c:pt idx="10">
                  <c:v>0.29268797186885925</c:v>
                </c:pt>
                <c:pt idx="11">
                  <c:v>0.27141071056470095</c:v>
                </c:pt>
              </c:numCache>
            </c:numRef>
          </c:val>
          <c:smooth val="0"/>
        </c:ser>
        <c:ser>
          <c:idx val="1"/>
          <c:order val="1"/>
          <c:tx>
            <c:strRef>
              <c:f>'Waste to Landfill comparison'!$N$42</c:f>
              <c:strCache>
                <c:ptCount val="1"/>
                <c:pt idx="0">
                  <c:v>BRL</c:v>
                </c:pt>
              </c:strCache>
            </c:strRef>
          </c:tx>
          <c:marker>
            <c:symbol val="none"/>
          </c:marker>
          <c:cat>
            <c:numRef>
              <c:f>'Waste to Landfill comparison'!$L$43:$L$54</c:f>
              <c:numCache>
                <c:formatCode>mmm\-yy</c:formatCode>
                <c:ptCount val="12"/>
                <c:pt idx="0">
                  <c:v>40725</c:v>
                </c:pt>
                <c:pt idx="1">
                  <c:v>40756</c:v>
                </c:pt>
                <c:pt idx="2">
                  <c:v>40787</c:v>
                </c:pt>
                <c:pt idx="3">
                  <c:v>40817</c:v>
                </c:pt>
                <c:pt idx="4">
                  <c:v>40848</c:v>
                </c:pt>
                <c:pt idx="5">
                  <c:v>40878</c:v>
                </c:pt>
                <c:pt idx="6">
                  <c:v>40909</c:v>
                </c:pt>
                <c:pt idx="7">
                  <c:v>40940</c:v>
                </c:pt>
                <c:pt idx="8">
                  <c:v>40969</c:v>
                </c:pt>
                <c:pt idx="9">
                  <c:v>41000</c:v>
                </c:pt>
                <c:pt idx="10">
                  <c:v>41030</c:v>
                </c:pt>
                <c:pt idx="11">
                  <c:v>41061</c:v>
                </c:pt>
              </c:numCache>
            </c:numRef>
          </c:cat>
          <c:val>
            <c:numRef>
              <c:f>'Waste to Landfill comparison'!$N$43:$N$54</c:f>
              <c:numCache>
                <c:formatCode>0.00%</c:formatCode>
                <c:ptCount val="12"/>
                <c:pt idx="0">
                  <c:v>0.2839893262174783</c:v>
                </c:pt>
                <c:pt idx="1">
                  <c:v>0.33384155638226504</c:v>
                </c:pt>
                <c:pt idx="2">
                  <c:v>0.40103620146904512</c:v>
                </c:pt>
                <c:pt idx="3">
                  <c:v>0.39166722756949585</c:v>
                </c:pt>
                <c:pt idx="4">
                  <c:v>0.32881044098200424</c:v>
                </c:pt>
                <c:pt idx="5">
                  <c:v>0.36132439287079182</c:v>
                </c:pt>
                <c:pt idx="6">
                  <c:v>0.39313144551750179</c:v>
                </c:pt>
                <c:pt idx="7">
                  <c:v>0.32693093583980387</c:v>
                </c:pt>
                <c:pt idx="8">
                  <c:v>0.37467801927425148</c:v>
                </c:pt>
                <c:pt idx="9">
                  <c:v>0.35705574757431718</c:v>
                </c:pt>
                <c:pt idx="10">
                  <c:v>0.39126592149727057</c:v>
                </c:pt>
                <c:pt idx="11">
                  <c:v>0.35215868231130498</c:v>
                </c:pt>
              </c:numCache>
            </c:numRef>
          </c:val>
          <c:smooth val="0"/>
        </c:ser>
        <c:dLbls>
          <c:showLegendKey val="0"/>
          <c:showVal val="0"/>
          <c:showCatName val="0"/>
          <c:showSerName val="0"/>
          <c:showPercent val="0"/>
          <c:showBubbleSize val="0"/>
        </c:dLbls>
        <c:marker val="1"/>
        <c:smooth val="0"/>
        <c:axId val="203059968"/>
        <c:axId val="203061504"/>
      </c:lineChart>
      <c:dateAx>
        <c:axId val="203059968"/>
        <c:scaling>
          <c:orientation val="minMax"/>
        </c:scaling>
        <c:delete val="0"/>
        <c:axPos val="b"/>
        <c:numFmt formatCode="mmm\/yy"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3061504"/>
        <c:crosses val="autoZero"/>
        <c:auto val="1"/>
        <c:lblOffset val="100"/>
        <c:baseTimeUnit val="months"/>
      </c:dateAx>
      <c:valAx>
        <c:axId val="203061504"/>
        <c:scaling>
          <c:orientation val="minMax"/>
        </c:scaling>
        <c:delete val="0"/>
        <c:axPos val="l"/>
        <c:majorGridlines/>
        <c:numFmt formatCode="0%" sourceLinked="0"/>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203059968"/>
        <c:crosses val="autoZero"/>
        <c:crossBetween val="between"/>
      </c:valAx>
    </c:plotArea>
    <c:legend>
      <c:legendPos val="b"/>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lineChart>
        <c:grouping val="standard"/>
        <c:varyColors val="0"/>
        <c:ser>
          <c:idx val="0"/>
          <c:order val="0"/>
          <c:tx>
            <c:strRef>
              <c:f>'IRL+BRL Test'!$O$2</c:f>
              <c:strCache>
                <c:ptCount val="1"/>
                <c:pt idx="0">
                  <c:v>Rolling average</c:v>
                </c:pt>
              </c:strCache>
            </c:strRef>
          </c:tx>
          <c:marker>
            <c:symbol val="none"/>
          </c:marker>
          <c:cat>
            <c:numRef>
              <c:f>'IRL+BRL Test'!$C$45:$C$82</c:f>
              <c:numCache>
                <c:formatCode>mmm\-yy</c:formatCode>
                <c:ptCount val="38"/>
                <c:pt idx="0">
                  <c:v>40087</c:v>
                </c:pt>
                <c:pt idx="1">
                  <c:v>40118</c:v>
                </c:pt>
                <c:pt idx="2">
                  <c:v>40148</c:v>
                </c:pt>
                <c:pt idx="3">
                  <c:v>40179</c:v>
                </c:pt>
                <c:pt idx="4">
                  <c:v>40210</c:v>
                </c:pt>
                <c:pt idx="5">
                  <c:v>40238</c:v>
                </c:pt>
                <c:pt idx="6">
                  <c:v>40269</c:v>
                </c:pt>
                <c:pt idx="7">
                  <c:v>40299</c:v>
                </c:pt>
                <c:pt idx="8">
                  <c:v>40330</c:v>
                </c:pt>
                <c:pt idx="9">
                  <c:v>40360</c:v>
                </c:pt>
                <c:pt idx="10">
                  <c:v>40391</c:v>
                </c:pt>
                <c:pt idx="11">
                  <c:v>40422</c:v>
                </c:pt>
                <c:pt idx="12">
                  <c:v>40452</c:v>
                </c:pt>
                <c:pt idx="13">
                  <c:v>40483</c:v>
                </c:pt>
                <c:pt idx="14">
                  <c:v>40513</c:v>
                </c:pt>
                <c:pt idx="15">
                  <c:v>40544</c:v>
                </c:pt>
                <c:pt idx="16">
                  <c:v>40575</c:v>
                </c:pt>
                <c:pt idx="17">
                  <c:v>40603</c:v>
                </c:pt>
                <c:pt idx="18">
                  <c:v>40634</c:v>
                </c:pt>
                <c:pt idx="19">
                  <c:v>40664</c:v>
                </c:pt>
                <c:pt idx="20">
                  <c:v>40695</c:v>
                </c:pt>
                <c:pt idx="21">
                  <c:v>40725</c:v>
                </c:pt>
                <c:pt idx="22">
                  <c:v>40756</c:v>
                </c:pt>
                <c:pt idx="23">
                  <c:v>40787</c:v>
                </c:pt>
                <c:pt idx="24">
                  <c:v>40817</c:v>
                </c:pt>
                <c:pt idx="25">
                  <c:v>40848</c:v>
                </c:pt>
                <c:pt idx="26">
                  <c:v>40878</c:v>
                </c:pt>
                <c:pt idx="27">
                  <c:v>40909</c:v>
                </c:pt>
                <c:pt idx="28">
                  <c:v>40940</c:v>
                </c:pt>
                <c:pt idx="29">
                  <c:v>40969</c:v>
                </c:pt>
                <c:pt idx="30">
                  <c:v>41000</c:v>
                </c:pt>
                <c:pt idx="31">
                  <c:v>41030</c:v>
                </c:pt>
                <c:pt idx="32">
                  <c:v>41061</c:v>
                </c:pt>
                <c:pt idx="33">
                  <c:v>41091</c:v>
                </c:pt>
                <c:pt idx="34">
                  <c:v>41122</c:v>
                </c:pt>
                <c:pt idx="35">
                  <c:v>41153</c:v>
                </c:pt>
                <c:pt idx="36">
                  <c:v>41183</c:v>
                </c:pt>
                <c:pt idx="37">
                  <c:v>41214</c:v>
                </c:pt>
              </c:numCache>
            </c:numRef>
          </c:cat>
          <c:val>
            <c:numRef>
              <c:f>'IRL+BRL Test'!$O$45:$O$72</c:f>
              <c:numCache>
                <c:formatCode>0.00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smooth val="0"/>
        </c:ser>
        <c:dLbls>
          <c:showLegendKey val="0"/>
          <c:showVal val="0"/>
          <c:showCatName val="0"/>
          <c:showSerName val="0"/>
          <c:showPercent val="0"/>
          <c:showBubbleSize val="0"/>
        </c:dLbls>
        <c:marker val="1"/>
        <c:smooth val="0"/>
        <c:axId val="203180288"/>
        <c:axId val="203223040"/>
      </c:lineChart>
      <c:dateAx>
        <c:axId val="203180288"/>
        <c:scaling>
          <c:orientation val="minMax"/>
        </c:scaling>
        <c:delete val="0"/>
        <c:axPos val="b"/>
        <c:numFmt formatCode="mmm\/yy" sourceLinked="0"/>
        <c:majorTickMark val="none"/>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203223040"/>
        <c:crosses val="autoZero"/>
        <c:auto val="1"/>
        <c:lblOffset val="100"/>
        <c:baseTimeUnit val="months"/>
      </c:dateAx>
      <c:valAx>
        <c:axId val="203223040"/>
        <c:scaling>
          <c:orientation val="minMax"/>
        </c:scaling>
        <c:delete val="0"/>
        <c:axPos val="l"/>
        <c:majorGridlines/>
        <c:title>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3180288"/>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'EHS National Report Chart'!$A$4</c:f>
          <c:strCache>
            <c:ptCount val="1"/>
            <c:pt idx="0">
              <c:v>% Waste Diverted From Landfill</c:v>
            </c:pt>
          </c:strCache>
        </c:strRef>
      </c:tx>
      <c:layout>
        <c:manualLayout>
          <c:xMode val="edge"/>
          <c:yMode val="edge"/>
          <c:x val="0.28197655452703529"/>
          <c:y val="6.316050116376962E-3"/>
        </c:manualLayout>
      </c:layout>
      <c:overlay val="0"/>
      <c:txPr>
        <a:bodyPr/>
        <a:lstStyle/>
        <a:p>
          <a:pPr>
            <a:defRPr sz="20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8.9418785010719329E-2"/>
          <c:y val="0.12215076912854247"/>
          <c:w val="0.87741557108067247"/>
          <c:h val="0.44355839064420743"/>
        </c:manualLayout>
      </c:layout>
      <c:barChart>
        <c:barDir val="col"/>
        <c:grouping val="stacked"/>
        <c:varyColors val="0"/>
        <c:ser>
          <c:idx val="1"/>
          <c:order val="1"/>
          <c:tx>
            <c:strRef>
              <c:f>'EHS National Report Chart'!$A$7</c:f>
              <c:strCache>
                <c:ptCount val="1"/>
                <c:pt idx="0">
                  <c:v>% Hazardous 
Waste</c:v>
                </c:pt>
              </c:strCache>
            </c:strRef>
          </c:tx>
          <c:invertIfNegative val="0"/>
          <c:dLbls>
            <c:txPr>
              <a:bodyPr/>
              <a:lstStyle/>
              <a:p>
                <a:pPr algn="ctr">
                  <a:defRPr lang="en-US" sz="1050" b="0" i="0" u="none" strike="noStrike" kern="1200"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val>
            <c:numRef>
              <c:f>'EHS National Report Chart'!$B$7:$E$7</c:f>
              <c:numCache>
                <c:formatCode>0.0%</c:formatCode>
                <c:ptCount val="4"/>
                <c:pt idx="0">
                  <c:v>0.5227408746306218</c:v>
                </c:pt>
                <c:pt idx="1">
                  <c:v>0</c:v>
                </c:pt>
                <c:pt idx="2">
                  <c:v>0.39286510088453924</c:v>
                </c:pt>
                <c:pt idx="3">
                  <c:v>0.758513847478125</c:v>
                </c:pt>
              </c:numCache>
            </c:numRef>
          </c:val>
        </c:ser>
        <c:ser>
          <c:idx val="2"/>
          <c:order val="2"/>
          <c:tx>
            <c:strRef>
              <c:f>'EHS National Report Chart'!$A$8</c:f>
              <c:strCache>
                <c:ptCount val="1"/>
                <c:pt idx="0">
                  <c:v>% Recycling</c:v>
                </c:pt>
              </c:strCache>
            </c:strRef>
          </c:tx>
          <c:invertIfNegative val="0"/>
          <c:dLbls>
            <c:txPr>
              <a:bodyPr/>
              <a:lstStyle/>
              <a:p>
                <a:pPr algn="ctr">
                  <a:defRPr lang="en-US" sz="1050" b="0" i="0" u="none" strike="noStrike" kern="1200"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val>
            <c:numRef>
              <c:f>'EHS National Report Chart'!$B$8:$E$8</c:f>
              <c:numCache>
                <c:formatCode>0.0%</c:formatCode>
                <c:ptCount val="4"/>
                <c:pt idx="0">
                  <c:v>0.23762438339789602</c:v>
                </c:pt>
                <c:pt idx="1">
                  <c:v>1</c:v>
                </c:pt>
                <c:pt idx="2">
                  <c:v>9.639048913791852E-2</c:v>
                </c:pt>
                <c:pt idx="3">
                  <c:v>0</c:v>
                </c:pt>
              </c:numCache>
            </c:numRef>
          </c:val>
        </c:ser>
        <c:ser>
          <c:idx val="3"/>
          <c:order val="3"/>
          <c:tx>
            <c:strRef>
              <c:f>'EHS National Report Chart'!$A$9</c:f>
              <c:strCache>
                <c:ptCount val="1"/>
                <c:pt idx="0">
                  <c:v>% of waste to landfill</c:v>
                </c:pt>
              </c:strCache>
            </c:strRef>
          </c:tx>
          <c:invertIfNegative val="0"/>
          <c:dLbls>
            <c:dLbl>
              <c:idx val="0"/>
              <c:layout>
                <c:manualLayout>
                  <c:x val="-8.0808080808080808E-3"/>
                  <c:y val="1.0062893081761006E-2"/>
                </c:manualLayout>
              </c:layout>
              <c:showLegendKey val="0"/>
              <c:showVal val="1"/>
              <c:showCatName val="0"/>
              <c:showSerName val="0"/>
              <c:showPercent val="0"/>
              <c:showBubbleSize val="0"/>
            </c:dLbl>
            <c:txPr>
              <a:bodyPr/>
              <a:lstStyle/>
              <a:p>
                <a:pPr>
                  <a:defRPr sz="105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val>
            <c:numRef>
              <c:f>'EHS National Report Chart'!$B$9:$E$9</c:f>
              <c:numCache>
                <c:formatCode>0.0%</c:formatCode>
                <c:ptCount val="4"/>
                <c:pt idx="0">
                  <c:v>0.2396347419714823</c:v>
                </c:pt>
                <c:pt idx="1">
                  <c:v>0</c:v>
                </c:pt>
                <c:pt idx="2">
                  <c:v>0.51074440997754222</c:v>
                </c:pt>
                <c:pt idx="3">
                  <c:v>0.24148615252187494</c:v>
                </c:pt>
              </c:numCache>
            </c:numRef>
          </c:val>
        </c:ser>
        <c:ser>
          <c:idx val="4"/>
          <c:order val="4"/>
          <c:tx>
            <c:strRef>
              <c:f>'EHS National Report Chart'!$A$10</c:f>
              <c:strCache>
                <c:ptCount val="1"/>
              </c:strCache>
            </c:strRef>
          </c:tx>
          <c:spPr>
            <a:noFill/>
          </c:spPr>
          <c:invertIfNegative val="0"/>
          <c:val>
            <c:numRef>
              <c:f>'EHS National Report Chart'!$B$10:$E$10</c:f>
              <c:numCache>
                <c:formatCode>0%</c:formatCode>
                <c:ptCount val="4"/>
              </c:numCache>
            </c:numRef>
          </c:val>
        </c:ser>
        <c:dLbls>
          <c:showLegendKey val="0"/>
          <c:showVal val="0"/>
          <c:showCatName val="0"/>
          <c:showSerName val="0"/>
          <c:showPercent val="0"/>
          <c:showBubbleSize val="0"/>
        </c:dLbls>
        <c:gapWidth val="150"/>
        <c:overlap val="100"/>
        <c:axId val="203645696"/>
        <c:axId val="203647232"/>
      </c:barChart>
      <c:lineChart>
        <c:grouping val="standard"/>
        <c:varyColors val="0"/>
        <c:ser>
          <c:idx val="0"/>
          <c:order val="0"/>
          <c:tx>
            <c:strRef>
              <c:f>'EHS National Report Chart'!$E$1</c:f>
              <c:strCache>
                <c:ptCount val="1"/>
              </c:strCache>
            </c:strRef>
          </c:tx>
          <c:marker>
            <c:symbol val="none"/>
          </c:marker>
          <c:cat>
            <c:strRef>
              <c:f>'EHS National Report Chart'!$B$2:$L$2</c:f>
              <c:strCache>
                <c:ptCount val="11"/>
                <c:pt idx="0">
                  <c:v>IRL</c:v>
                </c:pt>
                <c:pt idx="1">
                  <c:v>BRL</c:v>
                </c:pt>
                <c:pt idx="2">
                  <c:v>St Cath</c:v>
                </c:pt>
                <c:pt idx="3">
                  <c:v>Belleville</c:v>
                </c:pt>
                <c:pt idx="5">
                  <c:v>Jun-15</c:v>
                </c:pt>
                <c:pt idx="6">
                  <c:v>Jul-15</c:v>
                </c:pt>
                <c:pt idx="7">
                  <c:v>Aug-15</c:v>
                </c:pt>
                <c:pt idx="8">
                  <c:v>Sep-15</c:v>
                </c:pt>
                <c:pt idx="9">
                  <c:v>Oct-15</c:v>
                </c:pt>
                <c:pt idx="10">
                  <c:v>Nov-15</c:v>
                </c:pt>
              </c:strCache>
            </c:strRef>
          </c:cat>
          <c:val>
            <c:numRef>
              <c:f>'EHS National Report Chart'!$B$3:$L$3</c:f>
              <c:numCache>
                <c:formatCode>0.00</c:formatCode>
                <c:ptCount val="11"/>
                <c:pt idx="5" formatCode="0.00%">
                  <c:v>0.7318592660432145</c:v>
                </c:pt>
                <c:pt idx="6" formatCode="0.00%">
                  <c:v>0.73060098788589811</c:v>
                </c:pt>
                <c:pt idx="7" formatCode="0.00%">
                  <c:v>0.73244353025915099</c:v>
                </c:pt>
                <c:pt idx="8" formatCode="0.00%">
                  <c:v>0.78053637547529819</c:v>
                </c:pt>
                <c:pt idx="9" formatCode="0.00%">
                  <c:v>0.74574753801321825</c:v>
                </c:pt>
                <c:pt idx="10" formatCode="0.00%">
                  <c:v>0.75203367388227516</c:v>
                </c:pt>
              </c:numCache>
            </c:numRef>
          </c:val>
          <c:smooth val="0"/>
        </c:ser>
        <c:dLbls>
          <c:showLegendKey val="0"/>
          <c:showVal val="0"/>
          <c:showCatName val="0"/>
          <c:showSerName val="0"/>
          <c:showPercent val="0"/>
          <c:showBubbleSize val="0"/>
        </c:dLbls>
        <c:marker val="1"/>
        <c:smooth val="0"/>
        <c:axId val="203645696"/>
        <c:axId val="203647232"/>
      </c:lineChart>
      <c:catAx>
        <c:axId val="203645696"/>
        <c:scaling>
          <c:orientation val="minMax"/>
        </c:scaling>
        <c:delete val="0"/>
        <c:axPos val="b"/>
        <c:numFmt formatCode="General" sourceLinked="1"/>
        <c:majorTickMark val="none"/>
        <c:minorTickMark val="none"/>
        <c:tickLblPos val="nextTo"/>
        <c:txPr>
          <a:bodyPr rot="-2700000" vert="horz"/>
          <a:lstStyle/>
          <a:p>
            <a:pPr>
              <a:defRPr sz="1200" b="0" i="0" u="none" strike="noStrike" baseline="0">
                <a:solidFill>
                  <a:srgbClr val="000000"/>
                </a:solidFill>
                <a:latin typeface="Calibri"/>
                <a:ea typeface="Calibri"/>
                <a:cs typeface="Calibri"/>
              </a:defRPr>
            </a:pPr>
            <a:endParaRPr lang="en-US"/>
          </a:p>
        </c:txPr>
        <c:crossAx val="203647232"/>
        <c:crosses val="autoZero"/>
        <c:auto val="1"/>
        <c:lblAlgn val="ctr"/>
        <c:lblOffset val="100"/>
        <c:noMultiLvlLbl val="0"/>
      </c:catAx>
      <c:valAx>
        <c:axId val="203647232"/>
        <c:scaling>
          <c:orientation val="minMax"/>
          <c:max val="1"/>
        </c:scaling>
        <c:delete val="0"/>
        <c:axPos val="l"/>
        <c:numFmt formatCode="0%" sourceLinked="0"/>
        <c:majorTickMark val="none"/>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203645696"/>
        <c:crosses val="autoZero"/>
        <c:crossBetween val="between"/>
      </c:valAx>
    </c:plotArea>
    <c:legend>
      <c:legendPos val="b"/>
      <c:layout>
        <c:manualLayout>
          <c:xMode val="edge"/>
          <c:yMode val="edge"/>
          <c:x val="5.7470917617623914E-2"/>
          <c:y val="0.74975779926243402"/>
          <c:w val="0.90443524662039831"/>
          <c:h val="0.19966005515133389"/>
        </c:manualLayout>
      </c:layout>
      <c:overlay val="0"/>
      <c:spPr>
        <a:ln>
          <a:solidFill>
            <a:schemeClr val="accent1"/>
          </a:solidFill>
        </a:ln>
      </c:spPr>
      <c:txPr>
        <a:bodyPr/>
        <a:lstStyle/>
        <a:p>
          <a:pPr>
            <a:defRPr sz="1200" b="0" i="0" u="none" strike="noStrike" baseline="0">
              <a:solidFill>
                <a:srgbClr val="000000"/>
              </a:solidFill>
              <a:latin typeface="Calibri"/>
              <a:ea typeface="Calibri"/>
              <a:cs typeface="Calibri"/>
            </a:defRPr>
          </a:pPr>
          <a:endParaRPr lang="en-US"/>
        </a:p>
      </c:txPr>
    </c:legend>
    <c:plotVisOnly val="1"/>
    <c:dispBlanksAs val="gap"/>
    <c:showDLblsOverMax val="0"/>
  </c:chart>
  <c:spPr>
    <a:ln>
      <a:solidFill>
        <a:schemeClr val="accent1">
          <a:shade val="50000"/>
        </a:schemeClr>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[_GRI Dashboard-2.xlsm]EHS National Report Chart!PivotTable1</c:name>
    <c:fmtId val="5"/>
  </c:pivotSource>
  <c:chart>
    <c:title>
      <c:tx>
        <c:rich>
          <a:bodyPr/>
          <a:lstStyle/>
          <a:p>
            <a:pPr>
              <a:defRPr/>
            </a:pPr>
            <a:r>
              <a:rPr lang="en-US"/>
              <a:t>Waste Diversion by Type</a:t>
            </a:r>
          </a:p>
        </c:rich>
      </c:tx>
      <c:overlay val="0"/>
    </c:title>
    <c:autoTitleDeleted val="0"/>
    <c:pivotFmts>
      <c:pivotFmt>
        <c:idx val="0"/>
        <c:marker>
          <c:symbol val="none"/>
        </c:marker>
      </c:pivotFmt>
      <c:pivotFmt>
        <c:idx val="1"/>
        <c:marker>
          <c:symbol val="none"/>
        </c:marker>
      </c:pivotFmt>
      <c:pivotFmt>
        <c:idx val="2"/>
        <c:spPr>
          <a:solidFill>
            <a:schemeClr val="accent4">
              <a:lumMod val="75000"/>
            </a:schemeClr>
          </a:solidFill>
        </c:spPr>
        <c:marker>
          <c:symbol val="none"/>
        </c:marker>
      </c:pivotFmt>
    </c:pivotFmts>
    <c:plotArea>
      <c:layout/>
      <c:barChart>
        <c:barDir val="col"/>
        <c:grouping val="clustered"/>
        <c:varyColors val="0"/>
        <c:ser>
          <c:idx val="0"/>
          <c:order val="0"/>
          <c:tx>
            <c:strRef>
              <c:f>'EHS National Report Chart'!$J$17</c:f>
              <c:strCache>
                <c:ptCount val="1"/>
                <c:pt idx="0">
                  <c:v>Total</c:v>
                </c:pt>
              </c:strCache>
            </c:strRef>
          </c:tx>
          <c:spPr>
            <a:solidFill>
              <a:schemeClr val="accent4">
                <a:lumMod val="75000"/>
              </a:schemeClr>
            </a:solidFill>
          </c:spPr>
          <c:invertIfNegative val="0"/>
          <c:cat>
            <c:strRef>
              <c:f>'EHS National Report Chart'!$I$18:$I$30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'EHS National Report Chart'!$J$18:$J$30</c:f>
              <c:numCache>
                <c:formatCode>General</c:formatCode>
                <c:ptCount val="12"/>
                <c:pt idx="0">
                  <c:v>85745.041400000002</c:v>
                </c:pt>
                <c:pt idx="1">
                  <c:v>88129.534799999994</c:v>
                </c:pt>
                <c:pt idx="2">
                  <c:v>89842.93</c:v>
                </c:pt>
                <c:pt idx="3">
                  <c:v>100545.06</c:v>
                </c:pt>
                <c:pt idx="4">
                  <c:v>93147</c:v>
                </c:pt>
                <c:pt idx="5">
                  <c:v>93907</c:v>
                </c:pt>
                <c:pt idx="6">
                  <c:v>94205</c:v>
                </c:pt>
                <c:pt idx="7">
                  <c:v>87634</c:v>
                </c:pt>
                <c:pt idx="8">
                  <c:v>97097.65</c:v>
                </c:pt>
                <c:pt idx="9">
                  <c:v>101972</c:v>
                </c:pt>
                <c:pt idx="10">
                  <c:v>100035</c:v>
                </c:pt>
                <c:pt idx="11">
                  <c:v>62420</c:v>
                </c:pt>
              </c:numCache>
            </c:numRef>
          </c:val>
        </c:ser>
        <c:dLbls>
          <c:showLegendKey val="0"/>
          <c:showVal val="0"/>
          <c:showCatName val="0"/>
          <c:showSerName val="0"/>
          <c:showPercent val="0"/>
          <c:showBubbleSize val="0"/>
        </c:dLbls>
        <c:gapWidth val="150"/>
        <c:axId val="203659904"/>
        <c:axId val="203813248"/>
      </c:barChart>
      <c:catAx>
        <c:axId val="203659904"/>
        <c:scaling>
          <c:orientation val="minMax"/>
        </c:scaling>
        <c:delete val="0"/>
        <c:axPos val="b"/>
        <c:majorTickMark val="out"/>
        <c:minorTickMark val="none"/>
        <c:tickLblPos val="nextTo"/>
        <c:crossAx val="203813248"/>
        <c:crosses val="autoZero"/>
        <c:auto val="1"/>
        <c:lblAlgn val="ctr"/>
        <c:lblOffset val="100"/>
        <c:noMultiLvlLbl val="0"/>
      </c:catAx>
      <c:valAx>
        <c:axId val="203813248"/>
        <c:scaling>
          <c:orientation val="minMax"/>
        </c:scaling>
        <c:delete val="0"/>
        <c:axPos val="l"/>
        <c:numFmt formatCode="General" sourceLinked="1"/>
        <c:majorTickMark val="out"/>
        <c:minorTickMark val="none"/>
        <c:tickLblPos val="nextTo"/>
        <c:crossAx val="20365990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[_GRI Dashboard-2.xlsm]Top Incident Types Data!PivotTable8</c:name>
    <c:fmtId val="3"/>
  </c:pivotSource>
  <c:chart>
    <c:title>
      <c:tx>
        <c:rich>
          <a:bodyPr/>
          <a:lstStyle/>
          <a:p>
            <a:pPr>
              <a:defRPr sz="1400"/>
            </a:pPr>
            <a:r>
              <a:rPr lang="en-US" sz="1400"/>
              <a:t>Lifelabs Incident Rate</a:t>
            </a: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s>
    <c:plotArea>
      <c:layout>
        <c:manualLayout>
          <c:layoutTarget val="inner"/>
          <c:xMode val="edge"/>
          <c:yMode val="edge"/>
          <c:x val="5.5553755137520991E-2"/>
          <c:y val="0.13181173121718515"/>
          <c:w val="0.92086639491606959"/>
          <c:h val="0.57250779557324527"/>
        </c:manualLayout>
      </c:layout>
      <c:barChart>
        <c:barDir val="col"/>
        <c:grouping val="clustered"/>
        <c:varyColors val="0"/>
        <c:ser>
          <c:idx val="0"/>
          <c:order val="0"/>
          <c:tx>
            <c:strRef>
              <c:f>'Top Incident Types Data'!$DH$21</c:f>
              <c:strCache>
                <c:ptCount val="1"/>
                <c:pt idx="0">
                  <c:v>Number of Incidents </c:v>
                </c:pt>
              </c:strCache>
            </c:strRef>
          </c:tx>
          <c:invertIfNegative val="0"/>
          <c:cat>
            <c:strRef>
              <c:f>'Top Incident Types Data'!$DG$22:$DG$46</c:f>
              <c:strCache>
                <c:ptCount val="24"/>
                <c:pt idx="0">
                  <c:v>Feb-14</c:v>
                </c:pt>
                <c:pt idx="1">
                  <c:v>Mar-14</c:v>
                </c:pt>
                <c:pt idx="2">
                  <c:v>Apr-14</c:v>
                </c:pt>
                <c:pt idx="3">
                  <c:v>May-14</c:v>
                </c:pt>
                <c:pt idx="4">
                  <c:v>Jun-14</c:v>
                </c:pt>
                <c:pt idx="5">
                  <c:v>Jul-14</c:v>
                </c:pt>
                <c:pt idx="6">
                  <c:v>Aug-14</c:v>
                </c:pt>
                <c:pt idx="7">
                  <c:v>Sep-14</c:v>
                </c:pt>
                <c:pt idx="8">
                  <c:v>Oct-14</c:v>
                </c:pt>
                <c:pt idx="9">
                  <c:v>Nov-14</c:v>
                </c:pt>
                <c:pt idx="10">
                  <c:v>Dec-14</c:v>
                </c:pt>
                <c:pt idx="11">
                  <c:v>Jan-15</c:v>
                </c:pt>
                <c:pt idx="12">
                  <c:v>Feb-15</c:v>
                </c:pt>
                <c:pt idx="13">
                  <c:v>Mar-15</c:v>
                </c:pt>
                <c:pt idx="14">
                  <c:v>Apr-15</c:v>
                </c:pt>
                <c:pt idx="15">
                  <c:v>May-15</c:v>
                </c:pt>
                <c:pt idx="16">
                  <c:v>Jun-15</c:v>
                </c:pt>
                <c:pt idx="17">
                  <c:v>Jul-15</c:v>
                </c:pt>
                <c:pt idx="18">
                  <c:v>Aug-15</c:v>
                </c:pt>
                <c:pt idx="19">
                  <c:v>Sep-15</c:v>
                </c:pt>
                <c:pt idx="20">
                  <c:v>Oct-15</c:v>
                </c:pt>
                <c:pt idx="21">
                  <c:v>Nov-15</c:v>
                </c:pt>
                <c:pt idx="22">
                  <c:v>Dec-15</c:v>
                </c:pt>
                <c:pt idx="23">
                  <c:v>Jan-16</c:v>
                </c:pt>
              </c:strCache>
            </c:strRef>
          </c:cat>
          <c:val>
            <c:numRef>
              <c:f>'Top Incident Types Data'!$DH$22:$DH$46</c:f>
              <c:numCache>
                <c:formatCode>General</c:formatCode>
                <c:ptCount val="24"/>
                <c:pt idx="0">
                  <c:v>24</c:v>
                </c:pt>
                <c:pt idx="1">
                  <c:v>18</c:v>
                </c:pt>
                <c:pt idx="2">
                  <c:v>14</c:v>
                </c:pt>
                <c:pt idx="3">
                  <c:v>18</c:v>
                </c:pt>
                <c:pt idx="4">
                  <c:v>14</c:v>
                </c:pt>
                <c:pt idx="5">
                  <c:v>16</c:v>
                </c:pt>
                <c:pt idx="6">
                  <c:v>8</c:v>
                </c:pt>
                <c:pt idx="7">
                  <c:v>24</c:v>
                </c:pt>
                <c:pt idx="8">
                  <c:v>26</c:v>
                </c:pt>
                <c:pt idx="9">
                  <c:v>20</c:v>
                </c:pt>
                <c:pt idx="10">
                  <c:v>18</c:v>
                </c:pt>
                <c:pt idx="11">
                  <c:v>20</c:v>
                </c:pt>
                <c:pt idx="12">
                  <c:v>26</c:v>
                </c:pt>
                <c:pt idx="13">
                  <c:v>12</c:v>
                </c:pt>
                <c:pt idx="14">
                  <c:v>22</c:v>
                </c:pt>
                <c:pt idx="15">
                  <c:v>24</c:v>
                </c:pt>
                <c:pt idx="16">
                  <c:v>20</c:v>
                </c:pt>
                <c:pt idx="17">
                  <c:v>36</c:v>
                </c:pt>
                <c:pt idx="18">
                  <c:v>22</c:v>
                </c:pt>
                <c:pt idx="19">
                  <c:v>28</c:v>
                </c:pt>
                <c:pt idx="20">
                  <c:v>30</c:v>
                </c:pt>
                <c:pt idx="21">
                  <c:v>8</c:v>
                </c:pt>
                <c:pt idx="22">
                  <c:v>20</c:v>
                </c:pt>
                <c:pt idx="23">
                  <c:v>18</c:v>
                </c:pt>
              </c:numCache>
            </c:numRef>
          </c:val>
        </c:ser>
        <c:dLbls>
          <c:showLegendKey val="0"/>
          <c:showVal val="0"/>
          <c:showCatName val="0"/>
          <c:showSerName val="0"/>
          <c:showPercent val="0"/>
          <c:showBubbleSize val="0"/>
        </c:dLbls>
        <c:gapWidth val="150"/>
        <c:axId val="203939200"/>
        <c:axId val="213730432"/>
      </c:barChart>
      <c:lineChart>
        <c:grouping val="standard"/>
        <c:varyColors val="0"/>
        <c:ser>
          <c:idx val="1"/>
          <c:order val="1"/>
          <c:tx>
            <c:strRef>
              <c:f>'Top Incident Types Data'!$DI$21</c:f>
              <c:strCache>
                <c:ptCount val="1"/>
                <c:pt idx="0">
                  <c:v>Incident Rate </c:v>
                </c:pt>
              </c:strCache>
            </c:strRef>
          </c:tx>
          <c:marker>
            <c:symbol val="none"/>
          </c:marker>
          <c:cat>
            <c:strRef>
              <c:f>'Top Incident Types Data'!$DG$22:$DG$46</c:f>
              <c:strCache>
                <c:ptCount val="24"/>
                <c:pt idx="0">
                  <c:v>Feb-14</c:v>
                </c:pt>
                <c:pt idx="1">
                  <c:v>Mar-14</c:v>
                </c:pt>
                <c:pt idx="2">
                  <c:v>Apr-14</c:v>
                </c:pt>
                <c:pt idx="3">
                  <c:v>May-14</c:v>
                </c:pt>
                <c:pt idx="4">
                  <c:v>Jun-14</c:v>
                </c:pt>
                <c:pt idx="5">
                  <c:v>Jul-14</c:v>
                </c:pt>
                <c:pt idx="6">
                  <c:v>Aug-14</c:v>
                </c:pt>
                <c:pt idx="7">
                  <c:v>Sep-14</c:v>
                </c:pt>
                <c:pt idx="8">
                  <c:v>Oct-14</c:v>
                </c:pt>
                <c:pt idx="9">
                  <c:v>Nov-14</c:v>
                </c:pt>
                <c:pt idx="10">
                  <c:v>Dec-14</c:v>
                </c:pt>
                <c:pt idx="11">
                  <c:v>Jan-15</c:v>
                </c:pt>
                <c:pt idx="12">
                  <c:v>Feb-15</c:v>
                </c:pt>
                <c:pt idx="13">
                  <c:v>Mar-15</c:v>
                </c:pt>
                <c:pt idx="14">
                  <c:v>Apr-15</c:v>
                </c:pt>
                <c:pt idx="15">
                  <c:v>May-15</c:v>
                </c:pt>
                <c:pt idx="16">
                  <c:v>Jun-15</c:v>
                </c:pt>
                <c:pt idx="17">
                  <c:v>Jul-15</c:v>
                </c:pt>
                <c:pt idx="18">
                  <c:v>Aug-15</c:v>
                </c:pt>
                <c:pt idx="19">
                  <c:v>Sep-15</c:v>
                </c:pt>
                <c:pt idx="20">
                  <c:v>Oct-15</c:v>
                </c:pt>
                <c:pt idx="21">
                  <c:v>Nov-15</c:v>
                </c:pt>
                <c:pt idx="22">
                  <c:v>Dec-15</c:v>
                </c:pt>
                <c:pt idx="23">
                  <c:v>Jan-16</c:v>
                </c:pt>
              </c:strCache>
            </c:strRef>
          </c:cat>
          <c:val>
            <c:numRef>
              <c:f>'Top Incident Types Data'!$DI$22:$DI$46</c:f>
              <c:numCache>
                <c:formatCode>General</c:formatCode>
                <c:ptCount val="24"/>
                <c:pt idx="0">
                  <c:v>8.1974976302451346</c:v>
                </c:pt>
                <c:pt idx="1">
                  <c:v>6.4364005711913936</c:v>
                </c:pt>
                <c:pt idx="2">
                  <c:v>5.4766975504375068</c:v>
                </c:pt>
                <c:pt idx="3">
                  <c:v>7.0017444505758437</c:v>
                </c:pt>
                <c:pt idx="4">
                  <c:v>4.1093426627743739</c:v>
                </c:pt>
                <c:pt idx="5">
                  <c:v>5.1240405664722637</c:v>
                </c:pt>
                <c:pt idx="6">
                  <c:v>1.5052729617771492</c:v>
                </c:pt>
                <c:pt idx="7">
                  <c:v>10.177582444249959</c:v>
                </c:pt>
                <c:pt idx="8">
                  <c:v>12.355251650601831</c:v>
                </c:pt>
                <c:pt idx="9">
                  <c:v>9.3399764460254033</c:v>
                </c:pt>
                <c:pt idx="10">
                  <c:v>7.8297741191756964</c:v>
                </c:pt>
                <c:pt idx="11">
                  <c:v>6.1623808344620095</c:v>
                </c:pt>
                <c:pt idx="12">
                  <c:v>11.57683223700587</c:v>
                </c:pt>
                <c:pt idx="13">
                  <c:v>4.2051247457131877</c:v>
                </c:pt>
                <c:pt idx="14">
                  <c:v>8.389623590081877</c:v>
                </c:pt>
                <c:pt idx="15">
                  <c:v>8.370908684785439</c:v>
                </c:pt>
                <c:pt idx="16">
                  <c:v>8.2917221218532937</c:v>
                </c:pt>
                <c:pt idx="17">
                  <c:v>11.221147782197109</c:v>
                </c:pt>
                <c:pt idx="18">
                  <c:v>7.8408005894649628</c:v>
                </c:pt>
                <c:pt idx="19">
                  <c:v>10.987304349626747</c:v>
                </c:pt>
                <c:pt idx="20">
                  <c:v>11.261547460904822</c:v>
                </c:pt>
                <c:pt idx="21">
                  <c:v>2.3432142610577475</c:v>
                </c:pt>
                <c:pt idx="22">
                  <c:v>3.9970281819324551</c:v>
                </c:pt>
                <c:pt idx="23">
                  <c:v>3.5925424619913455</c:v>
                </c:pt>
              </c:numCache>
            </c:numRef>
          </c:val>
          <c:smooth val="0"/>
        </c:ser>
        <c:dLbls>
          <c:showLegendKey val="0"/>
          <c:showVal val="0"/>
          <c:showCatName val="0"/>
          <c:showSerName val="0"/>
          <c:showPercent val="0"/>
          <c:showBubbleSize val="0"/>
        </c:dLbls>
        <c:marker val="1"/>
        <c:smooth val="0"/>
        <c:axId val="203939200"/>
        <c:axId val="213730432"/>
      </c:lineChart>
      <c:catAx>
        <c:axId val="203939200"/>
        <c:scaling>
          <c:orientation val="minMax"/>
        </c:scaling>
        <c:delete val="0"/>
        <c:axPos val="b"/>
        <c:majorTickMark val="out"/>
        <c:minorTickMark val="none"/>
        <c:tickLblPos val="nextTo"/>
        <c:crossAx val="213730432"/>
        <c:crosses val="autoZero"/>
        <c:auto val="1"/>
        <c:lblAlgn val="ctr"/>
        <c:lblOffset val="100"/>
        <c:noMultiLvlLbl val="0"/>
      </c:catAx>
      <c:valAx>
        <c:axId val="213730432"/>
        <c:scaling>
          <c:orientation val="minMax"/>
        </c:scaling>
        <c:delete val="0"/>
        <c:axPos val="l"/>
        <c:numFmt formatCode="General" sourceLinked="1"/>
        <c:majorTickMark val="out"/>
        <c:minorTickMark val="none"/>
        <c:tickLblPos val="nextTo"/>
        <c:crossAx val="203939200"/>
        <c:crosses val="autoZero"/>
        <c:crossBetween val="between"/>
      </c:valAx>
    </c:plotArea>
    <c:legend>
      <c:legendPos val="b"/>
      <c:overlay val="0"/>
    </c:legend>
    <c:plotVisOnly val="1"/>
    <c:dispBlanksAs val="gap"/>
    <c:showDLblsOverMax val="0"/>
  </c:chart>
  <c:spPr>
    <a:ln w="12700">
      <a:solidFill>
        <a:schemeClr val="tx1"/>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[_GRI Dashboard-2.xlsm]Top Incident Types Data!PivotTable10</c:name>
    <c:fmtId val="2"/>
  </c:pivotSource>
  <c:chart>
    <c:title>
      <c:tx>
        <c:rich>
          <a:bodyPr/>
          <a:lstStyle/>
          <a:p>
            <a:pPr>
              <a:defRPr sz="1400"/>
            </a:pPr>
            <a:r>
              <a:rPr lang="en-US" sz="1400"/>
              <a:t>Lifelabs Rolling Incident Rate</a:t>
            </a: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pivotFmt>
      <c:pivotFmt>
        <c:idx val="5"/>
        <c:marker>
          <c:symbol val="none"/>
        </c:marker>
      </c:pivotFmt>
      <c:pivotFmt>
        <c:idx val="6"/>
        <c:marker>
          <c:symbol val="none"/>
        </c:marker>
      </c:pivotFmt>
    </c:pivotFmts>
    <c:plotArea>
      <c:layout>
        <c:manualLayout>
          <c:layoutTarget val="inner"/>
          <c:xMode val="edge"/>
          <c:yMode val="edge"/>
          <c:x val="7.1656201202697764E-2"/>
          <c:y val="0.14055647254536827"/>
          <c:w val="0.893555932090767"/>
          <c:h val="0.58112904199409487"/>
        </c:manualLayout>
      </c:layout>
      <c:barChart>
        <c:barDir val="col"/>
        <c:grouping val="clustered"/>
        <c:varyColors val="0"/>
        <c:ser>
          <c:idx val="0"/>
          <c:order val="0"/>
          <c:tx>
            <c:strRef>
              <c:f>'Top Incident Types Data'!$DD$57</c:f>
              <c:strCache>
                <c:ptCount val="1"/>
                <c:pt idx="0">
                  <c:v>Number of Incidents </c:v>
                </c:pt>
              </c:strCache>
            </c:strRef>
          </c:tx>
          <c:invertIfNegative val="0"/>
          <c:cat>
            <c:strRef>
              <c:f>'Top Incident Types Data'!$DC$58:$DC$82</c:f>
              <c:strCache>
                <c:ptCount val="24"/>
                <c:pt idx="0">
                  <c:v>Feb-14</c:v>
                </c:pt>
                <c:pt idx="1">
                  <c:v>Mar-14</c:v>
                </c:pt>
                <c:pt idx="2">
                  <c:v>Apr-14</c:v>
                </c:pt>
                <c:pt idx="3">
                  <c:v>May-14</c:v>
                </c:pt>
                <c:pt idx="4">
                  <c:v>Jun-14</c:v>
                </c:pt>
                <c:pt idx="5">
                  <c:v>Jul-14</c:v>
                </c:pt>
                <c:pt idx="6">
                  <c:v>Aug-14</c:v>
                </c:pt>
                <c:pt idx="7">
                  <c:v>Sep-14</c:v>
                </c:pt>
                <c:pt idx="8">
                  <c:v>Oct-14</c:v>
                </c:pt>
                <c:pt idx="9">
                  <c:v>Nov-14</c:v>
                </c:pt>
                <c:pt idx="10">
                  <c:v>Dec-14</c:v>
                </c:pt>
                <c:pt idx="11">
                  <c:v>Jan-15</c:v>
                </c:pt>
                <c:pt idx="12">
                  <c:v>Feb-15</c:v>
                </c:pt>
                <c:pt idx="13">
                  <c:v>Mar-15</c:v>
                </c:pt>
                <c:pt idx="14">
                  <c:v>Apr-15</c:v>
                </c:pt>
                <c:pt idx="15">
                  <c:v>May-15</c:v>
                </c:pt>
                <c:pt idx="16">
                  <c:v>Jun-15</c:v>
                </c:pt>
                <c:pt idx="17">
                  <c:v>Jul-15</c:v>
                </c:pt>
                <c:pt idx="18">
                  <c:v>Aug-15</c:v>
                </c:pt>
                <c:pt idx="19">
                  <c:v>Sep-15</c:v>
                </c:pt>
                <c:pt idx="20">
                  <c:v>Oct-15</c:v>
                </c:pt>
                <c:pt idx="21">
                  <c:v>Nov-15</c:v>
                </c:pt>
                <c:pt idx="22">
                  <c:v>Dec-15</c:v>
                </c:pt>
                <c:pt idx="23">
                  <c:v>Jan-16</c:v>
                </c:pt>
              </c:strCache>
            </c:strRef>
          </c:cat>
          <c:val>
            <c:numRef>
              <c:f>'Top Incident Types Data'!$DD$58:$DD$82</c:f>
              <c:numCache>
                <c:formatCode>General</c:formatCode>
                <c:ptCount val="24"/>
                <c:pt idx="0">
                  <c:v>24</c:v>
                </c:pt>
                <c:pt idx="1">
                  <c:v>18</c:v>
                </c:pt>
                <c:pt idx="2">
                  <c:v>14</c:v>
                </c:pt>
                <c:pt idx="3">
                  <c:v>18</c:v>
                </c:pt>
                <c:pt idx="4">
                  <c:v>14</c:v>
                </c:pt>
                <c:pt idx="5">
                  <c:v>16</c:v>
                </c:pt>
                <c:pt idx="6">
                  <c:v>8</c:v>
                </c:pt>
                <c:pt idx="7">
                  <c:v>24</c:v>
                </c:pt>
                <c:pt idx="8">
                  <c:v>26</c:v>
                </c:pt>
                <c:pt idx="9">
                  <c:v>20</c:v>
                </c:pt>
                <c:pt idx="10">
                  <c:v>18</c:v>
                </c:pt>
                <c:pt idx="11">
                  <c:v>20</c:v>
                </c:pt>
                <c:pt idx="12">
                  <c:v>26</c:v>
                </c:pt>
                <c:pt idx="13">
                  <c:v>12</c:v>
                </c:pt>
                <c:pt idx="14">
                  <c:v>22</c:v>
                </c:pt>
                <c:pt idx="15">
                  <c:v>24</c:v>
                </c:pt>
                <c:pt idx="16">
                  <c:v>20</c:v>
                </c:pt>
                <c:pt idx="17">
                  <c:v>36</c:v>
                </c:pt>
                <c:pt idx="18">
                  <c:v>22</c:v>
                </c:pt>
                <c:pt idx="19">
                  <c:v>28</c:v>
                </c:pt>
                <c:pt idx="20">
                  <c:v>30</c:v>
                </c:pt>
                <c:pt idx="21">
                  <c:v>8</c:v>
                </c:pt>
                <c:pt idx="22">
                  <c:v>20</c:v>
                </c:pt>
                <c:pt idx="23">
                  <c:v>18</c:v>
                </c:pt>
              </c:numCache>
            </c:numRef>
          </c:val>
        </c:ser>
        <c:dLbls>
          <c:showLegendKey val="0"/>
          <c:showVal val="0"/>
          <c:showCatName val="0"/>
          <c:showSerName val="0"/>
          <c:showPercent val="0"/>
          <c:showBubbleSize val="0"/>
        </c:dLbls>
        <c:gapWidth val="150"/>
        <c:axId val="213752064"/>
        <c:axId val="213762048"/>
      </c:barChart>
      <c:lineChart>
        <c:grouping val="standard"/>
        <c:varyColors val="0"/>
        <c:ser>
          <c:idx val="1"/>
          <c:order val="1"/>
          <c:tx>
            <c:strRef>
              <c:f>'Top Incident Types Data'!$DE$57</c:f>
              <c:strCache>
                <c:ptCount val="1"/>
                <c:pt idx="0">
                  <c:v>Rolling Incident Rate </c:v>
                </c:pt>
              </c:strCache>
            </c:strRef>
          </c:tx>
          <c:marker>
            <c:symbol val="none"/>
          </c:marker>
          <c:cat>
            <c:strRef>
              <c:f>'Top Incident Types Data'!$DC$58:$DC$82</c:f>
              <c:strCache>
                <c:ptCount val="24"/>
                <c:pt idx="0">
                  <c:v>Feb-14</c:v>
                </c:pt>
                <c:pt idx="1">
                  <c:v>Mar-14</c:v>
                </c:pt>
                <c:pt idx="2">
                  <c:v>Apr-14</c:v>
                </c:pt>
                <c:pt idx="3">
                  <c:v>May-14</c:v>
                </c:pt>
                <c:pt idx="4">
                  <c:v>Jun-14</c:v>
                </c:pt>
                <c:pt idx="5">
                  <c:v>Jul-14</c:v>
                </c:pt>
                <c:pt idx="6">
                  <c:v>Aug-14</c:v>
                </c:pt>
                <c:pt idx="7">
                  <c:v>Sep-14</c:v>
                </c:pt>
                <c:pt idx="8">
                  <c:v>Oct-14</c:v>
                </c:pt>
                <c:pt idx="9">
                  <c:v>Nov-14</c:v>
                </c:pt>
                <c:pt idx="10">
                  <c:v>Dec-14</c:v>
                </c:pt>
                <c:pt idx="11">
                  <c:v>Jan-15</c:v>
                </c:pt>
                <c:pt idx="12">
                  <c:v>Feb-15</c:v>
                </c:pt>
                <c:pt idx="13">
                  <c:v>Mar-15</c:v>
                </c:pt>
                <c:pt idx="14">
                  <c:v>Apr-15</c:v>
                </c:pt>
                <c:pt idx="15">
                  <c:v>May-15</c:v>
                </c:pt>
                <c:pt idx="16">
                  <c:v>Jun-15</c:v>
                </c:pt>
                <c:pt idx="17">
                  <c:v>Jul-15</c:v>
                </c:pt>
                <c:pt idx="18">
                  <c:v>Aug-15</c:v>
                </c:pt>
                <c:pt idx="19">
                  <c:v>Sep-15</c:v>
                </c:pt>
                <c:pt idx="20">
                  <c:v>Oct-15</c:v>
                </c:pt>
                <c:pt idx="21">
                  <c:v>Nov-15</c:v>
                </c:pt>
                <c:pt idx="22">
                  <c:v>Dec-15</c:v>
                </c:pt>
                <c:pt idx="23">
                  <c:v>Jan-16</c:v>
                </c:pt>
              </c:strCache>
            </c:strRef>
          </c:cat>
          <c:val>
            <c:numRef>
              <c:f>'Top Incident Types Data'!$DE$58:$DE$82</c:f>
              <c:numCache>
                <c:formatCode>General</c:formatCode>
                <c:ptCount val="24"/>
                <c:pt idx="0">
                  <c:v>11.654482661428828</c:v>
                </c:pt>
                <c:pt idx="1">
                  <c:v>11.958582326209354</c:v>
                </c:pt>
                <c:pt idx="2">
                  <c:v>10.764220381883531</c:v>
                </c:pt>
                <c:pt idx="3">
                  <c:v>10.647949930693322</c:v>
                </c:pt>
                <c:pt idx="4">
                  <c:v>10.553867597244258</c:v>
                </c:pt>
                <c:pt idx="5">
                  <c:v>10.457252577967486</c:v>
                </c:pt>
                <c:pt idx="6">
                  <c:v>10.128320606084824</c:v>
                </c:pt>
                <c:pt idx="7">
                  <c:v>9.722788147506007</c:v>
                </c:pt>
                <c:pt idx="8">
                  <c:v>9.9416904968078779</c:v>
                </c:pt>
                <c:pt idx="9">
                  <c:v>10.272796455653786</c:v>
                </c:pt>
                <c:pt idx="10">
                  <c:v>9.8698951173079159</c:v>
                </c:pt>
                <c:pt idx="11">
                  <c:v>9.8201272242327935</c:v>
                </c:pt>
                <c:pt idx="12">
                  <c:v>10.107550762622605</c:v>
                </c:pt>
                <c:pt idx="13">
                  <c:v>9.8396934446906776</c:v>
                </c:pt>
                <c:pt idx="14">
                  <c:v>10.186136614812398</c:v>
                </c:pt>
                <c:pt idx="15">
                  <c:v>10.382674082585236</c:v>
                </c:pt>
                <c:pt idx="16">
                  <c:v>10.79125921966388</c:v>
                </c:pt>
                <c:pt idx="17">
                  <c:v>11.552381394302234</c:v>
                </c:pt>
                <c:pt idx="18">
                  <c:v>12.414918468841963</c:v>
                </c:pt>
                <c:pt idx="19">
                  <c:v>12.564176419818361</c:v>
                </c:pt>
                <c:pt idx="20">
                  <c:v>12.561419497670343</c:v>
                </c:pt>
                <c:pt idx="21">
                  <c:v>11.600005451483108</c:v>
                </c:pt>
                <c:pt idx="22">
                  <c:v>10.80663337476981</c:v>
                </c:pt>
                <c:pt idx="23">
                  <c:v>10.238907280131214</c:v>
                </c:pt>
              </c:numCache>
            </c:numRef>
          </c:val>
          <c:smooth val="0"/>
        </c:ser>
        <c:dLbls>
          <c:showLegendKey val="0"/>
          <c:showVal val="0"/>
          <c:showCatName val="0"/>
          <c:showSerName val="0"/>
          <c:showPercent val="0"/>
          <c:showBubbleSize val="0"/>
        </c:dLbls>
        <c:marker val="1"/>
        <c:smooth val="0"/>
        <c:axId val="213752064"/>
        <c:axId val="213762048"/>
      </c:lineChart>
      <c:catAx>
        <c:axId val="213752064"/>
        <c:scaling>
          <c:orientation val="minMax"/>
        </c:scaling>
        <c:delete val="0"/>
        <c:axPos val="b"/>
        <c:majorTickMark val="out"/>
        <c:minorTickMark val="none"/>
        <c:tickLblPos val="nextTo"/>
        <c:crossAx val="213762048"/>
        <c:crosses val="autoZero"/>
        <c:auto val="1"/>
        <c:lblAlgn val="ctr"/>
        <c:lblOffset val="100"/>
        <c:noMultiLvlLbl val="0"/>
      </c:catAx>
      <c:valAx>
        <c:axId val="213762048"/>
        <c:scaling>
          <c:orientation val="minMax"/>
        </c:scaling>
        <c:delete val="0"/>
        <c:axPos val="l"/>
        <c:numFmt formatCode="General" sourceLinked="1"/>
        <c:majorTickMark val="out"/>
        <c:minorTickMark val="none"/>
        <c:tickLblPos val="nextTo"/>
        <c:crossAx val="213752064"/>
        <c:crosses val="autoZero"/>
        <c:crossBetween val="between"/>
      </c:valAx>
    </c:plotArea>
    <c:legend>
      <c:legendPos val="b"/>
      <c:overlay val="0"/>
    </c:legend>
    <c:plotVisOnly val="1"/>
    <c:dispBlanksAs val="gap"/>
    <c:showDLblsOverMax val="0"/>
  </c:chart>
  <c:spPr>
    <a:ln w="12700">
      <a:solidFill>
        <a:schemeClr val="tx1"/>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[_GRI Dashboard-2.xlsm]Top Incident Types Data!PivotTable11</c:name>
    <c:fmtId val="2"/>
  </c:pivotSource>
  <c:chart>
    <c:title>
      <c:tx>
        <c:rich>
          <a:bodyPr/>
          <a:lstStyle/>
          <a:p>
            <a:pPr>
              <a:defRPr sz="1400"/>
            </a:pPr>
            <a:r>
              <a:rPr lang="en-US" sz="1400"/>
              <a:t>Lifelabs Lost Time Rate</a:t>
            </a:r>
          </a:p>
        </c:rich>
      </c:tx>
      <c:overlay val="0"/>
    </c:title>
    <c:autoTitleDeleted val="0"/>
    <c:pivotFmts>
      <c:pivotFmt>
        <c:idx val="0"/>
        <c:marker>
          <c:symbol val="none"/>
        </c:marker>
      </c:pivotFmt>
      <c:pivotFmt>
        <c:idx val="1"/>
        <c:marker>
          <c:symbol val="none"/>
        </c:marker>
      </c:pivotFmt>
      <c:pivotFmt>
        <c:idx val="2"/>
      </c:pivotFmt>
      <c:pivotFmt>
        <c:idx val="3"/>
        <c:marker>
          <c:symbol val="none"/>
        </c:marker>
      </c:pivotFmt>
      <c:pivotFmt>
        <c:idx val="4"/>
        <c:marker>
          <c:symbol val="none"/>
        </c:marker>
      </c:pivotFmt>
    </c:pivotFmts>
    <c:plotArea>
      <c:layout>
        <c:manualLayout>
          <c:layoutTarget val="inner"/>
          <c:xMode val="edge"/>
          <c:yMode val="edge"/>
          <c:x val="6.2079124926138159E-2"/>
          <c:y val="0.11486257287146037"/>
          <c:w val="0.91650978182700982"/>
          <c:h val="0.58799303552402482"/>
        </c:manualLayout>
      </c:layout>
      <c:barChart>
        <c:barDir val="col"/>
        <c:grouping val="clustered"/>
        <c:varyColors val="0"/>
        <c:ser>
          <c:idx val="0"/>
          <c:order val="0"/>
          <c:tx>
            <c:strRef>
              <c:f>'Top Incident Types Data'!$DH$57</c:f>
              <c:strCache>
                <c:ptCount val="1"/>
                <c:pt idx="0">
                  <c:v>Number of Lost Time Incidents </c:v>
                </c:pt>
              </c:strCache>
            </c:strRef>
          </c:tx>
          <c:invertIfNegative val="0"/>
          <c:cat>
            <c:strRef>
              <c:f>'Top Incident Types Data'!$DG$58:$DG$82</c:f>
              <c:strCache>
                <c:ptCount val="24"/>
                <c:pt idx="0">
                  <c:v>Feb-14</c:v>
                </c:pt>
                <c:pt idx="1">
                  <c:v>Mar-14</c:v>
                </c:pt>
                <c:pt idx="2">
                  <c:v>Apr-14</c:v>
                </c:pt>
                <c:pt idx="3">
                  <c:v>May-14</c:v>
                </c:pt>
                <c:pt idx="4">
                  <c:v>Jun-14</c:v>
                </c:pt>
                <c:pt idx="5">
                  <c:v>Jul-14</c:v>
                </c:pt>
                <c:pt idx="6">
                  <c:v>Aug-14</c:v>
                </c:pt>
                <c:pt idx="7">
                  <c:v>Sep-14</c:v>
                </c:pt>
                <c:pt idx="8">
                  <c:v>Oct-14</c:v>
                </c:pt>
                <c:pt idx="9">
                  <c:v>Nov-14</c:v>
                </c:pt>
                <c:pt idx="10">
                  <c:v>Dec-14</c:v>
                </c:pt>
                <c:pt idx="11">
                  <c:v>Jan-15</c:v>
                </c:pt>
                <c:pt idx="12">
                  <c:v>Feb-15</c:v>
                </c:pt>
                <c:pt idx="13">
                  <c:v>Mar-15</c:v>
                </c:pt>
                <c:pt idx="14">
                  <c:v>Apr-15</c:v>
                </c:pt>
                <c:pt idx="15">
                  <c:v>May-15</c:v>
                </c:pt>
                <c:pt idx="16">
                  <c:v>Jun-15</c:v>
                </c:pt>
                <c:pt idx="17">
                  <c:v>Jul-15</c:v>
                </c:pt>
                <c:pt idx="18">
                  <c:v>Aug-15</c:v>
                </c:pt>
                <c:pt idx="19">
                  <c:v>Sep-15</c:v>
                </c:pt>
                <c:pt idx="20">
                  <c:v>Oct-15</c:v>
                </c:pt>
                <c:pt idx="21">
                  <c:v>Nov-15</c:v>
                </c:pt>
                <c:pt idx="22">
                  <c:v>Dec-15</c:v>
                </c:pt>
                <c:pt idx="23">
                  <c:v>Jan-16</c:v>
                </c:pt>
              </c:strCache>
            </c:strRef>
          </c:cat>
          <c:val>
            <c:numRef>
              <c:f>'Top Incident Types Data'!$DH$58:$DH$82</c:f>
              <c:numCache>
                <c:formatCode>General</c:formatCode>
                <c:ptCount val="24"/>
                <c:pt idx="0">
                  <c:v>4</c:v>
                </c:pt>
                <c:pt idx="1">
                  <c:v>8</c:v>
                </c:pt>
                <c:pt idx="2">
                  <c:v>2</c:v>
                </c:pt>
                <c:pt idx="3">
                  <c:v>2</c:v>
                </c:pt>
                <c:pt idx="4">
                  <c:v>4</c:v>
                </c:pt>
                <c:pt idx="5">
                  <c:v>6</c:v>
                </c:pt>
                <c:pt idx="6">
                  <c:v>0</c:v>
                </c:pt>
                <c:pt idx="7">
                  <c:v>6</c:v>
                </c:pt>
                <c:pt idx="8">
                  <c:v>4</c:v>
                </c:pt>
                <c:pt idx="9">
                  <c:v>6</c:v>
                </c:pt>
                <c:pt idx="10">
                  <c:v>4</c:v>
                </c:pt>
                <c:pt idx="11">
                  <c:v>6</c:v>
                </c:pt>
                <c:pt idx="12">
                  <c:v>10</c:v>
                </c:pt>
                <c:pt idx="13">
                  <c:v>4</c:v>
                </c:pt>
                <c:pt idx="14">
                  <c:v>8</c:v>
                </c:pt>
                <c:pt idx="15">
                  <c:v>8</c:v>
                </c:pt>
                <c:pt idx="16">
                  <c:v>6</c:v>
                </c:pt>
                <c:pt idx="17">
                  <c:v>2</c:v>
                </c:pt>
                <c:pt idx="18">
                  <c:v>6</c:v>
                </c:pt>
                <c:pt idx="19">
                  <c:v>16</c:v>
                </c:pt>
                <c:pt idx="20">
                  <c:v>16</c:v>
                </c:pt>
                <c:pt idx="21">
                  <c:v>12</c:v>
                </c:pt>
                <c:pt idx="22">
                  <c:v>6</c:v>
                </c:pt>
                <c:pt idx="23">
                  <c:v>2</c:v>
                </c:pt>
              </c:numCache>
            </c:numRef>
          </c:val>
        </c:ser>
        <c:dLbls>
          <c:showLegendKey val="0"/>
          <c:showVal val="0"/>
          <c:showCatName val="0"/>
          <c:showSerName val="0"/>
          <c:showPercent val="0"/>
          <c:showBubbleSize val="0"/>
        </c:dLbls>
        <c:gapWidth val="150"/>
        <c:axId val="211035264"/>
        <c:axId val="211036800"/>
      </c:barChart>
      <c:lineChart>
        <c:grouping val="standard"/>
        <c:varyColors val="0"/>
        <c:ser>
          <c:idx val="1"/>
          <c:order val="1"/>
          <c:tx>
            <c:strRef>
              <c:f>'Top Incident Types Data'!$DI$57</c:f>
              <c:strCache>
                <c:ptCount val="1"/>
                <c:pt idx="0">
                  <c:v>Lost Time Rate </c:v>
                </c:pt>
              </c:strCache>
            </c:strRef>
          </c:tx>
          <c:marker>
            <c:symbol val="none"/>
          </c:marker>
          <c:cat>
            <c:strRef>
              <c:f>'Top Incident Types Data'!$DG$58:$DG$82</c:f>
              <c:strCache>
                <c:ptCount val="24"/>
                <c:pt idx="0">
                  <c:v>Feb-14</c:v>
                </c:pt>
                <c:pt idx="1">
                  <c:v>Mar-14</c:v>
                </c:pt>
                <c:pt idx="2">
                  <c:v>Apr-14</c:v>
                </c:pt>
                <c:pt idx="3">
                  <c:v>May-14</c:v>
                </c:pt>
                <c:pt idx="4">
                  <c:v>Jun-14</c:v>
                </c:pt>
                <c:pt idx="5">
                  <c:v>Jul-14</c:v>
                </c:pt>
                <c:pt idx="6">
                  <c:v>Aug-14</c:v>
                </c:pt>
                <c:pt idx="7">
                  <c:v>Sep-14</c:v>
                </c:pt>
                <c:pt idx="8">
                  <c:v>Oct-14</c:v>
                </c:pt>
                <c:pt idx="9">
                  <c:v>Nov-14</c:v>
                </c:pt>
                <c:pt idx="10">
                  <c:v>Dec-14</c:v>
                </c:pt>
                <c:pt idx="11">
                  <c:v>Jan-15</c:v>
                </c:pt>
                <c:pt idx="12">
                  <c:v>Feb-15</c:v>
                </c:pt>
                <c:pt idx="13">
                  <c:v>Mar-15</c:v>
                </c:pt>
                <c:pt idx="14">
                  <c:v>Apr-15</c:v>
                </c:pt>
                <c:pt idx="15">
                  <c:v>May-15</c:v>
                </c:pt>
                <c:pt idx="16">
                  <c:v>Jun-15</c:v>
                </c:pt>
                <c:pt idx="17">
                  <c:v>Jul-15</c:v>
                </c:pt>
                <c:pt idx="18">
                  <c:v>Aug-15</c:v>
                </c:pt>
                <c:pt idx="19">
                  <c:v>Sep-15</c:v>
                </c:pt>
                <c:pt idx="20">
                  <c:v>Oct-15</c:v>
                </c:pt>
                <c:pt idx="21">
                  <c:v>Nov-15</c:v>
                </c:pt>
                <c:pt idx="22">
                  <c:v>Dec-15</c:v>
                </c:pt>
                <c:pt idx="23">
                  <c:v>Jan-16</c:v>
                </c:pt>
              </c:strCache>
            </c:strRef>
          </c:cat>
          <c:val>
            <c:numRef>
              <c:f>'Top Incident Types Data'!$DI$58:$DI$82</c:f>
              <c:numCache>
                <c:formatCode>General</c:formatCode>
                <c:ptCount val="24"/>
                <c:pt idx="0">
                  <c:v>1.7469358894370128</c:v>
                </c:pt>
                <c:pt idx="1">
                  <c:v>2.6317558891745327</c:v>
                </c:pt>
                <c:pt idx="2">
                  <c:v>0.46126008043545547</c:v>
                </c:pt>
                <c:pt idx="3">
                  <c:v>1.1912495099497327</c:v>
                </c:pt>
                <c:pt idx="4">
                  <c:v>0.96628193024285136</c:v>
                </c:pt>
                <c:pt idx="5">
                  <c:v>2.1104800139041013</c:v>
                </c:pt>
                <c:pt idx="6">
                  <c:v>0</c:v>
                </c:pt>
                <c:pt idx="7">
                  <c:v>2.9176997720574591</c:v>
                </c:pt>
                <c:pt idx="8">
                  <c:v>2.339277456845156</c:v>
                </c:pt>
                <c:pt idx="9">
                  <c:v>2.9520862683576006</c:v>
                </c:pt>
                <c:pt idx="10">
                  <c:v>0.90407601995539866</c:v>
                </c:pt>
                <c:pt idx="11">
                  <c:v>2.329672237921983</c:v>
                </c:pt>
                <c:pt idx="12">
                  <c:v>5.4537378639261602</c:v>
                </c:pt>
                <c:pt idx="13">
                  <c:v>1.6330355995009236</c:v>
                </c:pt>
                <c:pt idx="14">
                  <c:v>3.4839797429033981</c:v>
                </c:pt>
                <c:pt idx="15">
                  <c:v>3.2667229762745493</c:v>
                </c:pt>
                <c:pt idx="16">
                  <c:v>2.1208856396838258</c:v>
                </c:pt>
                <c:pt idx="17">
                  <c:v>0.31220113083308199</c:v>
                </c:pt>
                <c:pt idx="18">
                  <c:v>2.7423250293886987</c:v>
                </c:pt>
                <c:pt idx="19">
                  <c:v>6.4064246271216971</c:v>
                </c:pt>
                <c:pt idx="20">
                  <c:v>6.7608066567870972</c:v>
                </c:pt>
                <c:pt idx="21">
                  <c:v>4.1983158696829204</c:v>
                </c:pt>
                <c:pt idx="22">
                  <c:v>1.2406064463953734</c:v>
                </c:pt>
                <c:pt idx="23">
                  <c:v>0.52595323745032252</c:v>
                </c:pt>
              </c:numCache>
            </c:numRef>
          </c:val>
          <c:smooth val="0"/>
        </c:ser>
        <c:dLbls>
          <c:showLegendKey val="0"/>
          <c:showVal val="0"/>
          <c:showCatName val="0"/>
          <c:showSerName val="0"/>
          <c:showPercent val="0"/>
          <c:showBubbleSize val="0"/>
        </c:dLbls>
        <c:marker val="1"/>
        <c:smooth val="0"/>
        <c:axId val="211035264"/>
        <c:axId val="211036800"/>
      </c:lineChart>
      <c:catAx>
        <c:axId val="211035264"/>
        <c:scaling>
          <c:orientation val="minMax"/>
        </c:scaling>
        <c:delete val="0"/>
        <c:axPos val="b"/>
        <c:majorTickMark val="out"/>
        <c:minorTickMark val="none"/>
        <c:tickLblPos val="nextTo"/>
        <c:crossAx val="211036800"/>
        <c:crosses val="autoZero"/>
        <c:auto val="1"/>
        <c:lblAlgn val="ctr"/>
        <c:lblOffset val="100"/>
        <c:noMultiLvlLbl val="0"/>
      </c:catAx>
      <c:valAx>
        <c:axId val="211036800"/>
        <c:scaling>
          <c:orientation val="minMax"/>
        </c:scaling>
        <c:delete val="0"/>
        <c:axPos val="l"/>
        <c:numFmt formatCode="General" sourceLinked="1"/>
        <c:majorTickMark val="out"/>
        <c:minorTickMark val="none"/>
        <c:tickLblPos val="nextTo"/>
        <c:crossAx val="211035264"/>
        <c:crosses val="autoZero"/>
        <c:crossBetween val="between"/>
      </c:valAx>
    </c:plotArea>
    <c:legend>
      <c:legendPos val="b"/>
      <c:overlay val="0"/>
    </c:legend>
    <c:plotVisOnly val="1"/>
    <c:dispBlanksAs val="gap"/>
    <c:showDLblsOverMax val="0"/>
  </c:chart>
  <c:spPr>
    <a:solidFill>
      <a:schemeClr val="bg1"/>
    </a:solidFill>
    <a:ln w="12700">
      <a:solidFill>
        <a:schemeClr val="tx1"/>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[_GRI Dashboard-2.xlsm]Top Incident Types Data!PivotTable12</c:name>
    <c:fmtId val="3"/>
  </c:pivotSource>
  <c:chart>
    <c:title>
      <c:tx>
        <c:rich>
          <a:bodyPr/>
          <a:lstStyle/>
          <a:p>
            <a:pPr>
              <a:defRPr sz="1400"/>
            </a:pPr>
            <a:r>
              <a:rPr lang="en-US" sz="1400"/>
              <a:t>LifeLabs Rolling Days Lost</a:t>
            </a: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pivotFmt>
      <c:pivotFmt>
        <c:idx val="5"/>
        <c:marker>
          <c:symbol val="none"/>
        </c:marker>
      </c:pivotFmt>
      <c:pivotFmt>
        <c:idx val="6"/>
        <c:spPr>
          <a:ln w="22225">
            <a:prstDash val="sysDot"/>
          </a:ln>
        </c:spPr>
        <c:marker>
          <c:symbol val="square"/>
          <c:size val="4"/>
        </c:marker>
      </c:pivotFmt>
    </c:pivotFmts>
    <c:plotArea>
      <c:layout>
        <c:manualLayout>
          <c:layoutTarget val="inner"/>
          <c:xMode val="edge"/>
          <c:yMode val="edge"/>
          <c:x val="8.9904205012348137E-2"/>
          <c:y val="0.11250427005372504"/>
          <c:w val="0.81456571093170316"/>
          <c:h val="0.58275822885229422"/>
        </c:manualLayout>
      </c:layout>
      <c:barChart>
        <c:barDir val="col"/>
        <c:grouping val="clustered"/>
        <c:varyColors val="0"/>
        <c:ser>
          <c:idx val="0"/>
          <c:order val="0"/>
          <c:tx>
            <c:strRef>
              <c:f>'Top Incident Types Data'!$DD$91</c:f>
              <c:strCache>
                <c:ptCount val="1"/>
                <c:pt idx="0">
                  <c:v>Number of Lost Time Incidents </c:v>
                </c:pt>
              </c:strCache>
            </c:strRef>
          </c:tx>
          <c:invertIfNegative val="0"/>
          <c:cat>
            <c:strRef>
              <c:f>'Top Incident Types Data'!$DC$92:$DC$116</c:f>
              <c:strCache>
                <c:ptCount val="24"/>
                <c:pt idx="0">
                  <c:v>Feb-14</c:v>
                </c:pt>
                <c:pt idx="1">
                  <c:v>Mar-14</c:v>
                </c:pt>
                <c:pt idx="2">
                  <c:v>Apr-14</c:v>
                </c:pt>
                <c:pt idx="3">
                  <c:v>May-14</c:v>
                </c:pt>
                <c:pt idx="4">
                  <c:v>Jun-14</c:v>
                </c:pt>
                <c:pt idx="5">
                  <c:v>Jul-14</c:v>
                </c:pt>
                <c:pt idx="6">
                  <c:v>Aug-14</c:v>
                </c:pt>
                <c:pt idx="7">
                  <c:v>Sep-14</c:v>
                </c:pt>
                <c:pt idx="8">
                  <c:v>Oct-14</c:v>
                </c:pt>
                <c:pt idx="9">
                  <c:v>Nov-14</c:v>
                </c:pt>
                <c:pt idx="10">
                  <c:v>Dec-14</c:v>
                </c:pt>
                <c:pt idx="11">
                  <c:v>Jan-15</c:v>
                </c:pt>
                <c:pt idx="12">
                  <c:v>Feb-15</c:v>
                </c:pt>
                <c:pt idx="13">
                  <c:v>Mar-15</c:v>
                </c:pt>
                <c:pt idx="14">
                  <c:v>Apr-15</c:v>
                </c:pt>
                <c:pt idx="15">
                  <c:v>May-15</c:v>
                </c:pt>
                <c:pt idx="16">
                  <c:v>Jun-15</c:v>
                </c:pt>
                <c:pt idx="17">
                  <c:v>Jul-15</c:v>
                </c:pt>
                <c:pt idx="18">
                  <c:v>Aug-15</c:v>
                </c:pt>
                <c:pt idx="19">
                  <c:v>Sep-15</c:v>
                </c:pt>
                <c:pt idx="20">
                  <c:v>Oct-15</c:v>
                </c:pt>
                <c:pt idx="21">
                  <c:v>Nov-15</c:v>
                </c:pt>
                <c:pt idx="22">
                  <c:v>Dec-15</c:v>
                </c:pt>
                <c:pt idx="23">
                  <c:v>Jan-16</c:v>
                </c:pt>
              </c:strCache>
            </c:strRef>
          </c:cat>
          <c:val>
            <c:numRef>
              <c:f>'Top Incident Types Data'!$DD$92:$DD$116</c:f>
              <c:numCache>
                <c:formatCode>General</c:formatCode>
                <c:ptCount val="24"/>
                <c:pt idx="0">
                  <c:v>4</c:v>
                </c:pt>
                <c:pt idx="1">
                  <c:v>8</c:v>
                </c:pt>
                <c:pt idx="2">
                  <c:v>2</c:v>
                </c:pt>
                <c:pt idx="3">
                  <c:v>2</c:v>
                </c:pt>
                <c:pt idx="4">
                  <c:v>4</c:v>
                </c:pt>
                <c:pt idx="5">
                  <c:v>6</c:v>
                </c:pt>
                <c:pt idx="6">
                  <c:v>0</c:v>
                </c:pt>
                <c:pt idx="7">
                  <c:v>6</c:v>
                </c:pt>
                <c:pt idx="8">
                  <c:v>4</c:v>
                </c:pt>
                <c:pt idx="9">
                  <c:v>6</c:v>
                </c:pt>
                <c:pt idx="10">
                  <c:v>4</c:v>
                </c:pt>
                <c:pt idx="11">
                  <c:v>6</c:v>
                </c:pt>
                <c:pt idx="12">
                  <c:v>10</c:v>
                </c:pt>
                <c:pt idx="13">
                  <c:v>4</c:v>
                </c:pt>
                <c:pt idx="14">
                  <c:v>8</c:v>
                </c:pt>
                <c:pt idx="15">
                  <c:v>8</c:v>
                </c:pt>
                <c:pt idx="16">
                  <c:v>6</c:v>
                </c:pt>
                <c:pt idx="17">
                  <c:v>2</c:v>
                </c:pt>
                <c:pt idx="18">
                  <c:v>6</c:v>
                </c:pt>
                <c:pt idx="19">
                  <c:v>16</c:v>
                </c:pt>
                <c:pt idx="20">
                  <c:v>16</c:v>
                </c:pt>
                <c:pt idx="21">
                  <c:v>12</c:v>
                </c:pt>
                <c:pt idx="22">
                  <c:v>6</c:v>
                </c:pt>
                <c:pt idx="23">
                  <c:v>2</c:v>
                </c:pt>
              </c:numCache>
            </c:numRef>
          </c:val>
        </c:ser>
        <c:dLbls>
          <c:showLegendKey val="0"/>
          <c:showVal val="0"/>
          <c:showCatName val="0"/>
          <c:showSerName val="0"/>
          <c:showPercent val="0"/>
          <c:showBubbleSize val="0"/>
        </c:dLbls>
        <c:gapWidth val="150"/>
        <c:axId val="211072128"/>
        <c:axId val="211073664"/>
      </c:barChart>
      <c:lineChart>
        <c:grouping val="standard"/>
        <c:varyColors val="0"/>
        <c:ser>
          <c:idx val="1"/>
          <c:order val="1"/>
          <c:tx>
            <c:strRef>
              <c:f>'Top Incident Types Data'!$DE$91</c:f>
              <c:strCache>
                <c:ptCount val="1"/>
                <c:pt idx="0">
                  <c:v>Rolling Days Lost/Lost Time Incident </c:v>
                </c:pt>
              </c:strCache>
            </c:strRef>
          </c:tx>
          <c:spPr>
            <a:ln w="22225">
              <a:prstDash val="sysDot"/>
            </a:ln>
          </c:spPr>
          <c:marker>
            <c:symbol val="square"/>
            <c:size val="4"/>
          </c:marker>
          <c:cat>
            <c:strRef>
              <c:f>'Top Incident Types Data'!$DC$92:$DC$116</c:f>
              <c:strCache>
                <c:ptCount val="24"/>
                <c:pt idx="0">
                  <c:v>Feb-14</c:v>
                </c:pt>
                <c:pt idx="1">
                  <c:v>Mar-14</c:v>
                </c:pt>
                <c:pt idx="2">
                  <c:v>Apr-14</c:v>
                </c:pt>
                <c:pt idx="3">
                  <c:v>May-14</c:v>
                </c:pt>
                <c:pt idx="4">
                  <c:v>Jun-14</c:v>
                </c:pt>
                <c:pt idx="5">
                  <c:v>Jul-14</c:v>
                </c:pt>
                <c:pt idx="6">
                  <c:v>Aug-14</c:v>
                </c:pt>
                <c:pt idx="7">
                  <c:v>Sep-14</c:v>
                </c:pt>
                <c:pt idx="8">
                  <c:v>Oct-14</c:v>
                </c:pt>
                <c:pt idx="9">
                  <c:v>Nov-14</c:v>
                </c:pt>
                <c:pt idx="10">
                  <c:v>Dec-14</c:v>
                </c:pt>
                <c:pt idx="11">
                  <c:v>Jan-15</c:v>
                </c:pt>
                <c:pt idx="12">
                  <c:v>Feb-15</c:v>
                </c:pt>
                <c:pt idx="13">
                  <c:v>Mar-15</c:v>
                </c:pt>
                <c:pt idx="14">
                  <c:v>Apr-15</c:v>
                </c:pt>
                <c:pt idx="15">
                  <c:v>May-15</c:v>
                </c:pt>
                <c:pt idx="16">
                  <c:v>Jun-15</c:v>
                </c:pt>
                <c:pt idx="17">
                  <c:v>Jul-15</c:v>
                </c:pt>
                <c:pt idx="18">
                  <c:v>Aug-15</c:v>
                </c:pt>
                <c:pt idx="19">
                  <c:v>Sep-15</c:v>
                </c:pt>
                <c:pt idx="20">
                  <c:v>Oct-15</c:v>
                </c:pt>
                <c:pt idx="21">
                  <c:v>Nov-15</c:v>
                </c:pt>
                <c:pt idx="22">
                  <c:v>Dec-15</c:v>
                </c:pt>
                <c:pt idx="23">
                  <c:v>Jan-16</c:v>
                </c:pt>
              </c:strCache>
            </c:strRef>
          </c:cat>
          <c:val>
            <c:numRef>
              <c:f>'Top Incident Types Data'!$DE$92:$DE$116</c:f>
              <c:numCache>
                <c:formatCode>General</c:formatCode>
                <c:ptCount val="24"/>
                <c:pt idx="0">
                  <c:v>56.898533477907293</c:v>
                </c:pt>
                <c:pt idx="1">
                  <c:v>54.994550653594771</c:v>
                </c:pt>
                <c:pt idx="2">
                  <c:v>60.386278186274502</c:v>
                </c:pt>
                <c:pt idx="3">
                  <c:v>72.319345238095238</c:v>
                </c:pt>
                <c:pt idx="4">
                  <c:v>72.136050156739799</c:v>
                </c:pt>
                <c:pt idx="5">
                  <c:v>71.186104980192425</c:v>
                </c:pt>
                <c:pt idx="6">
                  <c:v>73.490406055461236</c:v>
                </c:pt>
                <c:pt idx="7">
                  <c:v>80.845628342245988</c:v>
                </c:pt>
                <c:pt idx="8">
                  <c:v>80.380892857142854</c:v>
                </c:pt>
                <c:pt idx="9">
                  <c:v>76.667333333333332</c:v>
                </c:pt>
                <c:pt idx="10">
                  <c:v>77.973663003663006</c:v>
                </c:pt>
                <c:pt idx="11">
                  <c:v>77.305036630036625</c:v>
                </c:pt>
                <c:pt idx="12">
                  <c:v>70.32525451559934</c:v>
                </c:pt>
                <c:pt idx="13">
                  <c:v>70.705185185185172</c:v>
                </c:pt>
                <c:pt idx="14">
                  <c:v>60.945740573152335</c:v>
                </c:pt>
                <c:pt idx="15">
                  <c:v>49.873747474747475</c:v>
                </c:pt>
                <c:pt idx="16">
                  <c:v>43.090186790505676</c:v>
                </c:pt>
                <c:pt idx="17">
                  <c:v>39.879275793650791</c:v>
                </c:pt>
                <c:pt idx="18">
                  <c:v>33.923904761904758</c:v>
                </c:pt>
                <c:pt idx="19">
                  <c:v>27.804124999999996</c:v>
                </c:pt>
                <c:pt idx="20">
                  <c:v>22.907213158126815</c:v>
                </c:pt>
                <c:pt idx="21">
                  <c:v>21.884430522208881</c:v>
                </c:pt>
                <c:pt idx="22">
                  <c:v>22.553457352941177</c:v>
                </c:pt>
                <c:pt idx="23">
                  <c:v>22.070988636363634</c:v>
                </c:pt>
              </c:numCache>
            </c:numRef>
          </c:val>
          <c:smooth val="0"/>
        </c:ser>
        <c:dLbls>
          <c:showLegendKey val="0"/>
          <c:showVal val="0"/>
          <c:showCatName val="0"/>
          <c:showSerName val="0"/>
          <c:showPercent val="0"/>
          <c:showBubbleSize val="0"/>
        </c:dLbls>
        <c:marker val="1"/>
        <c:smooth val="0"/>
        <c:axId val="211089280"/>
        <c:axId val="211087744"/>
      </c:lineChart>
      <c:catAx>
        <c:axId val="211072128"/>
        <c:scaling>
          <c:orientation val="minMax"/>
        </c:scaling>
        <c:delete val="0"/>
        <c:axPos val="b"/>
        <c:majorTickMark val="out"/>
        <c:minorTickMark val="none"/>
        <c:tickLblPos val="nextTo"/>
        <c:crossAx val="211073664"/>
        <c:crosses val="autoZero"/>
        <c:auto val="1"/>
        <c:lblAlgn val="ctr"/>
        <c:lblOffset val="100"/>
        <c:noMultiLvlLbl val="0"/>
      </c:catAx>
      <c:valAx>
        <c:axId val="211073664"/>
        <c:scaling>
          <c:orientation val="minMax"/>
        </c:scaling>
        <c:delete val="0"/>
        <c:axPos val="l"/>
        <c:numFmt formatCode="General" sourceLinked="1"/>
        <c:majorTickMark val="out"/>
        <c:minorTickMark val="none"/>
        <c:tickLblPos val="nextTo"/>
        <c:crossAx val="211072128"/>
        <c:crosses val="autoZero"/>
        <c:crossBetween val="between"/>
      </c:valAx>
      <c:valAx>
        <c:axId val="211087744"/>
        <c:scaling>
          <c:orientation val="minMax"/>
        </c:scaling>
        <c:delete val="0"/>
        <c:axPos val="r"/>
        <c:numFmt formatCode="General" sourceLinked="1"/>
        <c:majorTickMark val="out"/>
        <c:minorTickMark val="none"/>
        <c:tickLblPos val="nextTo"/>
        <c:crossAx val="211089280"/>
        <c:crosses val="max"/>
        <c:crossBetween val="between"/>
      </c:valAx>
      <c:catAx>
        <c:axId val="211089280"/>
        <c:scaling>
          <c:orientation val="minMax"/>
        </c:scaling>
        <c:delete val="1"/>
        <c:axPos val="b"/>
        <c:majorTickMark val="out"/>
        <c:minorTickMark val="none"/>
        <c:tickLblPos val="nextTo"/>
        <c:crossAx val="211087744"/>
        <c:crosses val="autoZero"/>
        <c:auto val="1"/>
        <c:lblAlgn val="ctr"/>
        <c:lblOffset val="100"/>
        <c:noMultiLvlLbl val="0"/>
      </c:catAx>
    </c:plotArea>
    <c:legend>
      <c:legendPos val="b"/>
      <c:layout>
        <c:manualLayout>
          <c:xMode val="edge"/>
          <c:yMode val="edge"/>
          <c:x val="0.24636322358439372"/>
          <c:y val="0.86325160859909233"/>
          <c:w val="0.50727355283121256"/>
          <c:h val="0.1099925385580983"/>
        </c:manualLayout>
      </c:layout>
      <c:overlay val="0"/>
    </c:legend>
    <c:plotVisOnly val="1"/>
    <c:dispBlanksAs val="gap"/>
    <c:showDLblsOverMax val="0"/>
  </c:chart>
  <c:spPr>
    <a:ln w="12700">
      <a:solidFill>
        <a:schemeClr val="tx1"/>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[_GRI Dashboard-2.xlsm]Top Incident Types Data!PivotTable6</c:name>
    <c:fmtId val="3"/>
  </c:pivotSource>
  <c:chart>
    <c:title>
      <c:tx>
        <c:rich>
          <a:bodyPr/>
          <a:lstStyle/>
          <a:p>
            <a:pPr>
              <a:defRPr/>
            </a:pPr>
            <a:r>
              <a:rPr lang="en-US"/>
              <a:t>Rolling Incident Rate by Incident Type</a:t>
            </a:r>
          </a:p>
        </c:rich>
      </c:tx>
      <c:overlay val="0"/>
    </c:title>
    <c:autoTitleDeleted val="0"/>
    <c:pivotFmts>
      <c:pivotFmt>
        <c:idx val="0"/>
        <c:marker>
          <c:symbol val="none"/>
        </c:marker>
      </c:pivotFmt>
      <c:pivotFmt>
        <c:idx val="1"/>
        <c:marker>
          <c:symbol val="none"/>
        </c:marker>
      </c:pivotFmt>
      <c:pivotFmt>
        <c:idx val="2"/>
      </c:pivotFmt>
      <c:pivotFmt>
        <c:idx val="3"/>
        <c:marker>
          <c:symbol val="none"/>
        </c:marker>
      </c:pivotFmt>
      <c:pivotFmt>
        <c:idx val="4"/>
        <c:marker>
          <c:symbol val="none"/>
        </c:marker>
      </c:pivotFmt>
    </c:pivotFmts>
    <c:plotArea>
      <c:layout>
        <c:manualLayout>
          <c:layoutTarget val="inner"/>
          <c:xMode val="edge"/>
          <c:yMode val="edge"/>
          <c:x val="5.5732960799254931E-2"/>
          <c:y val="0.14283719389445251"/>
          <c:w val="0.92061112522225041"/>
          <c:h val="0.5657882085127709"/>
        </c:manualLayout>
      </c:layout>
      <c:barChart>
        <c:barDir val="col"/>
        <c:grouping val="clustered"/>
        <c:varyColors val="0"/>
        <c:ser>
          <c:idx val="0"/>
          <c:order val="0"/>
          <c:tx>
            <c:strRef>
              <c:f>'Top Incident Types Data'!$DD$21</c:f>
              <c:strCache>
                <c:ptCount val="1"/>
                <c:pt idx="0">
                  <c:v>Number of Incidents </c:v>
                </c:pt>
              </c:strCache>
            </c:strRef>
          </c:tx>
          <c:invertIfNegative val="0"/>
          <c:cat>
            <c:strRef>
              <c:f>'Top Incident Types Data'!$DC$22:$DC$46</c:f>
              <c:strCache>
                <c:ptCount val="24"/>
                <c:pt idx="0">
                  <c:v>Feb-14</c:v>
                </c:pt>
                <c:pt idx="1">
                  <c:v>Mar-14</c:v>
                </c:pt>
                <c:pt idx="2">
                  <c:v>Apr-14</c:v>
                </c:pt>
                <c:pt idx="3">
                  <c:v>May-14</c:v>
                </c:pt>
                <c:pt idx="4">
                  <c:v>Jun-14</c:v>
                </c:pt>
                <c:pt idx="5">
                  <c:v>Jul-14</c:v>
                </c:pt>
                <c:pt idx="6">
                  <c:v>Aug-14</c:v>
                </c:pt>
                <c:pt idx="7">
                  <c:v>Sep-14</c:v>
                </c:pt>
                <c:pt idx="8">
                  <c:v>Oct-14</c:v>
                </c:pt>
                <c:pt idx="9">
                  <c:v>Nov-14</c:v>
                </c:pt>
                <c:pt idx="10">
                  <c:v>Dec-14</c:v>
                </c:pt>
                <c:pt idx="11">
                  <c:v>Jan-15</c:v>
                </c:pt>
                <c:pt idx="12">
                  <c:v>Feb-15</c:v>
                </c:pt>
                <c:pt idx="13">
                  <c:v>Mar-15</c:v>
                </c:pt>
                <c:pt idx="14">
                  <c:v>Apr-15</c:v>
                </c:pt>
                <c:pt idx="15">
                  <c:v>May-15</c:v>
                </c:pt>
                <c:pt idx="16">
                  <c:v>Jun-15</c:v>
                </c:pt>
                <c:pt idx="17">
                  <c:v>Jul-15</c:v>
                </c:pt>
                <c:pt idx="18">
                  <c:v>Aug-15</c:v>
                </c:pt>
                <c:pt idx="19">
                  <c:v>Sep-15</c:v>
                </c:pt>
                <c:pt idx="20">
                  <c:v>Oct-15</c:v>
                </c:pt>
                <c:pt idx="21">
                  <c:v>Nov-15</c:v>
                </c:pt>
                <c:pt idx="22">
                  <c:v>Dec-15</c:v>
                </c:pt>
                <c:pt idx="23">
                  <c:v>Jan-16</c:v>
                </c:pt>
              </c:strCache>
            </c:strRef>
          </c:cat>
          <c:val>
            <c:numRef>
              <c:f>'Top Incident Types Data'!$DD$22:$DD$46</c:f>
              <c:numCache>
                <c:formatCode>General</c:formatCode>
                <c:ptCount val="24"/>
                <c:pt idx="0">
                  <c:v>4</c:v>
                </c:pt>
                <c:pt idx="1">
                  <c:v>2</c:v>
                </c:pt>
                <c:pt idx="2">
                  <c:v>4</c:v>
                </c:pt>
                <c:pt idx="3">
                  <c:v>3</c:v>
                </c:pt>
                <c:pt idx="4">
                  <c:v>2</c:v>
                </c:pt>
                <c:pt idx="5">
                  <c:v>2</c:v>
                </c:pt>
                <c:pt idx="6">
                  <c:v>3</c:v>
                </c:pt>
                <c:pt idx="7">
                  <c:v>3</c:v>
                </c:pt>
                <c:pt idx="8">
                  <c:v>7</c:v>
                </c:pt>
                <c:pt idx="9">
                  <c:v>3</c:v>
                </c:pt>
                <c:pt idx="10">
                  <c:v>4</c:v>
                </c:pt>
                <c:pt idx="11">
                  <c:v>2</c:v>
                </c:pt>
                <c:pt idx="12">
                  <c:v>2</c:v>
                </c:pt>
                <c:pt idx="13">
                  <c:v>4</c:v>
                </c:pt>
                <c:pt idx="14">
                  <c:v>5</c:v>
                </c:pt>
                <c:pt idx="15">
                  <c:v>2</c:v>
                </c:pt>
                <c:pt idx="16">
                  <c:v>3</c:v>
                </c:pt>
                <c:pt idx="17">
                  <c:v>7</c:v>
                </c:pt>
                <c:pt idx="18">
                  <c:v>3</c:v>
                </c:pt>
                <c:pt idx="19">
                  <c:v>2</c:v>
                </c:pt>
                <c:pt idx="20">
                  <c:v>4</c:v>
                </c:pt>
                <c:pt idx="21">
                  <c:v>1</c:v>
                </c:pt>
                <c:pt idx="22">
                  <c:v>2</c:v>
                </c:pt>
                <c:pt idx="23">
                  <c:v>4</c:v>
                </c:pt>
              </c:numCache>
            </c:numRef>
          </c:val>
        </c:ser>
        <c:dLbls>
          <c:showLegendKey val="0"/>
          <c:showVal val="0"/>
          <c:showCatName val="0"/>
          <c:showSerName val="0"/>
          <c:showPercent val="0"/>
          <c:showBubbleSize val="0"/>
        </c:dLbls>
        <c:gapWidth val="150"/>
        <c:axId val="213470208"/>
        <c:axId val="213480192"/>
      </c:barChart>
      <c:lineChart>
        <c:grouping val="standard"/>
        <c:varyColors val="0"/>
        <c:ser>
          <c:idx val="1"/>
          <c:order val="1"/>
          <c:tx>
            <c:strRef>
              <c:f>'Top Incident Types Data'!$DE$21</c:f>
              <c:strCache>
                <c:ptCount val="1"/>
                <c:pt idx="0">
                  <c:v>Rolling Incident Rate </c:v>
                </c:pt>
              </c:strCache>
            </c:strRef>
          </c:tx>
          <c:marker>
            <c:symbol val="none"/>
          </c:marker>
          <c:cat>
            <c:strRef>
              <c:f>'Top Incident Types Data'!$DC$22:$DC$46</c:f>
              <c:strCache>
                <c:ptCount val="24"/>
                <c:pt idx="0">
                  <c:v>Feb-14</c:v>
                </c:pt>
                <c:pt idx="1">
                  <c:v>Mar-14</c:v>
                </c:pt>
                <c:pt idx="2">
                  <c:v>Apr-14</c:v>
                </c:pt>
                <c:pt idx="3">
                  <c:v>May-14</c:v>
                </c:pt>
                <c:pt idx="4">
                  <c:v>Jun-14</c:v>
                </c:pt>
                <c:pt idx="5">
                  <c:v>Jul-14</c:v>
                </c:pt>
                <c:pt idx="6">
                  <c:v>Aug-14</c:v>
                </c:pt>
                <c:pt idx="7">
                  <c:v>Sep-14</c:v>
                </c:pt>
                <c:pt idx="8">
                  <c:v>Oct-14</c:v>
                </c:pt>
                <c:pt idx="9">
                  <c:v>Nov-14</c:v>
                </c:pt>
                <c:pt idx="10">
                  <c:v>Dec-14</c:v>
                </c:pt>
                <c:pt idx="11">
                  <c:v>Jan-15</c:v>
                </c:pt>
                <c:pt idx="12">
                  <c:v>Feb-15</c:v>
                </c:pt>
                <c:pt idx="13">
                  <c:v>Mar-15</c:v>
                </c:pt>
                <c:pt idx="14">
                  <c:v>Apr-15</c:v>
                </c:pt>
                <c:pt idx="15">
                  <c:v>May-15</c:v>
                </c:pt>
                <c:pt idx="16">
                  <c:v>Jun-15</c:v>
                </c:pt>
                <c:pt idx="17">
                  <c:v>Jul-15</c:v>
                </c:pt>
                <c:pt idx="18">
                  <c:v>Aug-15</c:v>
                </c:pt>
                <c:pt idx="19">
                  <c:v>Sep-15</c:v>
                </c:pt>
                <c:pt idx="20">
                  <c:v>Oct-15</c:v>
                </c:pt>
                <c:pt idx="21">
                  <c:v>Nov-15</c:v>
                </c:pt>
                <c:pt idx="22">
                  <c:v>Dec-15</c:v>
                </c:pt>
                <c:pt idx="23">
                  <c:v>Jan-16</c:v>
                </c:pt>
              </c:strCache>
            </c:strRef>
          </c:cat>
          <c:val>
            <c:numRef>
              <c:f>'Top Incident Types Data'!$DE$22:$DE$46</c:f>
              <c:numCache>
                <c:formatCode>General</c:formatCode>
                <c:ptCount val="24"/>
                <c:pt idx="0">
                  <c:v>4.7509633387931878</c:v>
                </c:pt>
                <c:pt idx="1">
                  <c:v>4.5467443406573977</c:v>
                </c:pt>
                <c:pt idx="2">
                  <c:v>4.3425237050333472</c:v>
                </c:pt>
                <c:pt idx="3">
                  <c:v>4.631883375986531</c:v>
                </c:pt>
                <c:pt idx="4">
                  <c:v>4.5224865660138942</c:v>
                </c:pt>
                <c:pt idx="5">
                  <c:v>4.5159191944674166</c:v>
                </c:pt>
                <c:pt idx="6">
                  <c:v>4.5523762129188086</c:v>
                </c:pt>
                <c:pt idx="7">
                  <c:v>4.0963185391557353</c:v>
                </c:pt>
                <c:pt idx="8">
                  <c:v>4.5279635341597508</c:v>
                </c:pt>
                <c:pt idx="9">
                  <c:v>4.631811914634774</c:v>
                </c:pt>
                <c:pt idx="10">
                  <c:v>4.6451040832001986</c:v>
                </c:pt>
                <c:pt idx="11">
                  <c:v>4.7349052562288403</c:v>
                </c:pt>
                <c:pt idx="12">
                  <c:v>4.5607986205372697</c:v>
                </c:pt>
                <c:pt idx="13">
                  <c:v>4.6893041172761709</c:v>
                </c:pt>
                <c:pt idx="14">
                  <c:v>4.6630528383081398</c:v>
                </c:pt>
                <c:pt idx="15">
                  <c:v>4.5000832543187919</c:v>
                </c:pt>
                <c:pt idx="16">
                  <c:v>4.7309080026599339</c:v>
                </c:pt>
                <c:pt idx="17">
                  <c:v>5.3953356625676054</c:v>
                </c:pt>
                <c:pt idx="18">
                  <c:v>5.5778163690782865</c:v>
                </c:pt>
                <c:pt idx="19">
                  <c:v>5.5902299184061484</c:v>
                </c:pt>
                <c:pt idx="20">
                  <c:v>5.0737991838717562</c:v>
                </c:pt>
                <c:pt idx="21">
                  <c:v>4.8072737628308762</c:v>
                </c:pt>
                <c:pt idx="22">
                  <c:v>4.4550551230182318</c:v>
                </c:pt>
                <c:pt idx="23">
                  <c:v>4.7308358754910032</c:v>
                </c:pt>
              </c:numCache>
            </c:numRef>
          </c:val>
          <c:smooth val="0"/>
        </c:ser>
        <c:dLbls>
          <c:showLegendKey val="0"/>
          <c:showVal val="0"/>
          <c:showCatName val="0"/>
          <c:showSerName val="0"/>
          <c:showPercent val="0"/>
          <c:showBubbleSize val="0"/>
        </c:dLbls>
        <c:marker val="1"/>
        <c:smooth val="0"/>
        <c:axId val="213470208"/>
        <c:axId val="213480192"/>
      </c:lineChart>
      <c:catAx>
        <c:axId val="213470208"/>
        <c:scaling>
          <c:orientation val="minMax"/>
        </c:scaling>
        <c:delete val="0"/>
        <c:axPos val="b"/>
        <c:majorTickMark val="out"/>
        <c:minorTickMark val="none"/>
        <c:tickLblPos val="nextTo"/>
        <c:crossAx val="213480192"/>
        <c:crosses val="autoZero"/>
        <c:auto val="1"/>
        <c:lblAlgn val="ctr"/>
        <c:lblOffset val="100"/>
        <c:noMultiLvlLbl val="0"/>
      </c:catAx>
      <c:valAx>
        <c:axId val="213480192"/>
        <c:scaling>
          <c:orientation val="minMax"/>
        </c:scaling>
        <c:delete val="0"/>
        <c:axPos val="l"/>
        <c:numFmt formatCode="General" sourceLinked="1"/>
        <c:majorTickMark val="out"/>
        <c:minorTickMark val="none"/>
        <c:tickLblPos val="nextTo"/>
        <c:crossAx val="213470208"/>
        <c:crosses val="autoZero"/>
        <c:crossBetween val="between"/>
      </c:valAx>
    </c:plotArea>
    <c:legend>
      <c:legendPos val="b"/>
      <c:overlay val="0"/>
    </c:legend>
    <c:plotVisOnly val="1"/>
    <c:dispBlanksAs val="gap"/>
    <c:showDLblsOverMax val="0"/>
  </c:chart>
  <c:spPr>
    <a:ln w="12700">
      <a:solidFill>
        <a:schemeClr val="tx1"/>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[_GRI Dashboard-2.xlsm]Spills - Internal Graph!PivotTable1</c:name>
    <c:fmtId val="0"/>
  </c:pivotSource>
  <c:chart>
    <c:title>
      <c:tx>
        <c:rich>
          <a:bodyPr/>
          <a:lstStyle/>
          <a:p>
            <a:pPr>
              <a:defRPr/>
            </a:pPr>
            <a:r>
              <a:rPr lang="en-US"/>
              <a:t>Number</a:t>
            </a:r>
            <a:r>
              <a:rPr lang="en-US" baseline="0"/>
              <a:t> of Biological/Chemical Spills</a:t>
            </a:r>
            <a:endParaRPr lang="en-US"/>
          </a:p>
        </c:rich>
      </c:tx>
      <c:layout/>
      <c:overlay val="0"/>
    </c:title>
    <c:autoTitleDeleted val="0"/>
    <c:pivotFmts>
      <c:pivotFmt>
        <c:idx val="0"/>
        <c:spPr>
          <a:solidFill>
            <a:schemeClr val="accent4">
              <a:lumMod val="75000"/>
            </a:schemeClr>
          </a:solidFill>
        </c:spPr>
        <c:marker>
          <c:symbol val="none"/>
        </c:marker>
      </c:pivotFmt>
      <c:pivotFmt>
        <c:idx val="1"/>
        <c:marker>
          <c:symbol val="none"/>
        </c:marker>
      </c:pivotFmt>
      <c:pivotFmt>
        <c:idx val="2"/>
        <c:spPr>
          <a:solidFill>
            <a:schemeClr val="accent4">
              <a:lumMod val="75000"/>
            </a:schemeClr>
          </a:solidFill>
          <a:ln w="12700">
            <a:solidFill>
              <a:schemeClr val="tx1"/>
            </a:solidFill>
          </a:ln>
        </c:spPr>
        <c:marker>
          <c:symbol val="none"/>
        </c:marker>
      </c:pivotFmt>
      <c:pivotFmt>
        <c:idx val="3"/>
        <c:spPr>
          <a:solidFill>
            <a:schemeClr val="accent4">
              <a:lumMod val="60000"/>
              <a:lumOff val="40000"/>
            </a:schemeClr>
          </a:solidFill>
          <a:ln w="12700">
            <a:solidFill>
              <a:schemeClr val="tx1"/>
            </a:solidFill>
          </a:ln>
        </c:spPr>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spPr>
          <a:ln w="15875">
            <a:solidFill>
              <a:schemeClr val="tx1">
                <a:lumMod val="95000"/>
                <a:lumOff val="5000"/>
              </a:schemeClr>
            </a:solidFill>
          </a:ln>
        </c:spPr>
        <c:marker>
          <c:symbol val="none"/>
        </c:marker>
      </c:pivotFmt>
    </c:pivotFmts>
    <c:plotArea>
      <c:layout/>
      <c:barChart>
        <c:barDir val="col"/>
        <c:grouping val="clustered"/>
        <c:varyColors val="0"/>
        <c:ser>
          <c:idx val="0"/>
          <c:order val="0"/>
          <c:tx>
            <c:strRef>
              <c:f>'Spills - Internal Graph'!$B$7:$B$8</c:f>
              <c:strCache>
                <c:ptCount val="1"/>
                <c:pt idx="0">
                  <c:v>Ontario</c:v>
                </c:pt>
              </c:strCache>
            </c:strRef>
          </c:tx>
          <c:spPr>
            <a:solidFill>
              <a:schemeClr val="accent4">
                <a:lumMod val="75000"/>
              </a:schemeClr>
            </a:solidFill>
            <a:ln w="12700">
              <a:solidFill>
                <a:schemeClr val="tx1"/>
              </a:solidFill>
            </a:ln>
          </c:spPr>
          <c:invertIfNegative val="0"/>
          <c:cat>
            <c:strRef>
              <c:f>'Spills - Internal Graph'!$A$9:$A$13</c:f>
              <c:strCache>
                <c:ptCount val="4"/>
                <c:pt idx="0">
                  <c:v>Nov</c:v>
                </c:pt>
                <c:pt idx="1">
                  <c:v>Dec</c:v>
                </c:pt>
                <c:pt idx="2">
                  <c:v>Jan</c:v>
                </c:pt>
                <c:pt idx="3">
                  <c:v>Feb</c:v>
                </c:pt>
              </c:strCache>
            </c:strRef>
          </c:cat>
          <c:val>
            <c:numRef>
              <c:f>'Spills - Internal Graph'!$B$9:$B$13</c:f>
              <c:numCache>
                <c:formatCode>General</c:formatCode>
                <c:ptCount val="4"/>
                <c:pt idx="0">
                  <c:v>1</c:v>
                </c:pt>
                <c:pt idx="1">
                  <c:v>3</c:v>
                </c:pt>
                <c:pt idx="2">
                  <c:v>4</c:v>
                </c:pt>
                <c:pt idx="3">
                  <c:v>4</c:v>
                </c:pt>
              </c:numCache>
            </c:numRef>
          </c:val>
        </c:ser>
        <c:ser>
          <c:idx val="1"/>
          <c:order val="1"/>
          <c:tx>
            <c:strRef>
              <c:f>'Spills - Internal Graph'!$C$7:$C$8</c:f>
              <c:strCache>
                <c:ptCount val="1"/>
                <c:pt idx="0">
                  <c:v>British Columbia</c:v>
                </c:pt>
              </c:strCache>
            </c:strRef>
          </c:tx>
          <c:spPr>
            <a:solidFill>
              <a:schemeClr val="accent4">
                <a:lumMod val="60000"/>
                <a:lumOff val="40000"/>
              </a:schemeClr>
            </a:solidFill>
            <a:ln w="12700">
              <a:solidFill>
                <a:schemeClr val="tx1"/>
              </a:solidFill>
            </a:ln>
          </c:spPr>
          <c:invertIfNegative val="0"/>
          <c:cat>
            <c:strRef>
              <c:f>'Spills - Internal Graph'!$A$9:$A$13</c:f>
              <c:strCache>
                <c:ptCount val="4"/>
                <c:pt idx="0">
                  <c:v>Nov</c:v>
                </c:pt>
                <c:pt idx="1">
                  <c:v>Dec</c:v>
                </c:pt>
                <c:pt idx="2">
                  <c:v>Jan</c:v>
                </c:pt>
                <c:pt idx="3">
                  <c:v>Feb</c:v>
                </c:pt>
              </c:strCache>
            </c:strRef>
          </c:cat>
          <c:val>
            <c:numRef>
              <c:f>'Spills - Internal Graph'!$C$9:$C$13</c:f>
              <c:numCache>
                <c:formatCode>General</c:formatCode>
                <c:ptCount val="4"/>
                <c:pt idx="0">
                  <c:v>4</c:v>
                </c:pt>
                <c:pt idx="2">
                  <c:v>1</c:v>
                </c:pt>
                <c:pt idx="3">
                  <c:v>1</c:v>
                </c:pt>
              </c:numCache>
            </c:numRef>
          </c:val>
        </c:ser>
        <c:dLbls>
          <c:showLegendKey val="0"/>
          <c:showVal val="0"/>
          <c:showCatName val="0"/>
          <c:showSerName val="0"/>
          <c:showPercent val="0"/>
          <c:showBubbleSize val="0"/>
        </c:dLbls>
        <c:gapWidth val="150"/>
        <c:axId val="216174592"/>
        <c:axId val="216176128"/>
      </c:barChart>
      <c:catAx>
        <c:axId val="216174592"/>
        <c:scaling>
          <c:orientation val="minMax"/>
        </c:scaling>
        <c:delete val="0"/>
        <c:axPos val="b"/>
        <c:majorTickMark val="out"/>
        <c:minorTickMark val="none"/>
        <c:tickLblPos val="nextTo"/>
        <c:crossAx val="216176128"/>
        <c:crosses val="autoZero"/>
        <c:auto val="1"/>
        <c:lblAlgn val="ctr"/>
        <c:lblOffset val="100"/>
        <c:noMultiLvlLbl val="0"/>
      </c:catAx>
      <c:valAx>
        <c:axId val="216176128"/>
        <c:scaling>
          <c:orientation val="minMax"/>
        </c:scaling>
        <c:delete val="0"/>
        <c:axPos val="l"/>
        <c:numFmt formatCode="General" sourceLinked="1"/>
        <c:majorTickMark val="out"/>
        <c:minorTickMark val="none"/>
        <c:tickLblPos val="nextTo"/>
        <c:crossAx val="216174592"/>
        <c:crosses val="autoZero"/>
        <c:crossBetween val="between"/>
        <c:majorUnit val="1"/>
      </c:valAx>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Scroll" dx="16" fmlaLink="'EHS National Report Chart'!$J$6" inc="6" max="6" page="0" val="6"/>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hyperlink" Target="#'Respirator Fit Testing'!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Dashboard!A1"/><Relationship Id="rId5" Type="http://schemas.openxmlformats.org/officeDocument/2006/relationships/hyperlink" Target="#Labour!A1"/><Relationship Id="rId4" Type="http://schemas.openxmlformats.org/officeDocument/2006/relationships/hyperlink" Target="#Emissions!A1"/></Relationships>
</file>

<file path=xl/drawings/_rels/drawing6.xml.rels><?xml version="1.0" encoding="UTF-8" standalone="yes"?>
<Relationships xmlns="http://schemas.openxmlformats.org/package/2006/relationships"><Relationship Id="rId8" Type="http://schemas.openxmlformats.org/officeDocument/2006/relationships/hyperlink" Target="#Dashboard!A1"/><Relationship Id="rId3" Type="http://schemas.openxmlformats.org/officeDocument/2006/relationships/image" Target="../media/image1.png"/><Relationship Id="rId7" Type="http://schemas.openxmlformats.org/officeDocument/2006/relationships/hyperlink" Target="#Labour!A1"/><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hyperlink" Target="#Emissions!A1"/><Relationship Id="rId5" Type="http://schemas.openxmlformats.org/officeDocument/2006/relationships/hyperlink" Target="#'Respirator Fit Testing'!A1"/><Relationship Id="rId10" Type="http://schemas.openxmlformats.org/officeDocument/2006/relationships/image" Target="../media/image4.png"/><Relationship Id="rId4" Type="http://schemas.openxmlformats.org/officeDocument/2006/relationships/image" Target="../media/image2.png"/><Relationship Id="rId9" Type="http://schemas.openxmlformats.org/officeDocument/2006/relationships/image" Target="../media/image3.png"/></Relationships>
</file>

<file path=xl/drawings/_rels/drawing7.xml.rels><?xml version="1.0" encoding="UTF-8" standalone="yes"?>
<Relationships xmlns="http://schemas.openxmlformats.org/package/2006/relationships"><Relationship Id="rId8" Type="http://schemas.openxmlformats.org/officeDocument/2006/relationships/hyperlink" Target="#'Respirator Fit Testing'!A1"/><Relationship Id="rId3" Type="http://schemas.openxmlformats.org/officeDocument/2006/relationships/chart" Target="../charts/chart12.xml"/><Relationship Id="rId7" Type="http://schemas.openxmlformats.org/officeDocument/2006/relationships/image" Target="../media/image2.png"/><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image" Target="../media/image1.png"/><Relationship Id="rId11" Type="http://schemas.openxmlformats.org/officeDocument/2006/relationships/hyperlink" Target="#Dashboard!A1"/><Relationship Id="rId5" Type="http://schemas.openxmlformats.org/officeDocument/2006/relationships/chart" Target="../charts/chart14.xml"/><Relationship Id="rId10" Type="http://schemas.openxmlformats.org/officeDocument/2006/relationships/hyperlink" Target="#Labour!A1"/><Relationship Id="rId4" Type="http://schemas.openxmlformats.org/officeDocument/2006/relationships/chart" Target="../charts/chart13.xml"/><Relationship Id="rId9" Type="http://schemas.openxmlformats.org/officeDocument/2006/relationships/hyperlink" Target="#Emissions!A1"/></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24</xdr:col>
      <xdr:colOff>266700</xdr:colOff>
      <xdr:row>60</xdr:row>
      <xdr:rowOff>171450</xdr:rowOff>
    </xdr:from>
    <xdr:to>
      <xdr:col>36</xdr:col>
      <xdr:colOff>161925</xdr:colOff>
      <xdr:row>87</xdr:row>
      <xdr:rowOff>28575</xdr:rowOff>
    </xdr:to>
    <xdr:graphicFrame macro="">
      <xdr:nvGraphicFramePr>
        <xdr:cNvPr id="1868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285750</xdr:colOff>
      <xdr:row>19</xdr:row>
      <xdr:rowOff>19050</xdr:rowOff>
    </xdr:from>
    <xdr:to>
      <xdr:col>10</xdr:col>
      <xdr:colOff>142875</xdr:colOff>
      <xdr:row>33</xdr:row>
      <xdr:rowOff>95250</xdr:rowOff>
    </xdr:to>
    <xdr:graphicFrame macro="">
      <xdr:nvGraphicFramePr>
        <xdr:cNvPr id="2248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257175</xdr:colOff>
      <xdr:row>1</xdr:row>
      <xdr:rowOff>152400</xdr:rowOff>
    </xdr:from>
    <xdr:to>
      <xdr:col>10</xdr:col>
      <xdr:colOff>114300</xdr:colOff>
      <xdr:row>16</xdr:row>
      <xdr:rowOff>38100</xdr:rowOff>
    </xdr:to>
    <xdr:graphicFrame macro="">
      <xdr:nvGraphicFramePr>
        <xdr:cNvPr id="22486"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304800</xdr:colOff>
      <xdr:row>36</xdr:row>
      <xdr:rowOff>76200</xdr:rowOff>
    </xdr:from>
    <xdr:to>
      <xdr:col>12</xdr:col>
      <xdr:colOff>66675</xdr:colOff>
      <xdr:row>54</xdr:row>
      <xdr:rowOff>161925</xdr:rowOff>
    </xdr:to>
    <xdr:graphicFrame macro="">
      <xdr:nvGraphicFramePr>
        <xdr:cNvPr id="2248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342900</xdr:colOff>
      <xdr:row>20</xdr:row>
      <xdr:rowOff>76200</xdr:rowOff>
    </xdr:from>
    <xdr:to>
      <xdr:col>17</xdr:col>
      <xdr:colOff>523875</xdr:colOff>
      <xdr:row>38</xdr:row>
      <xdr:rowOff>28575</xdr:rowOff>
    </xdr:to>
    <xdr:graphicFrame macro="">
      <xdr:nvGraphicFramePr>
        <xdr:cNvPr id="3958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323850</xdr:colOff>
      <xdr:row>57</xdr:row>
      <xdr:rowOff>57150</xdr:rowOff>
    </xdr:from>
    <xdr:to>
      <xdr:col>19</xdr:col>
      <xdr:colOff>9525</xdr:colOff>
      <xdr:row>75</xdr:row>
      <xdr:rowOff>152400</xdr:rowOff>
    </xdr:to>
    <xdr:graphicFrame macro="">
      <xdr:nvGraphicFramePr>
        <xdr:cNvPr id="3958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466725</xdr:colOff>
      <xdr:row>36</xdr:row>
      <xdr:rowOff>47625</xdr:rowOff>
    </xdr:from>
    <xdr:to>
      <xdr:col>26</xdr:col>
      <xdr:colOff>123825</xdr:colOff>
      <xdr:row>50</xdr:row>
      <xdr:rowOff>123825</xdr:rowOff>
    </xdr:to>
    <xdr:graphicFrame macro="">
      <xdr:nvGraphicFramePr>
        <xdr:cNvPr id="14265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11906</xdr:colOff>
      <xdr:row>0</xdr:row>
      <xdr:rowOff>19050</xdr:rowOff>
    </xdr:from>
    <xdr:to>
      <xdr:col>16</xdr:col>
      <xdr:colOff>419100</xdr:colOff>
      <xdr:row>5</xdr:row>
      <xdr:rowOff>133350</xdr:rowOff>
    </xdr:to>
    <xdr:grpSp>
      <xdr:nvGrpSpPr>
        <xdr:cNvPr id="2" name="Group 1"/>
        <xdr:cNvGrpSpPr/>
      </xdr:nvGrpSpPr>
      <xdr:grpSpPr>
        <a:xfrm>
          <a:off x="11906" y="19050"/>
          <a:ext cx="15228094" cy="1066800"/>
          <a:chOff x="11906" y="19050"/>
          <a:chExt cx="15228094" cy="1066800"/>
        </a:xfrm>
      </xdr:grpSpPr>
      <xdr:sp macro="" textlink="">
        <xdr:nvSpPr>
          <xdr:cNvPr id="4" name="Rounded Rectangle 3"/>
          <xdr:cNvSpPr/>
        </xdr:nvSpPr>
        <xdr:spPr>
          <a:xfrm>
            <a:off x="19050" y="19050"/>
            <a:ext cx="15220950" cy="1066800"/>
          </a:xfrm>
          <a:prstGeom prst="roundRect">
            <a:avLst/>
          </a:prstGeom>
          <a:solidFill>
            <a:sysClr val="window" lastClr="FFFFFF"/>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ndParaRPr>
          </a:p>
        </xdr:txBody>
      </xdr:sp>
      <xdr:sp macro="" textlink="">
        <xdr:nvSpPr>
          <xdr:cNvPr id="6" name="Round Same Side Corner Rectangle 5"/>
          <xdr:cNvSpPr/>
        </xdr:nvSpPr>
        <xdr:spPr>
          <a:xfrm rot="10800000">
            <a:off x="11906" y="685797"/>
            <a:ext cx="15225712" cy="390525"/>
          </a:xfrm>
          <a:prstGeom prst="round2SameRect">
            <a:avLst>
              <a:gd name="adj1" fmla="val 38636"/>
              <a:gd name="adj2" fmla="val 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4" descr="Hom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25450" y="123825"/>
            <a:ext cx="1628775" cy="525631"/>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7" descr="http://impactinvesting.marsdd.com/wp-content/uploads/2013/07/gri-logo-e1377095422760.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76201"/>
            <a:ext cx="1412783" cy="561974"/>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7" name="Rectangle 6">
            <a:hlinkClick xmlns:r="http://schemas.openxmlformats.org/officeDocument/2006/relationships" r:id="rId3"/>
          </xdr:cNvPr>
          <xdr:cNvSpPr/>
        </xdr:nvSpPr>
        <xdr:spPr>
          <a:xfrm>
            <a:off x="721386" y="769106"/>
            <a:ext cx="781076" cy="24661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Materials</a:t>
            </a:r>
          </a:p>
        </xdr:txBody>
      </xdr:sp>
      <xdr:sp macro="" textlink="">
        <xdr:nvSpPr>
          <xdr:cNvPr id="11" name="Rectangle 10">
            <a:hlinkClick xmlns:r="http://schemas.openxmlformats.org/officeDocument/2006/relationships" r:id="rId3"/>
          </xdr:cNvPr>
          <xdr:cNvSpPr/>
        </xdr:nvSpPr>
        <xdr:spPr>
          <a:xfrm>
            <a:off x="1521823" y="772511"/>
            <a:ext cx="554575"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Water</a:t>
            </a:r>
          </a:p>
        </xdr:txBody>
      </xdr:sp>
      <xdr:sp macro="" textlink="">
        <xdr:nvSpPr>
          <xdr:cNvPr id="22" name="Rectangle 21">
            <a:hlinkClick xmlns:r="http://schemas.openxmlformats.org/officeDocument/2006/relationships" r:id="rId3"/>
          </xdr:cNvPr>
          <xdr:cNvSpPr/>
        </xdr:nvSpPr>
        <xdr:spPr>
          <a:xfrm>
            <a:off x="2095759" y="772511"/>
            <a:ext cx="582010"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Energy</a:t>
            </a:r>
          </a:p>
        </xdr:txBody>
      </xdr:sp>
      <xdr:sp macro="" textlink="">
        <xdr:nvSpPr>
          <xdr:cNvPr id="23" name="Rectangle 22">
            <a:hlinkClick xmlns:r="http://schemas.openxmlformats.org/officeDocument/2006/relationships" r:id="rId4"/>
          </xdr:cNvPr>
          <xdr:cNvSpPr/>
        </xdr:nvSpPr>
        <xdr:spPr>
          <a:xfrm>
            <a:off x="2697130" y="772511"/>
            <a:ext cx="765319"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Emissions</a:t>
            </a:r>
          </a:p>
        </xdr:txBody>
      </xdr:sp>
      <xdr:sp macro="" textlink="">
        <xdr:nvSpPr>
          <xdr:cNvPr id="24" name="Rectangle 23">
            <a:hlinkClick xmlns:r="http://schemas.openxmlformats.org/officeDocument/2006/relationships" r:id="rId5"/>
          </xdr:cNvPr>
          <xdr:cNvSpPr/>
        </xdr:nvSpPr>
        <xdr:spPr>
          <a:xfrm>
            <a:off x="4366270" y="772511"/>
            <a:ext cx="618797"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Labour</a:t>
            </a:r>
          </a:p>
        </xdr:txBody>
      </xdr:sp>
      <xdr:sp macro="" textlink="">
        <xdr:nvSpPr>
          <xdr:cNvPr id="25" name="Rectangle 24">
            <a:hlinkClick xmlns:r="http://schemas.openxmlformats.org/officeDocument/2006/relationships" r:id="rId3"/>
          </xdr:cNvPr>
          <xdr:cNvSpPr/>
        </xdr:nvSpPr>
        <xdr:spPr>
          <a:xfrm>
            <a:off x="3481810" y="772511"/>
            <a:ext cx="867104"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Compliance</a:t>
            </a:r>
          </a:p>
        </xdr:txBody>
      </xdr:sp>
      <xdr:sp macro="" textlink="">
        <xdr:nvSpPr>
          <xdr:cNvPr id="26" name="Rectangle 25">
            <a:hlinkClick xmlns:r="http://schemas.openxmlformats.org/officeDocument/2006/relationships" r:id="rId3"/>
          </xdr:cNvPr>
          <xdr:cNvSpPr/>
        </xdr:nvSpPr>
        <xdr:spPr>
          <a:xfrm>
            <a:off x="5004426" y="772511"/>
            <a:ext cx="760686"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Economic</a:t>
            </a:r>
          </a:p>
        </xdr:txBody>
      </xdr:sp>
      <xdr:sp macro="" textlink="">
        <xdr:nvSpPr>
          <xdr:cNvPr id="27" name="Rectangle 26">
            <a:hlinkClick xmlns:r="http://schemas.openxmlformats.org/officeDocument/2006/relationships" r:id="rId6"/>
          </xdr:cNvPr>
          <xdr:cNvSpPr/>
        </xdr:nvSpPr>
        <xdr:spPr>
          <a:xfrm>
            <a:off x="149933" y="769106"/>
            <a:ext cx="552092" cy="24661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rgbClr val="C00000"/>
                </a:solidFill>
              </a:rPr>
              <a:t>Home</a:t>
            </a:r>
          </a:p>
        </xdr:txBody>
      </xdr:sp>
      <xdr:sp macro="" textlink="">
        <xdr:nvSpPr>
          <xdr:cNvPr id="16" name="Rectangle 15">
            <a:hlinkClick xmlns:r="http://schemas.openxmlformats.org/officeDocument/2006/relationships" r:id="rId3"/>
          </xdr:cNvPr>
          <xdr:cNvSpPr/>
        </xdr:nvSpPr>
        <xdr:spPr>
          <a:xfrm>
            <a:off x="5810248" y="772511"/>
            <a:ext cx="1219201"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Waste/Efffluents</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6</xdr:row>
      <xdr:rowOff>179294</xdr:rowOff>
    </xdr:from>
    <xdr:to>
      <xdr:col>14</xdr:col>
      <xdr:colOff>268942</xdr:colOff>
      <xdr:row>28</xdr:row>
      <xdr:rowOff>44824</xdr:rowOff>
    </xdr:to>
    <xdr:grpSp>
      <xdr:nvGrpSpPr>
        <xdr:cNvPr id="15" name="Group 14"/>
        <xdr:cNvGrpSpPr/>
      </xdr:nvGrpSpPr>
      <xdr:grpSpPr>
        <a:xfrm>
          <a:off x="0" y="1322294"/>
          <a:ext cx="8803342" cy="4056530"/>
          <a:chOff x="1008529" y="1288676"/>
          <a:chExt cx="8740589" cy="4056530"/>
        </a:xfrm>
      </xdr:grpSpPr>
      <xdr:sp macro="" textlink="">
        <xdr:nvSpPr>
          <xdr:cNvPr id="14" name="Rectangle 13"/>
          <xdr:cNvSpPr/>
        </xdr:nvSpPr>
        <xdr:spPr>
          <a:xfrm>
            <a:off x="1008529" y="1288676"/>
            <a:ext cx="8740589" cy="40565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4338" name="Scroll Bar 2" hidden="1">
                <a:extLst>
                  <a:ext uri="{63B3BB69-23CF-44E3-9099-C40C66FF867C}">
                    <a14:compatExt spid="_x0000_s14338"/>
                  </a:ext>
                </a:extLst>
              </xdr:cNvPr>
              <xdr:cNvSpPr/>
            </xdr:nvSpPr>
            <xdr:spPr>
              <a:xfrm>
                <a:off x="1148043" y="1390650"/>
                <a:ext cx="490817" cy="3781425"/>
              </a:xfrm>
              <a:prstGeom prst="rect">
                <a:avLst/>
              </a:prstGeom>
            </xdr:spPr>
          </xdr:sp>
        </mc:Choice>
        <mc:Fallback/>
      </mc:AlternateContent>
      <xdr:graphicFrame macro="">
        <xdr:nvGraphicFramePr>
          <xdr:cNvPr id="17" name="Chart 1"/>
          <xdr:cNvGraphicFramePr>
            <a:graphicFrameLocks/>
          </xdr:cNvGraphicFramePr>
        </xdr:nvGraphicFramePr>
        <xdr:xfrm>
          <a:off x="1906121" y="1395693"/>
          <a:ext cx="7742704" cy="3762375"/>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3</xdr:col>
      <xdr:colOff>212911</xdr:colOff>
      <xdr:row>32</xdr:row>
      <xdr:rowOff>67236</xdr:rowOff>
    </xdr:from>
    <xdr:to>
      <xdr:col>15</xdr:col>
      <xdr:colOff>358588</xdr:colOff>
      <xdr:row>51</xdr:row>
      <xdr:rowOff>67236</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221316</xdr:colOff>
      <xdr:row>28</xdr:row>
      <xdr:rowOff>109258</xdr:rowOff>
    </xdr:from>
    <xdr:to>
      <xdr:col>8</xdr:col>
      <xdr:colOff>78442</xdr:colOff>
      <xdr:row>32</xdr:row>
      <xdr:rowOff>1</xdr:rowOff>
    </xdr:to>
    <mc:AlternateContent xmlns:mc="http://schemas.openxmlformats.org/markup-compatibility/2006" xmlns:a14="http://schemas.microsoft.com/office/drawing/2010/main">
      <mc:Choice Requires="a14">
        <xdr:graphicFrame macro="">
          <xdr:nvGraphicFramePr>
            <xdr:cNvPr id="14357" name="Province 2"/>
            <xdr:cNvGraphicFramePr/>
          </xdr:nvGraphicFramePr>
          <xdr:xfrm>
            <a:off x="0" y="0"/>
            <a:ext cx="0" cy="0"/>
          </xdr:xfrm>
          <a:graphic>
            <a:graphicData uri="http://schemas.microsoft.com/office/drawing/2010/slicer">
              <sle:slicer xmlns:sle="http://schemas.microsoft.com/office/drawing/2010/slicer" name="Province 2"/>
            </a:graphicData>
          </a:graphic>
        </xdr:graphicFrame>
      </mc:Choice>
      <mc:Fallback xmlns="">
        <xdr:sp macro="" textlink="">
          <xdr:nvSpPr>
            <xdr:cNvPr id="0" name=""/>
            <xdr:cNvSpPr>
              <a:spLocks noTextEdit="1"/>
            </xdr:cNvSpPr>
          </xdr:nvSpPr>
          <xdr:spPr>
            <a:xfrm>
              <a:off x="2036669" y="5443258"/>
              <a:ext cx="2882714" cy="65274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243728</xdr:colOff>
      <xdr:row>28</xdr:row>
      <xdr:rowOff>126282</xdr:rowOff>
    </xdr:from>
    <xdr:to>
      <xdr:col>15</xdr:col>
      <xdr:colOff>358587</xdr:colOff>
      <xdr:row>32</xdr:row>
      <xdr:rowOff>647</xdr:rowOff>
    </xdr:to>
    <mc:AlternateContent xmlns:mc="http://schemas.openxmlformats.org/markup-compatibility/2006" xmlns:a14="http://schemas.microsoft.com/office/drawing/2010/main">
      <mc:Choice Requires="a14">
        <xdr:graphicFrame macro="">
          <xdr:nvGraphicFramePr>
            <xdr:cNvPr id="14358" name="Location"/>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5084669" y="5460282"/>
              <a:ext cx="4350683" cy="63636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67236</xdr:colOff>
      <xdr:row>33</xdr:row>
      <xdr:rowOff>14010</xdr:rowOff>
    </xdr:from>
    <xdr:to>
      <xdr:col>3</xdr:col>
      <xdr:colOff>80683</xdr:colOff>
      <xdr:row>53</xdr:row>
      <xdr:rowOff>78442</xdr:rowOff>
    </xdr:to>
    <mc:AlternateContent xmlns:mc="http://schemas.openxmlformats.org/markup-compatibility/2006" xmlns:a14="http://schemas.microsoft.com/office/drawing/2010/main">
      <mc:Choice Requires="a14">
        <xdr:graphicFrame macro="">
          <xdr:nvGraphicFramePr>
            <xdr:cNvPr id="14360"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7236" y="6300510"/>
              <a:ext cx="1828800" cy="3874432"/>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64434</xdr:colOff>
      <xdr:row>28</xdr:row>
      <xdr:rowOff>131669</xdr:rowOff>
    </xdr:from>
    <xdr:to>
      <xdr:col>3</xdr:col>
      <xdr:colOff>77881</xdr:colOff>
      <xdr:row>32</xdr:row>
      <xdr:rowOff>0</xdr:rowOff>
    </xdr:to>
    <mc:AlternateContent xmlns:mc="http://schemas.openxmlformats.org/markup-compatibility/2006" xmlns:a14="http://schemas.microsoft.com/office/drawing/2010/main">
      <mc:Choice Requires="a14">
        <xdr:graphicFrame macro="">
          <xdr:nvGraphicFramePr>
            <xdr:cNvPr id="14361"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4434" y="5465669"/>
              <a:ext cx="1828800" cy="630331"/>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473449</xdr:colOff>
      <xdr:row>28</xdr:row>
      <xdr:rowOff>170890</xdr:rowOff>
    </xdr:from>
    <xdr:to>
      <xdr:col>18</xdr:col>
      <xdr:colOff>486896</xdr:colOff>
      <xdr:row>42</xdr:row>
      <xdr:rowOff>28015</xdr:rowOff>
    </xdr:to>
    <mc:AlternateContent xmlns:mc="http://schemas.openxmlformats.org/markup-compatibility/2006" xmlns:a14="http://schemas.microsoft.com/office/drawing/2010/main">
      <mc:Choice Requires="a14">
        <xdr:graphicFrame macro="">
          <xdr:nvGraphicFramePr>
            <xdr:cNvPr id="14362"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50214" y="550489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25</xdr:col>
      <xdr:colOff>100153</xdr:colOff>
      <xdr:row>5</xdr:row>
      <xdr:rowOff>114300</xdr:rowOff>
    </xdr:to>
    <xdr:grpSp>
      <xdr:nvGrpSpPr>
        <xdr:cNvPr id="24" name="Group 23"/>
        <xdr:cNvGrpSpPr/>
      </xdr:nvGrpSpPr>
      <xdr:grpSpPr>
        <a:xfrm>
          <a:off x="0" y="0"/>
          <a:ext cx="15340153" cy="1066800"/>
          <a:chOff x="11906" y="19050"/>
          <a:chExt cx="15228094" cy="1066800"/>
        </a:xfrm>
      </xdr:grpSpPr>
      <xdr:sp macro="" textlink="">
        <xdr:nvSpPr>
          <xdr:cNvPr id="25" name="Rounded Rectangle 24"/>
          <xdr:cNvSpPr/>
        </xdr:nvSpPr>
        <xdr:spPr>
          <a:xfrm>
            <a:off x="19050" y="19050"/>
            <a:ext cx="15220950" cy="1066800"/>
          </a:xfrm>
          <a:prstGeom prst="roundRect">
            <a:avLst/>
          </a:prstGeom>
          <a:solidFill>
            <a:sysClr val="window" lastClr="FFFFFF"/>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ndParaRPr>
          </a:p>
        </xdr:txBody>
      </xdr:sp>
      <xdr:sp macro="" textlink="">
        <xdr:nvSpPr>
          <xdr:cNvPr id="26" name="Round Same Side Corner Rectangle 25"/>
          <xdr:cNvSpPr/>
        </xdr:nvSpPr>
        <xdr:spPr>
          <a:xfrm rot="10800000">
            <a:off x="11906" y="685797"/>
            <a:ext cx="15225712" cy="390525"/>
          </a:xfrm>
          <a:prstGeom prst="round2SameRect">
            <a:avLst>
              <a:gd name="adj1" fmla="val 38636"/>
              <a:gd name="adj2" fmla="val 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7" name="Picture 26" descr="Home"/>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125450" y="123825"/>
            <a:ext cx="1628775" cy="525631"/>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8" name="Picture 27" descr="http://impactinvesting.marsdd.com/wp-content/uploads/2013/07/gri-logo-e1377095422760.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14300" y="76201"/>
            <a:ext cx="1412783" cy="561974"/>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9" name="Rectangle 28">
            <a:hlinkClick xmlns:r="http://schemas.openxmlformats.org/officeDocument/2006/relationships" r:id="rId5"/>
          </xdr:cNvPr>
          <xdr:cNvSpPr/>
        </xdr:nvSpPr>
        <xdr:spPr>
          <a:xfrm>
            <a:off x="721386" y="769106"/>
            <a:ext cx="781076" cy="24661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Materials</a:t>
            </a:r>
          </a:p>
        </xdr:txBody>
      </xdr:sp>
      <xdr:sp macro="" textlink="">
        <xdr:nvSpPr>
          <xdr:cNvPr id="30" name="Rectangle 29">
            <a:hlinkClick xmlns:r="http://schemas.openxmlformats.org/officeDocument/2006/relationships" r:id="rId5"/>
          </xdr:cNvPr>
          <xdr:cNvSpPr/>
        </xdr:nvSpPr>
        <xdr:spPr>
          <a:xfrm>
            <a:off x="1521823" y="772511"/>
            <a:ext cx="554575"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Water</a:t>
            </a:r>
          </a:p>
        </xdr:txBody>
      </xdr:sp>
      <xdr:sp macro="" textlink="">
        <xdr:nvSpPr>
          <xdr:cNvPr id="31" name="Rectangle 30">
            <a:hlinkClick xmlns:r="http://schemas.openxmlformats.org/officeDocument/2006/relationships" r:id="rId5"/>
          </xdr:cNvPr>
          <xdr:cNvSpPr/>
        </xdr:nvSpPr>
        <xdr:spPr>
          <a:xfrm>
            <a:off x="2095759" y="772511"/>
            <a:ext cx="582010"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Energy</a:t>
            </a:r>
          </a:p>
        </xdr:txBody>
      </xdr:sp>
      <xdr:sp macro="" textlink="">
        <xdr:nvSpPr>
          <xdr:cNvPr id="32" name="Rectangle 31">
            <a:hlinkClick xmlns:r="http://schemas.openxmlformats.org/officeDocument/2006/relationships" r:id="rId6"/>
          </xdr:cNvPr>
          <xdr:cNvSpPr/>
        </xdr:nvSpPr>
        <xdr:spPr>
          <a:xfrm>
            <a:off x="2697130" y="772511"/>
            <a:ext cx="765319"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rgbClr val="C00000"/>
                </a:solidFill>
              </a:rPr>
              <a:t>Emissions</a:t>
            </a:r>
          </a:p>
        </xdr:txBody>
      </xdr:sp>
      <xdr:sp macro="" textlink="">
        <xdr:nvSpPr>
          <xdr:cNvPr id="33" name="Rectangle 32">
            <a:hlinkClick xmlns:r="http://schemas.openxmlformats.org/officeDocument/2006/relationships" r:id="rId7"/>
          </xdr:cNvPr>
          <xdr:cNvSpPr/>
        </xdr:nvSpPr>
        <xdr:spPr>
          <a:xfrm>
            <a:off x="4366270" y="772511"/>
            <a:ext cx="618797"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Labour</a:t>
            </a:r>
          </a:p>
        </xdr:txBody>
      </xdr:sp>
      <xdr:sp macro="" textlink="">
        <xdr:nvSpPr>
          <xdr:cNvPr id="34" name="Rectangle 33">
            <a:hlinkClick xmlns:r="http://schemas.openxmlformats.org/officeDocument/2006/relationships" r:id="rId5"/>
          </xdr:cNvPr>
          <xdr:cNvSpPr/>
        </xdr:nvSpPr>
        <xdr:spPr>
          <a:xfrm>
            <a:off x="3481810" y="772511"/>
            <a:ext cx="867104"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Compliance</a:t>
            </a:r>
          </a:p>
        </xdr:txBody>
      </xdr:sp>
      <xdr:sp macro="" textlink="">
        <xdr:nvSpPr>
          <xdr:cNvPr id="35" name="Rectangle 34">
            <a:hlinkClick xmlns:r="http://schemas.openxmlformats.org/officeDocument/2006/relationships" r:id="rId5"/>
          </xdr:cNvPr>
          <xdr:cNvSpPr/>
        </xdr:nvSpPr>
        <xdr:spPr>
          <a:xfrm>
            <a:off x="5004426" y="772511"/>
            <a:ext cx="760686"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Economic</a:t>
            </a:r>
          </a:p>
        </xdr:txBody>
      </xdr:sp>
      <xdr:sp macro="" textlink="">
        <xdr:nvSpPr>
          <xdr:cNvPr id="36" name="Rectangle 35">
            <a:hlinkClick xmlns:r="http://schemas.openxmlformats.org/officeDocument/2006/relationships" r:id="rId8"/>
          </xdr:cNvPr>
          <xdr:cNvSpPr/>
        </xdr:nvSpPr>
        <xdr:spPr>
          <a:xfrm>
            <a:off x="149933" y="769106"/>
            <a:ext cx="552092" cy="24661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Home</a:t>
            </a:r>
          </a:p>
        </xdr:txBody>
      </xdr:sp>
      <xdr:sp macro="" textlink="">
        <xdr:nvSpPr>
          <xdr:cNvPr id="37" name="Rectangle 36">
            <a:hlinkClick xmlns:r="http://schemas.openxmlformats.org/officeDocument/2006/relationships" r:id="rId5"/>
          </xdr:cNvPr>
          <xdr:cNvSpPr/>
        </xdr:nvSpPr>
        <xdr:spPr>
          <a:xfrm>
            <a:off x="5810248" y="772511"/>
            <a:ext cx="1219201"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Waste/Efffluents</a:t>
            </a:r>
          </a:p>
        </xdr:txBody>
      </xdr:sp>
    </xdr:grpSp>
    <xdr:clientData/>
  </xdr:twoCellAnchor>
  <xdr:twoCellAnchor>
    <xdr:from>
      <xdr:col>0</xdr:col>
      <xdr:colOff>38100</xdr:colOff>
      <xdr:row>53</xdr:row>
      <xdr:rowOff>152399</xdr:rowOff>
    </xdr:from>
    <xdr:to>
      <xdr:col>13</xdr:col>
      <xdr:colOff>190401</xdr:colOff>
      <xdr:row>74</xdr:row>
      <xdr:rowOff>134481</xdr:rowOff>
    </xdr:to>
    <xdr:pic>
      <xdr:nvPicPr>
        <xdr:cNvPr id="40" name="Picture 39" descr="figure_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100" y="10248899"/>
          <a:ext cx="8077101" cy="39825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38100</xdr:colOff>
      <xdr:row>74</xdr:row>
      <xdr:rowOff>9526</xdr:rowOff>
    </xdr:from>
    <xdr:to>
      <xdr:col>18</xdr:col>
      <xdr:colOff>253395</xdr:colOff>
      <xdr:row>96</xdr:row>
      <xdr:rowOff>47626</xdr:rowOff>
    </xdr:to>
    <xdr:pic>
      <xdr:nvPicPr>
        <xdr:cNvPr id="41" name="Picture 40" descr="figure_1"/>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8100" y="14106526"/>
          <a:ext cx="11188095"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xdr:colOff>
      <xdr:row>7</xdr:row>
      <xdr:rowOff>76200</xdr:rowOff>
    </xdr:from>
    <xdr:to>
      <xdr:col>3</xdr:col>
      <xdr:colOff>104774</xdr:colOff>
      <xdr:row>40</xdr:row>
      <xdr:rowOff>114300</xdr:rowOff>
    </xdr:to>
    <xdr:sp macro="" textlink="">
      <xdr:nvSpPr>
        <xdr:cNvPr id="16" name="Rectangle 15"/>
        <xdr:cNvSpPr/>
      </xdr:nvSpPr>
      <xdr:spPr>
        <a:xfrm>
          <a:off x="28575" y="1409700"/>
          <a:ext cx="1904999" cy="6324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57149</xdr:colOff>
      <xdr:row>33</xdr:row>
      <xdr:rowOff>123825</xdr:rowOff>
    </xdr:from>
    <xdr:to>
      <xdr:col>3</xdr:col>
      <xdr:colOff>47624</xdr:colOff>
      <xdr:row>40</xdr:row>
      <xdr:rowOff>19051</xdr:rowOff>
    </xdr:to>
    <mc:AlternateContent xmlns:mc="http://schemas.openxmlformats.org/markup-compatibility/2006" xmlns:a14="http://schemas.microsoft.com/office/drawing/2010/main">
      <mc:Choice Requires="a14">
        <xdr:graphicFrame macro="">
          <xdr:nvGraphicFramePr>
            <xdr:cNvPr id="26" name="Province 1"/>
            <xdr:cNvGraphicFramePr/>
          </xdr:nvGraphicFramePr>
          <xdr:xfrm>
            <a:off x="0" y="0"/>
            <a:ext cx="0" cy="0"/>
          </xdr:xfrm>
          <a:graphic>
            <a:graphicData uri="http://schemas.microsoft.com/office/drawing/2010/slicer">
              <sle:slicer xmlns:sle="http://schemas.microsoft.com/office/drawing/2010/slicer" name="Province 1"/>
            </a:graphicData>
          </a:graphic>
        </xdr:graphicFrame>
      </mc:Choice>
      <mc:Fallback xmlns="">
        <xdr:sp macro="" textlink="">
          <xdr:nvSpPr>
            <xdr:cNvPr id="0" name=""/>
            <xdr:cNvSpPr>
              <a:spLocks noTextEdit="1"/>
            </xdr:cNvSpPr>
          </xdr:nvSpPr>
          <xdr:spPr>
            <a:xfrm>
              <a:off x="57149" y="6410325"/>
              <a:ext cx="1805828" cy="1228726"/>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137160</xdr:colOff>
      <xdr:row>6</xdr:row>
      <xdr:rowOff>161924</xdr:rowOff>
    </xdr:from>
    <xdr:to>
      <xdr:col>17</xdr:col>
      <xdr:colOff>118110</xdr:colOff>
      <xdr:row>13</xdr:row>
      <xdr:rowOff>95250</xdr:rowOff>
    </xdr:to>
    <mc:AlternateContent xmlns:mc="http://schemas.openxmlformats.org/markup-compatibility/2006" xmlns:a14="http://schemas.microsoft.com/office/drawing/2010/main">
      <mc:Choice Requires="a14">
        <xdr:graphicFrame macro="">
          <xdr:nvGraphicFramePr>
            <xdr:cNvPr id="27" name="Incident Classification"/>
            <xdr:cNvGraphicFramePr/>
          </xdr:nvGraphicFramePr>
          <xdr:xfrm>
            <a:off x="0" y="0"/>
            <a:ext cx="0" cy="0"/>
          </xdr:xfrm>
          <a:graphic>
            <a:graphicData uri="http://schemas.microsoft.com/office/drawing/2010/slicer">
              <sle:slicer xmlns:sle="http://schemas.microsoft.com/office/drawing/2010/slicer" name="Incident Classification"/>
            </a:graphicData>
          </a:graphic>
        </xdr:graphicFrame>
      </mc:Choice>
      <mc:Fallback xmlns="">
        <xdr:sp macro="" textlink="">
          <xdr:nvSpPr>
            <xdr:cNvPr id="0" name=""/>
            <xdr:cNvSpPr>
              <a:spLocks noTextEdit="1"/>
            </xdr:cNvSpPr>
          </xdr:nvSpPr>
          <xdr:spPr>
            <a:xfrm>
              <a:off x="1952513" y="1304924"/>
              <a:ext cx="8452597" cy="1266826"/>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38100</xdr:colOff>
      <xdr:row>14</xdr:row>
      <xdr:rowOff>104774</xdr:rowOff>
    </xdr:from>
    <xdr:to>
      <xdr:col>3</xdr:col>
      <xdr:colOff>38100</xdr:colOff>
      <xdr:row>33</xdr:row>
      <xdr:rowOff>95249</xdr:rowOff>
    </xdr:to>
    <mc:AlternateContent xmlns:mc="http://schemas.openxmlformats.org/markup-compatibility/2006" xmlns:a14="http://schemas.microsoft.com/office/drawing/2010/main">
      <mc:Choice Requires="a14">
        <xdr:graphicFrame macro="">
          <xdr:nvGraphicFramePr>
            <xdr:cNvPr id="28"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38100" y="2771774"/>
              <a:ext cx="1836964" cy="3609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47625</xdr:colOff>
      <xdr:row>8</xdr:row>
      <xdr:rowOff>0</xdr:rowOff>
    </xdr:from>
    <xdr:to>
      <xdr:col>3</xdr:col>
      <xdr:colOff>47625</xdr:colOff>
      <xdr:row>14</xdr:row>
      <xdr:rowOff>19050</xdr:rowOff>
    </xdr:to>
    <mc:AlternateContent xmlns:mc="http://schemas.openxmlformats.org/markup-compatibility/2006" xmlns:a14="http://schemas.microsoft.com/office/drawing/2010/main">
      <mc:Choice Requires="a14">
        <xdr:graphicFrame macro="">
          <xdr:nvGraphicFramePr>
            <xdr:cNvPr id="29"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47625" y="1524000"/>
              <a:ext cx="1815353"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17</xdr:col>
      <xdr:colOff>542925</xdr:colOff>
      <xdr:row>8</xdr:row>
      <xdr:rowOff>123824</xdr:rowOff>
    </xdr:from>
    <xdr:to>
      <xdr:col>26</xdr:col>
      <xdr:colOff>247650</xdr:colOff>
      <xdr:row>26</xdr:row>
      <xdr:rowOff>76199</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238125</xdr:colOff>
      <xdr:row>27</xdr:row>
      <xdr:rowOff>152400</xdr:rowOff>
    </xdr:from>
    <xdr:to>
      <xdr:col>10</xdr:col>
      <xdr:colOff>485775</xdr:colOff>
      <xdr:row>42</xdr:row>
      <xdr:rowOff>133350</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66676</xdr:colOff>
      <xdr:row>27</xdr:row>
      <xdr:rowOff>161926</xdr:rowOff>
    </xdr:from>
    <xdr:to>
      <xdr:col>18</xdr:col>
      <xdr:colOff>466726</xdr:colOff>
      <xdr:row>42</xdr:row>
      <xdr:rowOff>142876</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581026</xdr:colOff>
      <xdr:row>27</xdr:row>
      <xdr:rowOff>152400</xdr:rowOff>
    </xdr:from>
    <xdr:to>
      <xdr:col>26</xdr:col>
      <xdr:colOff>219076</xdr:colOff>
      <xdr:row>42</xdr:row>
      <xdr:rowOff>142875</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228600</xdr:colOff>
      <xdr:row>8</xdr:row>
      <xdr:rowOff>138111</xdr:rowOff>
    </xdr:from>
    <xdr:to>
      <xdr:col>17</xdr:col>
      <xdr:colOff>438150</xdr:colOff>
      <xdr:row>26</xdr:row>
      <xdr:rowOff>95250</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0</xdr:rowOff>
    </xdr:from>
    <xdr:to>
      <xdr:col>24</xdr:col>
      <xdr:colOff>532380</xdr:colOff>
      <xdr:row>5</xdr:row>
      <xdr:rowOff>114300</xdr:rowOff>
    </xdr:to>
    <xdr:grpSp>
      <xdr:nvGrpSpPr>
        <xdr:cNvPr id="47" name="Group 46"/>
        <xdr:cNvGrpSpPr/>
      </xdr:nvGrpSpPr>
      <xdr:grpSpPr>
        <a:xfrm>
          <a:off x="0" y="0"/>
          <a:ext cx="15162780" cy="1066800"/>
          <a:chOff x="11906" y="19050"/>
          <a:chExt cx="15228094" cy="1066800"/>
        </a:xfrm>
      </xdr:grpSpPr>
      <xdr:sp macro="" textlink="">
        <xdr:nvSpPr>
          <xdr:cNvPr id="48" name="Rounded Rectangle 47"/>
          <xdr:cNvSpPr/>
        </xdr:nvSpPr>
        <xdr:spPr>
          <a:xfrm>
            <a:off x="19050" y="19050"/>
            <a:ext cx="15220950" cy="1066800"/>
          </a:xfrm>
          <a:prstGeom prst="roundRect">
            <a:avLst/>
          </a:prstGeom>
          <a:solidFill>
            <a:sysClr val="window" lastClr="FFFFFF"/>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ndParaRPr>
          </a:p>
        </xdr:txBody>
      </xdr:sp>
      <xdr:sp macro="" textlink="">
        <xdr:nvSpPr>
          <xdr:cNvPr id="49" name="Round Same Side Corner Rectangle 48"/>
          <xdr:cNvSpPr/>
        </xdr:nvSpPr>
        <xdr:spPr>
          <a:xfrm rot="10800000">
            <a:off x="11906" y="685797"/>
            <a:ext cx="15225712" cy="390525"/>
          </a:xfrm>
          <a:prstGeom prst="round2SameRect">
            <a:avLst>
              <a:gd name="adj1" fmla="val 38636"/>
              <a:gd name="adj2" fmla="val 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0" name="Picture 49" descr="Home"/>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125450" y="123825"/>
            <a:ext cx="1628775" cy="525631"/>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1" name="Picture 50" descr="http://impactinvesting.marsdd.com/wp-content/uploads/2013/07/gri-logo-e1377095422760.png"/>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14300" y="76201"/>
            <a:ext cx="1412783" cy="561974"/>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2" name="Rectangle 51">
            <a:hlinkClick xmlns:r="http://schemas.openxmlformats.org/officeDocument/2006/relationships" r:id="rId8"/>
          </xdr:cNvPr>
          <xdr:cNvSpPr/>
        </xdr:nvSpPr>
        <xdr:spPr>
          <a:xfrm>
            <a:off x="721386" y="769106"/>
            <a:ext cx="781076" cy="24661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Materials</a:t>
            </a:r>
          </a:p>
        </xdr:txBody>
      </xdr:sp>
      <xdr:sp macro="" textlink="">
        <xdr:nvSpPr>
          <xdr:cNvPr id="53" name="Rectangle 52">
            <a:hlinkClick xmlns:r="http://schemas.openxmlformats.org/officeDocument/2006/relationships" r:id="rId8"/>
          </xdr:cNvPr>
          <xdr:cNvSpPr/>
        </xdr:nvSpPr>
        <xdr:spPr>
          <a:xfrm>
            <a:off x="1521823" y="772511"/>
            <a:ext cx="554575"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Water</a:t>
            </a:r>
          </a:p>
        </xdr:txBody>
      </xdr:sp>
      <xdr:sp macro="" textlink="">
        <xdr:nvSpPr>
          <xdr:cNvPr id="54" name="Rectangle 53">
            <a:hlinkClick xmlns:r="http://schemas.openxmlformats.org/officeDocument/2006/relationships" r:id="rId8"/>
          </xdr:cNvPr>
          <xdr:cNvSpPr/>
        </xdr:nvSpPr>
        <xdr:spPr>
          <a:xfrm>
            <a:off x="2095759" y="772511"/>
            <a:ext cx="582010"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Energy</a:t>
            </a:r>
          </a:p>
        </xdr:txBody>
      </xdr:sp>
      <xdr:sp macro="" textlink="">
        <xdr:nvSpPr>
          <xdr:cNvPr id="55" name="Rectangle 54">
            <a:hlinkClick xmlns:r="http://schemas.openxmlformats.org/officeDocument/2006/relationships" r:id="rId9"/>
          </xdr:cNvPr>
          <xdr:cNvSpPr/>
        </xdr:nvSpPr>
        <xdr:spPr>
          <a:xfrm>
            <a:off x="2697130" y="772511"/>
            <a:ext cx="765319"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Emissions</a:t>
            </a:r>
          </a:p>
        </xdr:txBody>
      </xdr:sp>
      <xdr:sp macro="" textlink="">
        <xdr:nvSpPr>
          <xdr:cNvPr id="56" name="Rectangle 55">
            <a:hlinkClick xmlns:r="http://schemas.openxmlformats.org/officeDocument/2006/relationships" r:id="rId10"/>
          </xdr:cNvPr>
          <xdr:cNvSpPr/>
        </xdr:nvSpPr>
        <xdr:spPr>
          <a:xfrm>
            <a:off x="4366270" y="772511"/>
            <a:ext cx="618797"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rgbClr val="C00000"/>
                </a:solidFill>
              </a:rPr>
              <a:t>Labour</a:t>
            </a:r>
          </a:p>
        </xdr:txBody>
      </xdr:sp>
      <xdr:sp macro="" textlink="">
        <xdr:nvSpPr>
          <xdr:cNvPr id="57" name="Rectangle 56">
            <a:hlinkClick xmlns:r="http://schemas.openxmlformats.org/officeDocument/2006/relationships" r:id="rId8"/>
          </xdr:cNvPr>
          <xdr:cNvSpPr/>
        </xdr:nvSpPr>
        <xdr:spPr>
          <a:xfrm>
            <a:off x="3481810" y="772511"/>
            <a:ext cx="867104"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Compliance</a:t>
            </a:r>
          </a:p>
        </xdr:txBody>
      </xdr:sp>
      <xdr:sp macro="" textlink="">
        <xdr:nvSpPr>
          <xdr:cNvPr id="58" name="Rectangle 57">
            <a:hlinkClick xmlns:r="http://schemas.openxmlformats.org/officeDocument/2006/relationships" r:id="rId8"/>
          </xdr:cNvPr>
          <xdr:cNvSpPr/>
        </xdr:nvSpPr>
        <xdr:spPr>
          <a:xfrm>
            <a:off x="5004426" y="772511"/>
            <a:ext cx="760686"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Economic</a:t>
            </a:r>
          </a:p>
        </xdr:txBody>
      </xdr:sp>
      <xdr:sp macro="" textlink="">
        <xdr:nvSpPr>
          <xdr:cNvPr id="59" name="Rectangle 58">
            <a:hlinkClick xmlns:r="http://schemas.openxmlformats.org/officeDocument/2006/relationships" r:id="rId11"/>
          </xdr:cNvPr>
          <xdr:cNvSpPr/>
        </xdr:nvSpPr>
        <xdr:spPr>
          <a:xfrm>
            <a:off x="149933" y="769106"/>
            <a:ext cx="552092" cy="24661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Home</a:t>
            </a:r>
          </a:p>
        </xdr:txBody>
      </xdr:sp>
      <xdr:sp macro="" textlink="">
        <xdr:nvSpPr>
          <xdr:cNvPr id="60" name="Rectangle 59">
            <a:hlinkClick xmlns:r="http://schemas.openxmlformats.org/officeDocument/2006/relationships" r:id="rId8"/>
          </xdr:cNvPr>
          <xdr:cNvSpPr/>
        </xdr:nvSpPr>
        <xdr:spPr>
          <a:xfrm>
            <a:off x="5810248" y="772511"/>
            <a:ext cx="1219201" cy="23980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Waste/Efffluents</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285750</xdr:colOff>
      <xdr:row>8</xdr:row>
      <xdr:rowOff>9525</xdr:rowOff>
    </xdr:from>
    <xdr:to>
      <xdr:col>7</xdr:col>
      <xdr:colOff>285750</xdr:colOff>
      <xdr:row>13</xdr:row>
      <xdr:rowOff>0</xdr:rowOff>
    </xdr:to>
    <mc:AlternateContent xmlns:mc="http://schemas.openxmlformats.org/markup-compatibility/2006" xmlns:a14="http://schemas.microsoft.com/office/drawing/2010/main">
      <mc:Choice Requires="a14">
        <xdr:graphicFrame macro="">
          <xdr:nvGraphicFramePr>
            <xdr:cNvPr id="3" name="Month 2"/>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4153728" y="1533525"/>
              <a:ext cx="1838739" cy="942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400049</xdr:colOff>
      <xdr:row>4</xdr:row>
      <xdr:rowOff>66676</xdr:rowOff>
    </xdr:from>
    <xdr:to>
      <xdr:col>11</xdr:col>
      <xdr:colOff>447674</xdr:colOff>
      <xdr:row>6</xdr:row>
      <xdr:rowOff>104775</xdr:rowOff>
    </xdr:to>
    <mc:AlternateContent xmlns:mc="http://schemas.openxmlformats.org/markup-compatibility/2006" xmlns:a14="http://schemas.microsoft.com/office/drawing/2010/main">
      <mc:Choice Requires="a14">
        <xdr:graphicFrame macro="">
          <xdr:nvGraphicFramePr>
            <xdr:cNvPr id="4" name="Province"/>
            <xdr:cNvGraphicFramePr/>
          </xdr:nvGraphicFramePr>
          <xdr:xfrm>
            <a:off x="0" y="0"/>
            <a:ext cx="0" cy="0"/>
          </xdr:xfrm>
          <a:graphic>
            <a:graphicData uri="http://schemas.microsoft.com/office/drawing/2010/slicer">
              <sle:slicer xmlns:sle="http://schemas.microsoft.com/office/drawing/2010/slicer" name="Province"/>
            </a:graphicData>
          </a:graphic>
        </xdr:graphicFrame>
      </mc:Choice>
      <mc:Fallback xmlns="">
        <xdr:sp macro="" textlink="">
          <xdr:nvSpPr>
            <xdr:cNvPr id="0" name=""/>
            <xdr:cNvSpPr>
              <a:spLocks noTextEdit="1"/>
            </xdr:cNvSpPr>
          </xdr:nvSpPr>
          <xdr:spPr>
            <a:xfrm>
              <a:off x="6106766" y="828676"/>
              <a:ext cx="2499278" cy="41909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285750</xdr:colOff>
      <xdr:row>13</xdr:row>
      <xdr:rowOff>114301</xdr:rowOff>
    </xdr:from>
    <xdr:to>
      <xdr:col>7</xdr:col>
      <xdr:colOff>285750</xdr:colOff>
      <xdr:row>19</xdr:row>
      <xdr:rowOff>133351</xdr:rowOff>
    </xdr:to>
    <mc:AlternateContent xmlns:mc="http://schemas.openxmlformats.org/markup-compatibility/2006" xmlns:a14="http://schemas.microsoft.com/office/drawing/2010/main">
      <mc:Choice Requires="a14">
        <xdr:graphicFrame macro="">
          <xdr:nvGraphicFramePr>
            <xdr:cNvPr id="5" name="City"/>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4153728" y="2590801"/>
              <a:ext cx="1838739"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504825</xdr:colOff>
      <xdr:row>15</xdr:row>
      <xdr:rowOff>114300</xdr:rowOff>
    </xdr:from>
    <xdr:to>
      <xdr:col>18</xdr:col>
      <xdr:colOff>504826</xdr:colOff>
      <xdr:row>24</xdr:row>
      <xdr:rowOff>104776</xdr:rowOff>
    </xdr:to>
    <mc:AlternateContent xmlns:mc="http://schemas.openxmlformats.org/markup-compatibility/2006" xmlns:a14="http://schemas.microsoft.com/office/drawing/2010/main">
      <mc:Choice Requires="a14">
        <xdr:graphicFrame macro="">
          <xdr:nvGraphicFramePr>
            <xdr:cNvPr id="6" name="Root Cause"/>
            <xdr:cNvGraphicFramePr/>
          </xdr:nvGraphicFramePr>
          <xdr:xfrm>
            <a:off x="0" y="0"/>
            <a:ext cx="0" cy="0"/>
          </xdr:xfrm>
          <a:graphic>
            <a:graphicData uri="http://schemas.microsoft.com/office/drawing/2010/slicer">
              <sle:slicer xmlns:sle="http://schemas.microsoft.com/office/drawing/2010/slicer" name="Root Cause"/>
            </a:graphicData>
          </a:graphic>
        </xdr:graphicFrame>
      </mc:Choice>
      <mc:Fallback xmlns="">
        <xdr:sp macro="" textlink="">
          <xdr:nvSpPr>
            <xdr:cNvPr id="0" name=""/>
            <xdr:cNvSpPr>
              <a:spLocks noTextEdit="1"/>
            </xdr:cNvSpPr>
          </xdr:nvSpPr>
          <xdr:spPr>
            <a:xfrm>
              <a:off x="11114847" y="2971800"/>
              <a:ext cx="1838740" cy="1704976"/>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504825</xdr:colOff>
      <xdr:row>6</xdr:row>
      <xdr:rowOff>0</xdr:rowOff>
    </xdr:from>
    <xdr:to>
      <xdr:col>18</xdr:col>
      <xdr:colOff>504826</xdr:colOff>
      <xdr:row>15</xdr:row>
      <xdr:rowOff>9525</xdr:rowOff>
    </xdr:to>
    <mc:AlternateContent xmlns:mc="http://schemas.openxmlformats.org/markup-compatibility/2006" xmlns:a14="http://schemas.microsoft.com/office/drawing/2010/main">
      <mc:Choice Requires="a14">
        <xdr:graphicFrame macro="">
          <xdr:nvGraphicFramePr>
            <xdr:cNvPr id="7" name="Corrective Actions"/>
            <xdr:cNvGraphicFramePr/>
          </xdr:nvGraphicFramePr>
          <xdr:xfrm>
            <a:off x="0" y="0"/>
            <a:ext cx="0" cy="0"/>
          </xdr:xfrm>
          <a:graphic>
            <a:graphicData uri="http://schemas.microsoft.com/office/drawing/2010/slicer">
              <sle:slicer xmlns:sle="http://schemas.microsoft.com/office/drawing/2010/slicer" name="Corrective Actions"/>
            </a:graphicData>
          </a:graphic>
        </xdr:graphicFrame>
      </mc:Choice>
      <mc:Fallback xmlns="">
        <xdr:sp macro="" textlink="">
          <xdr:nvSpPr>
            <xdr:cNvPr id="0" name=""/>
            <xdr:cNvSpPr>
              <a:spLocks noTextEdit="1"/>
            </xdr:cNvSpPr>
          </xdr:nvSpPr>
          <xdr:spPr>
            <a:xfrm>
              <a:off x="11114847" y="1143000"/>
              <a:ext cx="1838740" cy="17240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285750</xdr:colOff>
      <xdr:row>4</xdr:row>
      <xdr:rowOff>66674</xdr:rowOff>
    </xdr:from>
    <xdr:to>
      <xdr:col>7</xdr:col>
      <xdr:colOff>285750</xdr:colOff>
      <xdr:row>7</xdr:row>
      <xdr:rowOff>123825</xdr:rowOff>
    </xdr:to>
    <mc:AlternateContent xmlns:mc="http://schemas.openxmlformats.org/markup-compatibility/2006" xmlns:a14="http://schemas.microsoft.com/office/drawing/2010/main">
      <mc:Choice Requires="a14">
        <xdr:graphicFrame macro="">
          <xdr:nvGraphicFramePr>
            <xdr:cNvPr id="8" name="Year 2"/>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4153728" y="828674"/>
              <a:ext cx="1838739" cy="628651"/>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7</xdr:col>
      <xdr:colOff>481012</xdr:colOff>
      <xdr:row>6</xdr:row>
      <xdr:rowOff>14287</xdr:rowOff>
    </xdr:from>
    <xdr:to>
      <xdr:col>15</xdr:col>
      <xdr:colOff>338137</xdr:colOff>
      <xdr:row>20</xdr:row>
      <xdr:rowOff>90487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285750</xdr:colOff>
      <xdr:row>2</xdr:row>
      <xdr:rowOff>38099</xdr:rowOff>
    </xdr:from>
    <xdr:to>
      <xdr:col>6</xdr:col>
      <xdr:colOff>485775</xdr:colOff>
      <xdr:row>3</xdr:row>
      <xdr:rowOff>104774</xdr:rowOff>
    </xdr:to>
    <xdr:sp macro="[0]!TextBox8_Click" textlink="">
      <xdr:nvSpPr>
        <xdr:cNvPr id="9" name="TextBox 8"/>
        <xdr:cNvSpPr txBox="1"/>
      </xdr:nvSpPr>
      <xdr:spPr>
        <a:xfrm>
          <a:off x="15401925" y="419099"/>
          <a:ext cx="1419225" cy="257175"/>
        </a:xfrm>
        <a:prstGeom prst="rect">
          <a:avLst/>
        </a:prstGeom>
        <a:solidFill>
          <a:schemeClr val="accent3">
            <a:lumMod val="75000"/>
          </a:schemeClr>
        </a:solidFill>
        <a:ln w="9525" cmpd="sng">
          <a:solidFill>
            <a:schemeClr val="lt1">
              <a:shade val="50000"/>
            </a:schemeClr>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Refresh</a:t>
          </a:r>
          <a:r>
            <a:rPr lang="en-US" sz="1100" b="1" baseline="0">
              <a:solidFill>
                <a:schemeClr val="bg1">
                  <a:lumMod val="95000"/>
                </a:schemeClr>
              </a:solidFill>
            </a:rPr>
            <a:t> </a:t>
          </a:r>
        </a:p>
      </xdr:txBody>
    </xdr:sp>
    <xdr:clientData/>
  </xdr:twoCellAnchor>
  <xdr:twoCellAnchor>
    <xdr:from>
      <xdr:col>7</xdr:col>
      <xdr:colOff>104775</xdr:colOff>
      <xdr:row>2</xdr:row>
      <xdr:rowOff>38100</xdr:rowOff>
    </xdr:from>
    <xdr:to>
      <xdr:col>9</xdr:col>
      <xdr:colOff>209550</xdr:colOff>
      <xdr:row>3</xdr:row>
      <xdr:rowOff>104775</xdr:rowOff>
    </xdr:to>
    <xdr:sp macro="[0]!TextBox9_Click" textlink="">
      <xdr:nvSpPr>
        <xdr:cNvPr id="14" name="TextBox 13"/>
        <xdr:cNvSpPr txBox="1"/>
      </xdr:nvSpPr>
      <xdr:spPr>
        <a:xfrm>
          <a:off x="17049750" y="419100"/>
          <a:ext cx="1323975" cy="257175"/>
        </a:xfrm>
        <a:prstGeom prst="rect">
          <a:avLst/>
        </a:prstGeom>
        <a:solidFill>
          <a:schemeClr val="accent3">
            <a:lumMod val="75000"/>
          </a:schemeClr>
        </a:solidFill>
        <a:ln w="9525" cmpd="sng">
          <a:solidFill>
            <a:sysClr val="window" lastClr="FFFFFF">
              <a:shade val="50000"/>
            </a:sysClr>
          </a:solidFill>
        </a:ln>
        <a:effectLst>
          <a:outerShdw blurRad="50800" dist="38100" dir="5400000" algn="t" rotWithShape="0">
            <a:prstClr val="black">
              <a:alpha val="40000"/>
            </a:prstClr>
          </a:out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smtClean="0">
              <a:ln>
                <a:noFill/>
              </a:ln>
              <a:solidFill>
                <a:sysClr val="window" lastClr="FFFFFF">
                  <a:lumMod val="95000"/>
                </a:sysClr>
              </a:solidFill>
              <a:effectLst/>
              <a:uLnTx/>
              <a:uFillTx/>
              <a:latin typeface="Calibri"/>
            </a:rPr>
            <a:t>Clear Filters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247649</xdr:colOff>
      <xdr:row>0</xdr:row>
      <xdr:rowOff>154081</xdr:rowOff>
    </xdr:from>
    <xdr:to>
      <xdr:col>21</xdr:col>
      <xdr:colOff>485774</xdr:colOff>
      <xdr:row>3</xdr:row>
      <xdr:rowOff>657225</xdr:rowOff>
    </xdr:to>
    <xdr:grpSp>
      <xdr:nvGrpSpPr>
        <xdr:cNvPr id="8" name="Group 7"/>
        <xdr:cNvGrpSpPr/>
      </xdr:nvGrpSpPr>
      <xdr:grpSpPr>
        <a:xfrm>
          <a:off x="18804590" y="154081"/>
          <a:ext cx="5381625" cy="2105585"/>
          <a:chOff x="15468600" y="3352800"/>
          <a:chExt cx="5181600" cy="1838325"/>
        </a:xfrm>
      </xdr:grpSpPr>
      <xdr:sp macro="" textlink="">
        <xdr:nvSpPr>
          <xdr:cNvPr id="2" name="Rounded Rectangle 1"/>
          <xdr:cNvSpPr/>
        </xdr:nvSpPr>
        <xdr:spPr>
          <a:xfrm>
            <a:off x="15468600" y="3352800"/>
            <a:ext cx="5181600" cy="1838325"/>
          </a:xfrm>
          <a:prstGeom prst="roundRect">
            <a:avLst/>
          </a:prstGeom>
          <a:gradFill>
            <a:gsLst>
              <a:gs pos="0">
                <a:srgbClr val="5682D2"/>
              </a:gs>
              <a:gs pos="100000">
                <a:schemeClr val="accent1">
                  <a:tint val="44500"/>
                  <a:satMod val="160000"/>
                </a:schemeClr>
              </a:gs>
              <a:gs pos="100000">
                <a:srgbClr val="83AEE1"/>
              </a:gs>
            </a:gsLst>
            <a:lin ang="5400000" scaled="0"/>
          </a:gradFill>
          <a:ln cmpd="sng">
            <a:solidFill>
              <a:schemeClr val="bg1">
                <a:lumMod val="50000"/>
              </a:schemeClr>
            </a:solidFill>
          </a:ln>
          <a:effectLst>
            <a:glow rad="63500">
              <a:srgbClr val="A3A3A3"/>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P$3">
        <xdr:nvSpPr>
          <xdr:cNvPr id="4" name="TextBox 3"/>
          <xdr:cNvSpPr txBox="1"/>
        </xdr:nvSpPr>
        <xdr:spPr>
          <a:xfrm>
            <a:off x="15735300" y="3867150"/>
            <a:ext cx="3143249"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EE20C5C0-2E02-4EA7-9A59-C64650CFEC14}" type="TxLink">
              <a:rPr lang="en-US" sz="6600" b="0" i="0" u="none" strike="noStrike">
                <a:solidFill>
                  <a:srgbClr val="292929"/>
                </a:solidFill>
                <a:latin typeface="Agency FB" panose="020B0503020202020204" pitchFamily="34" charset="0"/>
                <a:ea typeface="+mn-ea"/>
                <a:cs typeface="+mn-cs"/>
              </a:rPr>
              <a:pPr marL="0" indent="0"/>
              <a:t>January</a:t>
            </a:fld>
            <a:endParaRPr lang="en-US" sz="6600">
              <a:solidFill>
                <a:srgbClr val="292929"/>
              </a:solidFill>
              <a:latin typeface="Agency FB" panose="020B0503020202020204" pitchFamily="34" charset="0"/>
              <a:ea typeface="+mn-ea"/>
              <a:cs typeface="+mn-cs"/>
            </a:endParaRPr>
          </a:p>
        </xdr:txBody>
      </xdr:sp>
      <xdr:sp macro="" textlink="$Q$3">
        <xdr:nvSpPr>
          <xdr:cNvPr id="5" name="TextBox 4"/>
          <xdr:cNvSpPr txBox="1"/>
        </xdr:nvSpPr>
        <xdr:spPr>
          <a:xfrm>
            <a:off x="18659475" y="3552825"/>
            <a:ext cx="1514475" cy="1247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ED60BAB-60C3-4BC3-AF7A-EA14BD635914}" type="TxLink">
              <a:rPr lang="en-US" sz="9600" b="1" i="0" u="none" strike="noStrike">
                <a:solidFill>
                  <a:schemeClr val="bg1"/>
                </a:solidFill>
                <a:latin typeface="Agency FB" panose="020B0503020202020204" pitchFamily="34" charset="0"/>
                <a:ea typeface="+mn-ea"/>
                <a:cs typeface="+mn-cs"/>
              </a:rPr>
              <a:pPr marL="0" indent="0" algn="ctr"/>
              <a:t>0</a:t>
            </a:fld>
            <a:endParaRPr lang="en-US" sz="9600" b="1">
              <a:solidFill>
                <a:schemeClr val="bg1"/>
              </a:solidFill>
              <a:latin typeface="Agency FB" panose="020B0503020202020204" pitchFamily="34" charset="0"/>
              <a:ea typeface="+mn-ea"/>
              <a:cs typeface="+mn-cs"/>
            </a:endParaRPr>
          </a:p>
        </xdr:txBody>
      </xdr:sp>
      <xdr:sp macro="" textlink="">
        <xdr:nvSpPr>
          <xdr:cNvPr id="6" name="TextBox 5"/>
          <xdr:cNvSpPr txBox="1"/>
        </xdr:nvSpPr>
        <xdr:spPr>
          <a:xfrm>
            <a:off x="15744824" y="3390900"/>
            <a:ext cx="227647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3200">
                <a:solidFill>
                  <a:schemeClr val="dk1"/>
                </a:solidFill>
                <a:latin typeface="+mn-lt"/>
                <a:ea typeface="+mn-ea"/>
                <a:cs typeface="+mn-cs"/>
              </a:rPr>
              <a:t>MONTH OF</a:t>
            </a:r>
          </a:p>
        </xdr:txBody>
      </xdr:sp>
      <xdr:sp macro="" textlink="">
        <xdr:nvSpPr>
          <xdr:cNvPr id="7" name="TextBox 6"/>
          <xdr:cNvSpPr txBox="1"/>
        </xdr:nvSpPr>
        <xdr:spPr>
          <a:xfrm>
            <a:off x="18459450" y="4762500"/>
            <a:ext cx="19240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Agency FB" panose="020B0503020202020204" pitchFamily="34" charset="0"/>
              </a:rPr>
              <a:t>UNPLANNED</a:t>
            </a:r>
            <a:r>
              <a:rPr lang="en-US" sz="1600" baseline="0">
                <a:latin typeface="Agency FB" panose="020B0503020202020204" pitchFamily="34" charset="0"/>
              </a:rPr>
              <a:t> DISCHARGE(S)</a:t>
            </a:r>
            <a:endParaRPr lang="en-US" sz="1600">
              <a:latin typeface="Agency FB" panose="020B0503020202020204" pitchFamily="34" charset="0"/>
            </a:endParaRPr>
          </a:p>
        </xdr:txBody>
      </xdr:sp>
    </xdr:grpSp>
    <xdr:clientData/>
  </xdr:twoCellAnchor>
  <xdr:twoCellAnchor editAs="oneCell">
    <xdr:from>
      <xdr:col>13</xdr:col>
      <xdr:colOff>430519</xdr:colOff>
      <xdr:row>11</xdr:row>
      <xdr:rowOff>246528</xdr:rowOff>
    </xdr:from>
    <xdr:to>
      <xdr:col>22</xdr:col>
      <xdr:colOff>544299</xdr:colOff>
      <xdr:row>15</xdr:row>
      <xdr:rowOff>851646</xdr:rowOff>
    </xdr:to>
    <xdr:pic>
      <xdr:nvPicPr>
        <xdr:cNvPr id="3" name="Picture 2"/>
        <xdr:cNvPicPr>
          <a:picLocks noChangeAspect="1"/>
        </xdr:cNvPicPr>
      </xdr:nvPicPr>
      <xdr:blipFill>
        <a:blip xmlns:r="http://schemas.openxmlformats.org/officeDocument/2006/relationships" r:embed="rId1"/>
        <a:stretch>
          <a:fillRect/>
        </a:stretch>
      </xdr:blipFill>
      <xdr:spPr>
        <a:xfrm>
          <a:off x="18987460" y="6824381"/>
          <a:ext cx="5862398" cy="445994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dxeroom/Users/jotang/AppData/LocalLow/eRoom/eRoom%20Client/V7/EditingFiles/Cummulative%20BioWaste%20Data%20(Test%20Volumes%20per%201000%20specimens)~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dxeroom/Users/lpronovo/Desktop/Month%20End/Metrics%20FY12/Copy%20of%20Incident%20and%20Days%20Lost%20Re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Hun/AppData/Local/Temp/Incident%20and%20Days%20Lost%20Report_BC_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L"/>
      <sheetName val="Metrics Janet"/>
      <sheetName val="BC Test Volumes"/>
      <sheetName val="Quarterly Metrics"/>
      <sheetName val="Target"/>
      <sheetName val="Monthly Biowaste table"/>
      <sheetName val="Rolling Biohazardous waste"/>
      <sheetName val="Biohazardus Data - Labs"/>
      <sheetName val="BioWaste Amounts"/>
      <sheetName val="Test Volumes"/>
      <sheetName val="Test Volume"/>
      <sheetName val="IRL Graph"/>
      <sheetName val="BRL_Graph"/>
      <sheetName val="VRL"/>
      <sheetName val="London"/>
      <sheetName val="St.Catharines"/>
      <sheetName val="Belleville"/>
      <sheetName val="Kingston"/>
      <sheetName val="Ottawa"/>
      <sheetName val="Sudbury"/>
      <sheetName val="TBay"/>
      <sheetName val="Montreal"/>
      <sheetName val="Kitchener Vs Ottawa"/>
      <sheetName val="Financials"/>
      <sheetName val="VRL Stericycle"/>
      <sheetName val="Cost Benefit Analysis"/>
      <sheetName val="BRL"/>
      <sheetName val="2007 BRL Volumes"/>
      <sheetName val="Montreal_old"/>
      <sheetName val="Sheet1"/>
    </sheetNames>
    <sheetDataSet>
      <sheetData sheetId="0"/>
      <sheetData sheetId="1"/>
      <sheetData sheetId="2"/>
      <sheetData sheetId="3"/>
      <sheetData sheetId="4"/>
      <sheetData sheetId="5"/>
      <sheetData sheetId="6"/>
      <sheetData sheetId="7">
        <row r="2">
          <cell r="A2">
            <v>12</v>
          </cell>
        </row>
        <row r="21">
          <cell r="C21" t="str">
            <v>Month</v>
          </cell>
        </row>
        <row r="22">
          <cell r="C22" t="str">
            <v>Month</v>
          </cell>
        </row>
        <row r="23">
          <cell r="C23">
            <v>38808</v>
          </cell>
        </row>
        <row r="24">
          <cell r="C24">
            <v>38838</v>
          </cell>
        </row>
        <row r="25">
          <cell r="C25">
            <v>38869</v>
          </cell>
        </row>
        <row r="26">
          <cell r="C26">
            <v>38899</v>
          </cell>
        </row>
        <row r="27">
          <cell r="C27">
            <v>38930</v>
          </cell>
        </row>
        <row r="28">
          <cell r="C28">
            <v>38961</v>
          </cell>
        </row>
        <row r="29">
          <cell r="C29">
            <v>38991</v>
          </cell>
        </row>
        <row r="30">
          <cell r="C30">
            <v>39022</v>
          </cell>
        </row>
        <row r="31">
          <cell r="C31">
            <v>39052</v>
          </cell>
        </row>
        <row r="32">
          <cell r="C32">
            <v>39083</v>
          </cell>
        </row>
        <row r="33">
          <cell r="C33">
            <v>39114</v>
          </cell>
        </row>
        <row r="34">
          <cell r="C34">
            <v>39142</v>
          </cell>
        </row>
        <row r="35">
          <cell r="C35">
            <v>39173</v>
          </cell>
        </row>
        <row r="36">
          <cell r="C36">
            <v>39203</v>
          </cell>
        </row>
        <row r="37">
          <cell r="C37">
            <v>39234</v>
          </cell>
        </row>
        <row r="38">
          <cell r="C38">
            <v>39264</v>
          </cell>
        </row>
        <row r="39">
          <cell r="C39">
            <v>39295</v>
          </cell>
        </row>
        <row r="40">
          <cell r="C40">
            <v>39326</v>
          </cell>
        </row>
        <row r="41">
          <cell r="C41">
            <v>39356</v>
          </cell>
        </row>
        <row r="42">
          <cell r="C42">
            <v>39387</v>
          </cell>
        </row>
        <row r="43">
          <cell r="C43">
            <v>39417</v>
          </cell>
        </row>
        <row r="44">
          <cell r="C44">
            <v>39448</v>
          </cell>
        </row>
        <row r="45">
          <cell r="C45">
            <v>39479</v>
          </cell>
        </row>
        <row r="46">
          <cell r="C46">
            <v>39508</v>
          </cell>
        </row>
        <row r="47">
          <cell r="C47">
            <v>39539</v>
          </cell>
        </row>
        <row r="48">
          <cell r="C48">
            <v>39569</v>
          </cell>
        </row>
        <row r="49">
          <cell r="C49">
            <v>39600</v>
          </cell>
        </row>
        <row r="50">
          <cell r="C50">
            <v>39630</v>
          </cell>
        </row>
        <row r="51">
          <cell r="C51">
            <v>39661</v>
          </cell>
        </row>
        <row r="52">
          <cell r="C52">
            <v>39692</v>
          </cell>
        </row>
        <row r="53">
          <cell r="C53">
            <v>39722</v>
          </cell>
        </row>
        <row r="54">
          <cell r="C54">
            <v>39753</v>
          </cell>
        </row>
        <row r="55">
          <cell r="C55">
            <v>39783</v>
          </cell>
        </row>
        <row r="56">
          <cell r="C56">
            <v>39814</v>
          </cell>
        </row>
        <row r="57">
          <cell r="C57">
            <v>39845</v>
          </cell>
        </row>
        <row r="58">
          <cell r="C58">
            <v>39873</v>
          </cell>
        </row>
        <row r="59">
          <cell r="C59">
            <v>39904</v>
          </cell>
        </row>
        <row r="60">
          <cell r="C60">
            <v>39934</v>
          </cell>
        </row>
        <row r="61">
          <cell r="C61">
            <v>39965</v>
          </cell>
        </row>
        <row r="62">
          <cell r="C62">
            <v>39995</v>
          </cell>
        </row>
        <row r="63">
          <cell r="C63">
            <v>40026</v>
          </cell>
        </row>
        <row r="64">
          <cell r="C64">
            <v>40057</v>
          </cell>
        </row>
        <row r="65">
          <cell r="C65">
            <v>40087</v>
          </cell>
        </row>
        <row r="66">
          <cell r="C66">
            <v>40118</v>
          </cell>
        </row>
        <row r="67">
          <cell r="C67">
            <v>40148</v>
          </cell>
        </row>
        <row r="68">
          <cell r="C68">
            <v>40179</v>
          </cell>
        </row>
        <row r="69">
          <cell r="C69">
            <v>40210</v>
          </cell>
        </row>
        <row r="70">
          <cell r="C70">
            <v>40238</v>
          </cell>
        </row>
        <row r="71">
          <cell r="C71">
            <v>40269</v>
          </cell>
        </row>
        <row r="72">
          <cell r="C72">
            <v>40299</v>
          </cell>
        </row>
        <row r="73">
          <cell r="C73">
            <v>40330</v>
          </cell>
        </row>
        <row r="74">
          <cell r="C74">
            <v>40360</v>
          </cell>
        </row>
        <row r="75">
          <cell r="C75">
            <v>40391</v>
          </cell>
        </row>
        <row r="76">
          <cell r="C76">
            <v>40422</v>
          </cell>
        </row>
        <row r="77">
          <cell r="C77">
            <v>40452</v>
          </cell>
        </row>
        <row r="78">
          <cell r="C78">
            <v>40483</v>
          </cell>
        </row>
        <row r="79">
          <cell r="C79">
            <v>40513</v>
          </cell>
        </row>
        <row r="80">
          <cell r="C80">
            <v>40544</v>
          </cell>
        </row>
        <row r="81">
          <cell r="C81">
            <v>40575</v>
          </cell>
        </row>
        <row r="82">
          <cell r="C82">
            <v>40603</v>
          </cell>
        </row>
        <row r="83">
          <cell r="C83">
            <v>40634</v>
          </cell>
        </row>
        <row r="84">
          <cell r="C84">
            <v>40664</v>
          </cell>
        </row>
        <row r="85">
          <cell r="C85">
            <v>40695</v>
          </cell>
        </row>
        <row r="86">
          <cell r="C86">
            <v>40725</v>
          </cell>
        </row>
        <row r="87">
          <cell r="C87">
            <v>40756</v>
          </cell>
        </row>
        <row r="88">
          <cell r="C88">
            <v>40787</v>
          </cell>
        </row>
        <row r="89">
          <cell r="C89">
            <v>40817</v>
          </cell>
        </row>
        <row r="90">
          <cell r="C90">
            <v>40848</v>
          </cell>
        </row>
        <row r="91">
          <cell r="C91">
            <v>40878</v>
          </cell>
        </row>
        <row r="92">
          <cell r="C92">
            <v>40920</v>
          </cell>
        </row>
        <row r="93">
          <cell r="C93">
            <v>40951</v>
          </cell>
        </row>
        <row r="94">
          <cell r="C94">
            <v>40969</v>
          </cell>
        </row>
        <row r="95">
          <cell r="C95">
            <v>41000</v>
          </cell>
        </row>
        <row r="96">
          <cell r="C96">
            <v>41030</v>
          </cell>
        </row>
        <row r="97">
          <cell r="C97">
            <v>41061</v>
          </cell>
        </row>
        <row r="98">
          <cell r="C98">
            <v>41091</v>
          </cell>
        </row>
        <row r="99">
          <cell r="C99">
            <v>41122</v>
          </cell>
        </row>
        <row r="100">
          <cell r="C100">
            <v>41153</v>
          </cell>
        </row>
        <row r="101">
          <cell r="C101">
            <v>41183</v>
          </cell>
        </row>
        <row r="102">
          <cell r="C102">
            <v>41214</v>
          </cell>
        </row>
        <row r="103">
          <cell r="C103">
            <v>41244</v>
          </cell>
        </row>
        <row r="104">
          <cell r="C104">
            <v>41275</v>
          </cell>
        </row>
        <row r="105">
          <cell r="C105">
            <v>41306</v>
          </cell>
        </row>
        <row r="106">
          <cell r="C106">
            <v>41334</v>
          </cell>
        </row>
        <row r="107">
          <cell r="C107">
            <v>41365</v>
          </cell>
        </row>
        <row r="108">
          <cell r="C108">
            <v>41395</v>
          </cell>
        </row>
        <row r="109">
          <cell r="C109">
            <v>41426</v>
          </cell>
        </row>
        <row r="110">
          <cell r="C110">
            <v>41456</v>
          </cell>
        </row>
      </sheetData>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sheetData sheetId="24"/>
      <sheetData sheetId="25"/>
      <sheetData sheetId="26"/>
      <sheetData sheetId="27"/>
      <sheetData sheetId="28"/>
      <sheetData sheetId="2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lling IR (Nat)"/>
      <sheetName val="Rolling Days Lost"/>
      <sheetName val="Rolling Days Lost_LTI"/>
      <sheetName val="Rolling IR"/>
      <sheetName val="Monthly Incident Types"/>
      <sheetName val="Monthly Incident Types Data"/>
      <sheetName val="Top Incident Types Data"/>
      <sheetName val="Data"/>
      <sheetName val="Targe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7">
          <cell r="CJ7">
            <v>185943.2</v>
          </cell>
        </row>
        <row r="15">
          <cell r="CJ15">
            <v>68447.590000000011</v>
          </cell>
        </row>
        <row r="23">
          <cell r="CJ23">
            <v>4309.5</v>
          </cell>
        </row>
      </sheetData>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1"/>
      <sheetName val="Chart2"/>
      <sheetName val="Monthly Incident Types Data"/>
      <sheetName val="Top Incident Types Data"/>
      <sheetName val="Data"/>
      <sheetName val="IR by Job Function"/>
      <sheetName val="Targets"/>
      <sheetName val="AKA Findings Chart"/>
      <sheetName val="Top 4 Recordable Incidents"/>
      <sheetName val="KPI Rolling IR 2 yrs pd"/>
      <sheetName val="KPI Rolling IR Lab"/>
      <sheetName val="KPI Rolling IR PSC"/>
      <sheetName val="KPI Hours Lost &amp; Modified Hours"/>
      <sheetName val="Sheet1"/>
      <sheetName val="AKA Findings"/>
      <sheetName val="KPI Rolling IR"/>
      <sheetName val="KPI Rolling IR per LTI"/>
    </sheetNames>
    <sheetDataSet>
      <sheetData sheetId="0" refreshError="1"/>
      <sheetData sheetId="1" refreshError="1"/>
      <sheetData sheetId="2"/>
      <sheetData sheetId="3"/>
      <sheetData sheetId="4">
        <row r="66">
          <cell r="DT66">
            <v>125995.29</v>
          </cell>
          <cell r="DU66">
            <v>91469.01999999999</v>
          </cell>
          <cell r="DV66">
            <v>94518.15</v>
          </cell>
          <cell r="DW66">
            <v>92018.83</v>
          </cell>
          <cell r="DX66">
            <v>93256.94</v>
          </cell>
          <cell r="DY66">
            <v>91908.54</v>
          </cell>
          <cell r="DZ66">
            <v>89787.260000000009</v>
          </cell>
          <cell r="EA66">
            <v>136762.82</v>
          </cell>
          <cell r="EB66">
            <v>92754.689999999988</v>
          </cell>
          <cell r="EC66">
            <v>94504.969999999987</v>
          </cell>
          <cell r="ED66">
            <v>95538.349999999991</v>
          </cell>
          <cell r="EE66">
            <v>99960.21</v>
          </cell>
          <cell r="EF66">
            <v>139071.39000000001</v>
          </cell>
          <cell r="EG66">
            <v>101035.99</v>
          </cell>
          <cell r="EH66">
            <v>103593.84</v>
          </cell>
          <cell r="EI66">
            <v>98233.039999999979</v>
          </cell>
          <cell r="EJ66">
            <v>106947.36</v>
          </cell>
          <cell r="EK66">
            <v>102634.6</v>
          </cell>
          <cell r="EL66">
            <v>194237.03</v>
          </cell>
          <cell r="EM66">
            <v>116900.5</v>
          </cell>
          <cell r="EN66">
            <v>160266.66</v>
          </cell>
          <cell r="EO66">
            <v>162272.4</v>
          </cell>
        </row>
        <row r="67">
          <cell r="DT67">
            <v>90643.15</v>
          </cell>
          <cell r="DU67">
            <v>68001</v>
          </cell>
          <cell r="DV67">
            <v>76001</v>
          </cell>
          <cell r="DW67">
            <v>73195</v>
          </cell>
          <cell r="DX67">
            <v>74634</v>
          </cell>
          <cell r="DY67">
            <v>73312.869999999966</v>
          </cell>
          <cell r="DZ67">
            <v>75858</v>
          </cell>
          <cell r="EA67">
            <v>70215</v>
          </cell>
          <cell r="EB67">
            <v>70987</v>
          </cell>
          <cell r="EC67">
            <v>76488</v>
          </cell>
          <cell r="ED67">
            <v>66512</v>
          </cell>
          <cell r="EE67">
            <v>66108</v>
          </cell>
          <cell r="EF67">
            <v>65646</v>
          </cell>
          <cell r="EG67">
            <v>59754</v>
          </cell>
          <cell r="EH67">
            <v>68300</v>
          </cell>
          <cell r="EI67">
            <v>59483</v>
          </cell>
          <cell r="EJ67">
            <v>63411</v>
          </cell>
          <cell r="EK67">
            <v>64617</v>
          </cell>
          <cell r="EL67">
            <v>62504</v>
          </cell>
          <cell r="EM67">
            <v>59226</v>
          </cell>
          <cell r="EN67">
            <v>58846</v>
          </cell>
          <cell r="EO67">
            <v>59531</v>
          </cell>
        </row>
        <row r="69">
          <cell r="DT69">
            <v>311097.57</v>
          </cell>
          <cell r="DU69">
            <v>234523.87</v>
          </cell>
          <cell r="DV69">
            <v>227953.26</v>
          </cell>
          <cell r="DW69">
            <v>238015.49</v>
          </cell>
          <cell r="DX69">
            <v>230064.3</v>
          </cell>
          <cell r="DY69">
            <v>231116.6</v>
          </cell>
          <cell r="DZ69">
            <v>229248.77000000002</v>
          </cell>
          <cell r="EA69">
            <v>349522.02</v>
          </cell>
          <cell r="EB69">
            <v>234517.84999999995</v>
          </cell>
          <cell r="EC69">
            <v>250178.9</v>
          </cell>
          <cell r="ED69">
            <v>245225</v>
          </cell>
          <cell r="EE69">
            <v>252859.47</v>
          </cell>
          <cell r="EF69">
            <v>362995.89999999997</v>
          </cell>
          <cell r="EG69">
            <v>271021.71999999997</v>
          </cell>
          <cell r="EH69">
            <v>263043.00000000006</v>
          </cell>
          <cell r="EI69">
            <v>265216.99999999994</v>
          </cell>
          <cell r="EJ69">
            <v>280349.32</v>
          </cell>
          <cell r="EK69">
            <v>269135.90000000002</v>
          </cell>
          <cell r="EL69">
            <v>473254.53</v>
          </cell>
          <cell r="EM69">
            <v>269824.59999999998</v>
          </cell>
          <cell r="EN69">
            <v>272687.57</v>
          </cell>
          <cell r="EO69">
            <v>291500.21999999997</v>
          </cell>
        </row>
        <row r="70">
          <cell r="DT70">
            <v>195885.26</v>
          </cell>
          <cell r="DU70">
            <v>171335.38999999996</v>
          </cell>
          <cell r="DV70">
            <v>183324.77999999997</v>
          </cell>
          <cell r="DW70">
            <v>195579.36999999988</v>
          </cell>
          <cell r="EE70">
            <v>189581.2</v>
          </cell>
          <cell r="EF70">
            <v>169260.02009999994</v>
          </cell>
          <cell r="EG70">
            <v>147122.60000000006</v>
          </cell>
          <cell r="EH70">
            <v>162917.79999999984</v>
          </cell>
          <cell r="EI70">
            <v>156823.61999999994</v>
          </cell>
          <cell r="EJ70">
            <v>155033.65999999997</v>
          </cell>
          <cell r="EK70">
            <v>163258</v>
          </cell>
          <cell r="EL70">
            <v>167358.14000000001</v>
          </cell>
          <cell r="EM70">
            <v>154596.5</v>
          </cell>
          <cell r="EN70">
            <v>157517.14000000001</v>
          </cell>
          <cell r="EO70">
            <v>154022.76</v>
          </cell>
          <cell r="EP70">
            <v>154022.76</v>
          </cell>
          <cell r="EQ70">
            <v>154022.76</v>
          </cell>
        </row>
      </sheetData>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RHun/AppData/Roaming/Microsoft/Excel/GRI%20Dashboard%20(version%202).xlsb"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RHun/AppData/Roaming/Microsoft/Excel/GRI%20Dashboard%20(version%202).xlsb"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Users/RHun/AppData/Roaming/Microsoft/Excel/GRI%20Dashboard%20(version%202).xlsb"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Users/RHun/AppData/Roaming/Microsoft/Excel/GRI%20Dashboard%20(version%202).xlsb" TargetMode="External"/><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r:id="rId1" refreshedBy="Tang, Jonathan" refreshedDate="41101.420291435184" createdVersion="1" refreshedVersion="4" recordCount="74" upgradeOnRefresh="1">
  <cacheSource type="worksheet">
    <worksheetSource ref="A2:M76" sheet="IRL+BRL"/>
  </cacheSource>
  <cacheFields count="13">
    <cacheField name="Year" numFmtId="0">
      <sharedItems count="7">
        <s v="FY2006"/>
        <s v="FY2007"/>
        <s v="FY2008"/>
        <s v="FY2009"/>
        <s v="FY2010"/>
        <s v="FY2011"/>
        <s v="FY2012"/>
      </sharedItems>
    </cacheField>
    <cacheField name="Quarter" numFmtId="0">
      <sharedItems/>
    </cacheField>
    <cacheField name="Month" numFmtId="0">
      <sharedItems containsSemiMixedTypes="0" containsNonDate="0" containsDate="1" containsString="0" minDate="2006-04-01T00:00:00" maxDate="2012-05-02T00:00:00"/>
    </cacheField>
    <cacheField name="Solid Waste" numFmtId="0">
      <sharedItems containsSemiMixedTypes="0" containsString="0" containsNumber="1" containsInteger="1" minValue="7990" maxValue="22932"/>
    </cacheField>
    <cacheField name="Cardboard Recycling" numFmtId="0">
      <sharedItems containsSemiMixedTypes="0" containsString="0" containsNumber="1" containsInteger="1" minValue="1470" maxValue="44088"/>
    </cacheField>
    <cacheField name="Mixed Recycling" numFmtId="0">
      <sharedItems containsSemiMixedTypes="0" containsString="0" containsNumber="1" containsInteger="1" minValue="1000" maxValue="4895"/>
    </cacheField>
    <cacheField name="Organics/Compost" numFmtId="0">
      <sharedItems containsSemiMixedTypes="0" containsString="0" containsNumber="1" containsInteger="1" minValue="600" maxValue="3000"/>
    </cacheField>
    <cacheField name="Biohazardous Waste" numFmtId="0">
      <sharedItems containsSemiMixedTypes="0" containsString="0" containsNumber="1" minValue="20980" maxValue="31684"/>
    </cacheField>
    <cacheField name="Shred-IT" numFmtId="0">
      <sharedItems containsSemiMixedTypes="0" containsString="0" containsNumber="1" containsInteger="1" minValue="0" maxValue="4036"/>
    </cacheField>
    <cacheField name="Other Special Waste" numFmtId="0">
      <sharedItems containsSemiMixedTypes="0" containsString="0" containsNumber="1" containsInteger="1" minValue="0" maxValue="4360"/>
    </cacheField>
    <cacheField name="Total " numFmtId="0">
      <sharedItems containsSemiMixedTypes="0" containsString="0" containsNumber="1" minValue="42050" maxValue="88662"/>
    </cacheField>
    <cacheField name="Total Recycling" numFmtId="0">
      <sharedItems containsSemiMixedTypes="0" containsString="0" containsNumber="1" containsInteger="1" minValue="3650" maxValue="45788"/>
    </cacheField>
    <cacheField name="Waste to Landfill" numFmtId="0">
      <sharedItems containsSemiMixedTypes="0" containsString="0" containsNumber="1" containsInteger="1" minValue="8230" maxValue="2293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Tang, Jonathan" refreshedDate="41101.423162615742" createdVersion="1" refreshedVersion="4" recordCount="74" upgradeOnRefresh="1">
  <cacheSource type="worksheet">
    <worksheetSource ref="A2:O76" sheet="IRL Waste Data" r:id="rId2"/>
  </cacheSource>
  <cacheFields count="15">
    <cacheField name="Province" numFmtId="0">
      <sharedItems/>
    </cacheField>
    <cacheField name="Location" numFmtId="0">
      <sharedItems/>
    </cacheField>
    <cacheField name="Year" numFmtId="0">
      <sharedItems count="7">
        <s v="FY2006"/>
        <s v="FY2007"/>
        <s v="FY2008"/>
        <s v="FY2009"/>
        <s v="FY2010"/>
        <s v="FY2011"/>
        <s v="FY2012"/>
      </sharedItems>
    </cacheField>
    <cacheField name="Quarter" numFmtId="0">
      <sharedItems count="4">
        <s v="Q2"/>
        <s v="Q3"/>
        <s v="Q4"/>
        <s v="Q1"/>
      </sharedItems>
    </cacheField>
    <cacheField name="Month" numFmtId="0">
      <sharedItems containsSemiMixedTypes="0" containsNonDate="0" containsDate="1" containsString="0" minDate="2006-04-01T00:00:00" maxDate="2012-05-02T00:00:00"/>
    </cacheField>
    <cacheField name="Compacted Waste" numFmtId="0">
      <sharedItems containsSemiMixedTypes="0" containsString="0" containsNumber="1" containsInteger="1" minValue="1150" maxValue="15790"/>
    </cacheField>
    <cacheField name="Cardboard Recycling" numFmtId="0">
      <sharedItems containsSemiMixedTypes="0" containsString="0" containsNumber="1" containsInteger="1" minValue="1140" maxValue="43560"/>
    </cacheField>
    <cacheField name="Mixed Recycling" numFmtId="0">
      <sharedItems containsSemiMixedTypes="0" containsString="0" containsNumber="1" containsInteger="1" minValue="1000" maxValue="4350"/>
    </cacheField>
    <cacheField name="Organics/Compost" numFmtId="0">
      <sharedItems containsSemiMixedTypes="0" containsString="0" containsNumber="1" containsInteger="1" minValue="600" maxValue="3000"/>
    </cacheField>
    <cacheField name="Biohazardous Waste" numFmtId="0">
      <sharedItems containsSemiMixedTypes="0" containsString="0" containsNumber="1" minValue="14739" maxValue="22972"/>
    </cacheField>
    <cacheField name="Shred-IT" numFmtId="0">
      <sharedItems containsString="0" containsBlank="1" containsNumber="1" containsInteger="1" minValue="1523" maxValue="3221"/>
    </cacheField>
    <cacheField name="Other Special Waste" numFmtId="0">
      <sharedItems containsString="0" containsBlank="1" containsNumber="1" containsInteger="1" minValue="0" maxValue="4360"/>
    </cacheField>
    <cacheField name="Total " numFmtId="0">
      <sharedItems containsSemiMixedTypes="0" containsString="0" containsNumber="1" minValue="25922" maxValue="72401"/>
    </cacheField>
    <cacheField name="Total Recycling" numFmtId="0">
      <sharedItems containsSemiMixedTypes="0" containsString="0" containsNumber="1" containsInteger="1" minValue="2920" maxValue="44560"/>
    </cacheField>
    <cacheField name="Waste to Landfill" numFmtId="0">
      <sharedItems containsSemiMixedTypes="0" containsString="0" containsNumber="1" containsInteger="1" minValue="1390" maxValue="16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Tang, Jonathan" refreshedDate="41101.423240509263" createdVersion="1" refreshedVersion="4" recordCount="74" upgradeOnRefresh="1">
  <cacheSource type="worksheet">
    <worksheetSource ref="A2:O76" sheet="BRL Waste Data" r:id="rId2"/>
  </cacheSource>
  <cacheFields count="15">
    <cacheField name="Province" numFmtId="0">
      <sharedItems/>
    </cacheField>
    <cacheField name="Location" numFmtId="0">
      <sharedItems/>
    </cacheField>
    <cacheField name="Year" numFmtId="0">
      <sharedItems count="7">
        <s v="FY2006"/>
        <s v="FY2007"/>
        <s v="FY2008"/>
        <s v="FY2009"/>
        <s v="FY2010"/>
        <s v="FY2011"/>
        <s v="FY2012"/>
      </sharedItems>
    </cacheField>
    <cacheField name="Quarter" numFmtId="0">
      <sharedItems count="4">
        <s v="Q2"/>
        <s v="Q3"/>
        <s v="Q4"/>
        <s v="Q1"/>
      </sharedItems>
    </cacheField>
    <cacheField name="Month" numFmtId="0">
      <sharedItems containsSemiMixedTypes="0" containsNonDate="0" containsDate="1" containsString="0" minDate="2006-04-01T00:00:00" maxDate="2012-05-02T00:00:00"/>
    </cacheField>
    <cacheField name="Compacted Waste" numFmtId="0">
      <sharedItems containsSemiMixedTypes="0" containsString="0" containsNumber="1" containsInteger="1" minValue="4063" maxValue="8280"/>
    </cacheField>
    <cacheField name="Cardboard Recycling" numFmtId="0">
      <sharedItems containsString="0" containsBlank="1" containsNumber="1" containsInteger="1" minValue="198" maxValue="6293"/>
    </cacheField>
    <cacheField name="Mixed Recycling" numFmtId="0">
      <sharedItems containsString="0" containsBlank="1" containsNumber="1" containsInteger="1" minValue="0" maxValue="875"/>
    </cacheField>
    <cacheField name="Organics/Compost" numFmtId="0">
      <sharedItems containsString="0" containsBlank="1" containsNumber="1" containsInteger="1" minValue="205" maxValue="410"/>
    </cacheField>
    <cacheField name="Biohazardous Waste" numFmtId="0">
      <sharedItems containsSemiMixedTypes="0" containsString="0" containsNumber="1" minValue="3759" maxValue="12072"/>
    </cacheField>
    <cacheField name="Shred-IT" numFmtId="0">
      <sharedItems containsString="0" containsBlank="1" containsNumber="1" containsInteger="1" minValue="439" maxValue="1279"/>
    </cacheField>
    <cacheField name="Other Special Waste" numFmtId="0">
      <sharedItems containsNonDate="0" containsString="0" containsBlank="1"/>
    </cacheField>
    <cacheField name="Total " numFmtId="0">
      <sharedItems containsSemiMixedTypes="0" containsString="0" containsNumber="1" minValue="13082" maxValue="21887"/>
    </cacheField>
    <cacheField name="Total Recycling" numFmtId="0">
      <sharedItems containsSemiMixedTypes="0" containsString="0" containsNumber="1" containsInteger="1" minValue="0" maxValue="6293"/>
    </cacheField>
    <cacheField name="Waste to Landfill" numFmtId="0">
      <sharedItems containsSemiMixedTypes="0" containsString="0" containsNumber="1" containsInteger="1" minValue="4063" maxValue="828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Tang, Jonathan" refreshedDate="41144.432261689813" createdVersion="1" refreshedVersion="4" recordCount="75" upgradeOnRefresh="1">
  <cacheSource type="worksheet">
    <worksheetSource ref="A2:P77" sheet="IRL Waste Data" r:id="rId2"/>
  </cacheSource>
  <cacheFields count="16">
    <cacheField name="Province" numFmtId="0">
      <sharedItems/>
    </cacheField>
    <cacheField name="Location" numFmtId="0">
      <sharedItems/>
    </cacheField>
    <cacheField name="Year" numFmtId="0">
      <sharedItems count="7">
        <s v="FY2006"/>
        <s v="FY2007"/>
        <s v="FY2008"/>
        <s v="FY2009"/>
        <s v="FY2010"/>
        <s v="FY2011"/>
        <s v="FY2012"/>
      </sharedItems>
    </cacheField>
    <cacheField name="Quarter" numFmtId="0">
      <sharedItems count="4">
        <s v="Q2"/>
        <s v="Q3"/>
        <s v="Q4"/>
        <s v="Q1"/>
      </sharedItems>
    </cacheField>
    <cacheField name="Month" numFmtId="0">
      <sharedItems containsSemiMixedTypes="0" containsNonDate="0" containsDate="1" containsString="0" minDate="2006-04-01T00:00:00" maxDate="2012-06-02T00:00:00" count="75">
        <d v="2006-04-01T00:00:00"/>
        <d v="2006-05-01T00:00:00"/>
        <d v="2006-06-01T00:00:00"/>
        <d v="2006-07-01T00:00:00"/>
        <d v="2006-08-01T00:00:00"/>
        <d v="2006-09-01T00:00:00"/>
        <d v="2006-10-01T00:00:00"/>
        <d v="2006-11-01T00:00:00"/>
        <d v="2006-12-01T00:00:00"/>
        <d v="2007-01-01T00:00:00"/>
        <d v="2007-02-01T00:00:00"/>
        <d v="2007-03-01T00:00:00"/>
        <d v="2007-04-01T00:00:00"/>
        <d v="2007-05-01T00:00:00"/>
        <d v="2007-06-01T00:00:00"/>
        <d v="2007-07-01T00:00:00"/>
        <d v="2007-08-01T00:00:00"/>
        <d v="2007-09-01T00:00:00"/>
        <d v="2007-10-01T00:00:00"/>
        <d v="2007-11-01T00:00:00"/>
        <d v="2007-12-01T00:00:00"/>
        <d v="2008-01-01T00:00:00"/>
        <d v="2008-02-01T00:00:00"/>
        <d v="2008-03-01T00:00:00"/>
        <d v="2008-04-01T00:00:00"/>
        <d v="2008-05-01T00:00:00"/>
        <d v="2008-06-01T00:00:00"/>
        <d v="2008-07-01T00:00:00"/>
        <d v="2008-08-01T00:00:00"/>
        <d v="2008-09-01T00:00:00"/>
        <d v="2008-10-01T00:00:00"/>
        <d v="2008-11-01T00:00:00"/>
        <d v="2008-12-01T00:00:00"/>
        <d v="2009-01-01T00:00:00"/>
        <d v="2009-02-01T00:00:00"/>
        <d v="2009-03-01T00:00:00"/>
        <d v="2009-04-01T00:00:00"/>
        <d v="2009-05-01T00:00:00"/>
        <d v="2009-06-01T00:00:00"/>
        <d v="2009-07-01T00:00:00"/>
        <d v="2009-08-01T00:00:00"/>
        <d v="2009-09-01T00:00:00"/>
        <d v="2009-10-01T00:00:00"/>
        <d v="2009-11-01T00:00:00"/>
        <d v="2009-12-01T00:00:00"/>
        <d v="2010-01-01T00:00:00"/>
        <d v="2010-02-01T00:00:00"/>
        <d v="2010-03-01T00:00:00"/>
        <d v="2010-04-01T00:00:00"/>
        <d v="2010-05-01T00:00:00"/>
        <d v="2010-06-01T00:00:00"/>
        <d v="2010-07-01T00:00:00"/>
        <d v="2010-08-01T00:00:00"/>
        <d v="2010-09-01T00:00:00"/>
        <d v="2010-10-01T00:00:00"/>
        <d v="2010-11-01T00:00:00"/>
        <d v="2010-12-01T00:00:00"/>
        <d v="2011-01-01T00:00:00"/>
        <d v="2011-02-01T00:00:00"/>
        <d v="2011-03-01T00:00:00"/>
        <d v="2011-04-01T00:00:00"/>
        <d v="2011-05-01T00:00:00"/>
        <d v="2011-06-01T00:00:00"/>
        <d v="2011-07-01T00:00:00"/>
        <d v="2011-08-01T00:00:00"/>
        <d v="2011-09-01T00:00:00"/>
        <d v="2011-10-01T00:00:00"/>
        <d v="2011-11-01T00:00:00"/>
        <d v="2011-12-01T00:00:00"/>
        <d v="2012-01-01T00:00:00"/>
        <d v="2012-02-01T00:00:00"/>
        <d v="2012-03-01T00:00:00"/>
        <d v="2012-04-01T00:00:00"/>
        <d v="2012-05-01T00:00:00"/>
        <d v="2012-06-01T00:00:00"/>
      </sharedItems>
    </cacheField>
    <cacheField name="Compacted Waste" numFmtId="0">
      <sharedItems containsSemiMixedTypes="0" containsString="0" containsNumber="1" containsInteger="1" minValue="1150" maxValue="15790"/>
    </cacheField>
    <cacheField name="Cardboard Recycling" numFmtId="0">
      <sharedItems containsSemiMixedTypes="0" containsString="0" containsNumber="1" containsInteger="1" minValue="1140" maxValue="43560"/>
    </cacheField>
    <cacheField name="Mixed Recycling" numFmtId="0">
      <sharedItems containsSemiMixedTypes="0" containsString="0" containsNumber="1" containsInteger="1" minValue="1000" maxValue="4350"/>
    </cacheField>
    <cacheField name="Organics/Compost" numFmtId="0">
      <sharedItems containsSemiMixedTypes="0" containsString="0" containsNumber="1" containsInteger="1" minValue="600" maxValue="3000"/>
    </cacheField>
    <cacheField name="Biohazardous Waste" numFmtId="0">
      <sharedItems containsSemiMixedTypes="0" containsString="0" containsNumber="1" minValue="14739" maxValue="22972"/>
    </cacheField>
    <cacheField name="Shred-IT" numFmtId="0">
      <sharedItems containsString="0" containsBlank="1" containsNumber="1" containsInteger="1" minValue="1523" maxValue="3221"/>
    </cacheField>
    <cacheField name="Other Special Waste" numFmtId="0">
      <sharedItems containsString="0" containsBlank="1" containsNumber="1" containsInteger="1" minValue="0" maxValue="4360"/>
    </cacheField>
    <cacheField name="Total " numFmtId="0">
      <sharedItems containsSemiMixedTypes="0" containsString="0" containsNumber="1" minValue="25922" maxValue="72401"/>
    </cacheField>
    <cacheField name="Total Recycling" numFmtId="0">
      <sharedItems containsSemiMixedTypes="0" containsString="0" containsNumber="1" containsInteger="1" minValue="2920" maxValue="44560"/>
    </cacheField>
    <cacheField name="Waste to Landfill" numFmtId="0">
      <sharedItems containsSemiMixedTypes="0" containsString="0" containsNumber="1" containsInteger="1" minValue="1390" maxValue="16000"/>
    </cacheField>
    <cacheField name="% of waste to landfill" numFmtId="0">
      <sharedItems containsSemiMixedTypes="0" containsString="0" containsNumber="1" minValue="5.3622405678574181E-2" maxValue="0.38399375801148078"/>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Tang, Jonathan" refreshedDate="41144.43234097222" createdVersion="1" refreshedVersion="4" recordCount="75" upgradeOnRefresh="1">
  <cacheSource type="worksheet">
    <worksheetSource ref="A2:P77" sheet="BRL Waste Data" r:id="rId2"/>
  </cacheSource>
  <cacheFields count="16">
    <cacheField name="Province" numFmtId="0">
      <sharedItems/>
    </cacheField>
    <cacheField name="Location" numFmtId="0">
      <sharedItems/>
    </cacheField>
    <cacheField name="Year" numFmtId="0">
      <sharedItems count="7">
        <s v="FY2006"/>
        <s v="FY2007"/>
        <s v="FY2008"/>
        <s v="FY2009"/>
        <s v="FY2010"/>
        <s v="FY2011"/>
        <s v="FY2012"/>
      </sharedItems>
    </cacheField>
    <cacheField name="Quarter" numFmtId="0">
      <sharedItems count="4">
        <s v="Q2"/>
        <s v="Q3"/>
        <s v="Q4"/>
        <s v="Q1"/>
      </sharedItems>
    </cacheField>
    <cacheField name="Month" numFmtId="0">
      <sharedItems containsSemiMixedTypes="0" containsNonDate="0" containsDate="1" containsString="0" minDate="2006-04-01T00:00:00" maxDate="2012-06-02T00:00:00" count="75">
        <d v="2006-04-01T00:00:00"/>
        <d v="2006-05-01T00:00:00"/>
        <d v="2006-06-01T00:00:00"/>
        <d v="2006-07-01T00:00:00"/>
        <d v="2006-08-01T00:00:00"/>
        <d v="2006-09-01T00:00:00"/>
        <d v="2006-10-01T00:00:00"/>
        <d v="2006-11-01T00:00:00"/>
        <d v="2006-12-01T00:00:00"/>
        <d v="2007-01-01T00:00:00"/>
        <d v="2007-02-01T00:00:00"/>
        <d v="2007-03-01T00:00:00"/>
        <d v="2007-04-01T00:00:00"/>
        <d v="2007-05-01T00:00:00"/>
        <d v="2007-06-01T00:00:00"/>
        <d v="2007-07-01T00:00:00"/>
        <d v="2007-08-01T00:00:00"/>
        <d v="2007-09-01T00:00:00"/>
        <d v="2007-10-01T00:00:00"/>
        <d v="2007-11-01T00:00:00"/>
        <d v="2007-12-01T00:00:00"/>
        <d v="2008-01-01T00:00:00"/>
        <d v="2008-02-01T00:00:00"/>
        <d v="2008-03-01T00:00:00"/>
        <d v="2008-04-01T00:00:00"/>
        <d v="2008-05-01T00:00:00"/>
        <d v="2008-06-01T00:00:00"/>
        <d v="2008-07-01T00:00:00"/>
        <d v="2008-08-01T00:00:00"/>
        <d v="2008-09-01T00:00:00"/>
        <d v="2008-10-01T00:00:00"/>
        <d v="2008-11-01T00:00:00"/>
        <d v="2008-12-01T00:00:00"/>
        <d v="2009-01-01T00:00:00"/>
        <d v="2009-02-01T00:00:00"/>
        <d v="2009-03-01T00:00:00"/>
        <d v="2009-04-01T00:00:00"/>
        <d v="2009-05-01T00:00:00"/>
        <d v="2009-06-01T00:00:00"/>
        <d v="2009-07-01T00:00:00"/>
        <d v="2009-08-01T00:00:00"/>
        <d v="2009-09-01T00:00:00"/>
        <d v="2009-10-01T00:00:00"/>
        <d v="2009-11-01T00:00:00"/>
        <d v="2009-12-01T00:00:00"/>
        <d v="2010-01-01T00:00:00"/>
        <d v="2010-02-01T00:00:00"/>
        <d v="2010-03-01T00:00:00"/>
        <d v="2010-04-01T00:00:00"/>
        <d v="2010-05-01T00:00:00"/>
        <d v="2010-06-01T00:00:00"/>
        <d v="2010-07-01T00:00:00"/>
        <d v="2010-08-01T00:00:00"/>
        <d v="2010-09-01T00:00:00"/>
        <d v="2010-10-01T00:00:00"/>
        <d v="2010-11-01T00:00:00"/>
        <d v="2010-12-01T00:00:00"/>
        <d v="2011-01-01T00:00:00"/>
        <d v="2011-02-01T00:00:00"/>
        <d v="2011-03-01T00:00:00"/>
        <d v="2011-04-01T00:00:00"/>
        <d v="2011-05-01T00:00:00"/>
        <d v="2011-06-01T00:00:00"/>
        <d v="2011-07-01T00:00:00"/>
        <d v="2011-08-01T00:00:00"/>
        <d v="2011-09-01T00:00:00"/>
        <d v="2011-10-01T00:00:00"/>
        <d v="2011-11-01T00:00:00"/>
        <d v="2011-12-01T00:00:00"/>
        <d v="2012-01-01T00:00:00"/>
        <d v="2012-02-01T00:00:00"/>
        <d v="2012-03-01T00:00:00"/>
        <d v="2012-04-01T00:00:00"/>
        <d v="2012-05-01T00:00:00"/>
        <d v="2012-06-01T00:00:00"/>
      </sharedItems>
    </cacheField>
    <cacheField name="Compacted Waste" numFmtId="0">
      <sharedItems containsSemiMixedTypes="0" containsString="0" containsNumber="1" containsInteger="1" minValue="4063" maxValue="8280"/>
    </cacheField>
    <cacheField name="Cardboard Recycling" numFmtId="0">
      <sharedItems containsString="0" containsBlank="1" containsNumber="1" containsInteger="1" minValue="198" maxValue="6293"/>
    </cacheField>
    <cacheField name="Mixed Recycling" numFmtId="0">
      <sharedItems containsString="0" containsBlank="1" containsNumber="1" containsInteger="1" minValue="0" maxValue="875"/>
    </cacheField>
    <cacheField name="Organics/Compost" numFmtId="0">
      <sharedItems containsString="0" containsBlank="1" containsNumber="1" containsInteger="1" minValue="205" maxValue="410"/>
    </cacheField>
    <cacheField name="Biohazardous Waste" numFmtId="0">
      <sharedItems containsSemiMixedTypes="0" containsString="0" containsNumber="1" minValue="3759" maxValue="12072"/>
    </cacheField>
    <cacheField name="Shred-IT" numFmtId="0">
      <sharedItems containsString="0" containsBlank="1" containsNumber="1" containsInteger="1" minValue="439" maxValue="1279"/>
    </cacheField>
    <cacheField name="Other Special Waste" numFmtId="0">
      <sharedItems containsNonDate="0" containsString="0" containsBlank="1"/>
    </cacheField>
    <cacheField name="Total " numFmtId="0">
      <sharedItems containsSemiMixedTypes="0" containsString="0" containsNumber="1" minValue="13082" maxValue="21887"/>
    </cacheField>
    <cacheField name="Total Recycling" numFmtId="0">
      <sharedItems containsSemiMixedTypes="0" containsString="0" containsNumber="1" containsInteger="1" minValue="0" maxValue="6293"/>
    </cacheField>
    <cacheField name="Waste to Landfill" numFmtId="0">
      <sharedItems containsSemiMixedTypes="0" containsString="0" containsNumber="1" containsInteger="1" minValue="4063" maxValue="8280"/>
    </cacheField>
    <cacheField name="% of waste to landfill" numFmtId="0">
      <sharedItems containsSemiMixedTypes="0" containsString="0" containsNumber="1" minValue="0.22612558045628911" maxValue="0.6054120165112367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un, Riley" refreshedDate="42376.512436574078" createdVersion="4" refreshedVersion="4" minRefreshableVersion="3" recordCount="252">
  <cacheSource type="worksheet">
    <worksheetSource name="Table1"/>
  </cacheSource>
  <cacheFields count="7">
    <cacheField name="Province" numFmtId="0">
      <sharedItems count="3">
        <s v="Ontario"/>
        <s v="British Columbia"/>
        <s v="Ontario " u="1"/>
      </sharedItems>
    </cacheField>
    <cacheField name="Location" numFmtId="0">
      <sharedItems count="4">
        <s v="IRL"/>
        <s v="St Catharines"/>
        <s v="Belleville"/>
        <s v="BRL"/>
      </sharedItems>
    </cacheField>
    <cacheField name="Date" numFmtId="17">
      <sharedItems containsSemiMixedTypes="0" containsNonDate="0" containsDate="1" containsString="0" minDate="2015-01-01T00:00:00" maxDate="2015-12-02T00:00:00" count="12">
        <d v="2015-01-01T00:00:00"/>
        <d v="2015-02-01T00:00:00"/>
        <d v="2015-03-01T00:00:00"/>
        <d v="2015-04-01T00:00:00"/>
        <d v="2015-05-01T00:00:00"/>
        <d v="2015-06-01T00:00:00"/>
        <d v="2015-07-01T00:00:00"/>
        <d v="2015-08-01T00:00:00"/>
        <d v="2015-09-01T00:00:00"/>
        <d v="2015-10-01T00:00:00"/>
        <d v="2015-11-01T00:00:00"/>
        <d v="2015-12-01T00:00:00"/>
      </sharedItems>
    </cacheField>
    <cacheField name="Month" numFmtId="168">
      <sharedItems count="12">
        <s v="January"/>
        <s v="February"/>
        <s v="March"/>
        <s v="April"/>
        <s v="May"/>
        <s v="June"/>
        <s v="July"/>
        <s v="August"/>
        <s v="September"/>
        <s v="October"/>
        <s v="November"/>
        <s v="December"/>
      </sharedItems>
    </cacheField>
    <cacheField name="Year" numFmtId="0">
      <sharedItems containsSemiMixedTypes="0" containsString="0" containsNumber="1" containsInteger="1" minValue="2015" maxValue="2015" count="1">
        <n v="2015"/>
      </sharedItems>
    </cacheField>
    <cacheField name="Category" numFmtId="0">
      <sharedItems count="7">
        <s v="Compacted Waste"/>
        <s v="Cardboard Recycling"/>
        <s v="Mixed Recycling"/>
        <s v="Organics Compost"/>
        <s v="Biohazardous Waste"/>
        <s v="Total Recycling"/>
        <s v="Waste to Landfill"/>
      </sharedItems>
    </cacheField>
    <cacheField name="Weight" numFmtId="0">
      <sharedItems containsString="0" containsBlank="1" containsNumber="1" minValue="0" maxValue="26002"/>
    </cacheField>
  </cacheFields>
  <extLst>
    <ext xmlns:x14="http://schemas.microsoft.com/office/spreadsheetml/2009/9/main" uri="{725AE2AE-9491-48be-B2B4-4EB974FC3084}">
      <x14:pivotCacheDefinition pivotCacheId="7"/>
    </ext>
  </extLst>
</pivotCacheDefinition>
</file>

<file path=xl/pivotCache/pivotCacheDefinition7.xml><?xml version="1.0" encoding="utf-8"?>
<pivotCacheDefinition xmlns="http://schemas.openxmlformats.org/spreadsheetml/2006/main" xmlns:r="http://schemas.openxmlformats.org/officeDocument/2006/relationships" r:id="rId1" refreshedBy="Hun, Riley" refreshedDate="42432.57655208333" createdVersion="4" refreshedVersion="4" minRefreshableVersion="3" recordCount="18">
  <cacheSource type="worksheet">
    <worksheetSource name="Spills"/>
  </cacheSource>
  <cacheFields count="16">
    <cacheField name="Hazard Number" numFmtId="0">
      <sharedItems containsSemiMixedTypes="0" containsString="0" containsNumber="1" containsInteger="1" minValue="3695" maxValue="4011"/>
    </cacheField>
    <cacheField name="Hazard Date" numFmtId="14">
      <sharedItems containsSemiMixedTypes="0" containsNonDate="0" containsDate="1" containsString="0" minDate="2015-11-02T00:00:00" maxDate="2016-02-19T00:00:00"/>
    </cacheField>
    <cacheField name="Reported Date" numFmtId="14">
      <sharedItems containsSemiMixedTypes="0" containsNonDate="0" containsDate="1" containsString="0" minDate="2015-11-02T00:00:00" maxDate="2016-02-19T00:00:00"/>
    </cacheField>
    <cacheField name="Month" numFmtId="0">
      <sharedItems count="7">
        <s v="Nov"/>
        <s v="Dec"/>
        <s v="Jan"/>
        <s v="Feb"/>
        <s v="November" u="1"/>
        <s v="December" u="1"/>
        <s v="January" u="1"/>
      </sharedItems>
    </cacheField>
    <cacheField name="Year" numFmtId="1">
      <sharedItems containsMixedTypes="1" containsNumber="1" containsInteger="1" minValue="2015" maxValue="2015" count="3">
        <s v="2015"/>
        <s v="2016"/>
        <n v="2015" u="1"/>
      </sharedItems>
    </cacheField>
    <cacheField name="Hazard Time" numFmtId="0">
      <sharedItems containsNonDate="0" containsDate="1" containsString="0" containsBlank="1" minDate="1899-12-30T08:00:00" maxDate="1899-12-30T17:00:00"/>
    </cacheField>
    <cacheField name="Reported Time" numFmtId="0">
      <sharedItems containsNonDate="0" containsDate="1" containsString="0" containsBlank="1" minDate="1899-12-30T04:16:00" maxDate="1899-12-30T22:10:00"/>
    </cacheField>
    <cacheField name="Province" numFmtId="0">
      <sharedItems containsBlank="1" count="3">
        <s v="British Columbia"/>
        <s v="Ontario"/>
        <m u="1"/>
      </sharedItems>
    </cacheField>
    <cacheField name="City" numFmtId="0">
      <sharedItems containsBlank="1" count="10">
        <s v="Burnaby"/>
        <s v="Kamloops"/>
        <s v="Ottawa"/>
        <s v="Toronto"/>
        <s v="Sudbury"/>
        <s v="Victoria"/>
        <s v="Mississauga"/>
        <s v="Belleville"/>
        <s v="Almonte"/>
        <m u="1"/>
      </sharedItems>
    </cacheField>
    <cacheField name="Address" numFmtId="0">
      <sharedItems containsBlank="1"/>
    </cacheField>
    <cacheField name="What happened?" numFmtId="0">
      <sharedItems longText="1"/>
    </cacheField>
    <cacheField name="Root Cause" numFmtId="0">
      <sharedItems containsBlank="1" count="8">
        <s v="Workstation Layout and Design"/>
        <s v="No Root Cause Identified"/>
        <s v="Equipment Defective"/>
        <s v="Procedure Not Followed"/>
        <s v="Not Paying Attention"/>
        <s v="Design of Work"/>
        <s v="Equipment Design or Selection"/>
        <m u="1"/>
      </sharedItems>
    </cacheField>
    <cacheField name="Root Cause Description" numFmtId="0">
      <sharedItems containsBlank="1" longText="1"/>
    </cacheField>
    <cacheField name="Corrective Actions" numFmtId="0">
      <sharedItems containsBlank="1" count="8">
        <s v="Replace or Repair Product/Equipment"/>
        <s v="Remove Hazard"/>
        <s v="Individual discussion"/>
        <s v="N/A"/>
        <s v="Modify Work Practices"/>
        <s v="Group Discussion"/>
        <s v="Pending further investigation"/>
        <m u="1"/>
      </sharedItems>
    </cacheField>
    <cacheField name="Corrective Action Description" numFmtId="0">
      <sharedItems longText="1"/>
    </cacheField>
    <cacheField name="Field1" numFmtId="0" formula="4.33" databaseField="0"/>
  </cacheFields>
  <extLst>
    <ext xmlns:x14="http://schemas.microsoft.com/office/spreadsheetml/2009/9/main" uri="{725AE2AE-9491-48be-B2B4-4EB974FC3084}">
      <x14:pivotCacheDefinition pivotCacheId="8"/>
    </ext>
  </extLst>
</pivotCacheDefinition>
</file>

<file path=xl/pivotCache/pivotCacheDefinition8.xml><?xml version="1.0" encoding="utf-8"?>
<pivotCacheDefinition xmlns="http://schemas.openxmlformats.org/spreadsheetml/2006/main" xmlns:r="http://schemas.openxmlformats.org/officeDocument/2006/relationships" r:id="rId1" refreshOnLoad="1" refreshedBy="Hun, Riley" refreshedDate="42437.383659722225" missingItemsLimit="0" createdVersion="4" refreshedVersion="4" minRefreshableVersion="3" recordCount="312">
  <cacheSource type="worksheet">
    <worksheetSource ref="CL21:CY333" sheet="Top Incident Types Data"/>
  </cacheSource>
  <cacheFields count="14">
    <cacheField name="Province" numFmtId="0">
      <sharedItems count="3">
        <s v="BC"/>
        <s v="ON"/>
        <s v="National"/>
      </sharedItems>
    </cacheField>
    <cacheField name="Date" numFmtId="17">
      <sharedItems containsSemiMixedTypes="0" containsNonDate="0" containsDate="1" containsString="0" minDate="2014-02-01T00:00:00" maxDate="2016-01-02T00:00:00" count="24">
        <d v="2014-02-01T00:00:00"/>
        <d v="2014-03-01T00:00:00"/>
        <d v="2014-04-01T00:00:00"/>
        <d v="2014-05-01T00:00:00"/>
        <d v="2014-06-01T00:00:00"/>
        <d v="2014-07-01T00:00:00"/>
        <d v="2014-08-01T00:00:00"/>
        <d v="2014-09-01T00:00:00"/>
        <d v="2014-10-01T00:00:00"/>
        <d v="2014-11-01T00:00:00"/>
        <d v="2014-12-01T00:00:00"/>
        <d v="2015-01-01T00:00:00"/>
        <d v="2015-02-01T00:00:00"/>
        <d v="2015-03-01T00:00:00"/>
        <d v="2015-04-01T00:00:00"/>
        <d v="2015-05-01T00:00:00"/>
        <d v="2015-06-01T00:00:00"/>
        <d v="2015-07-01T00:00:00"/>
        <d v="2015-08-01T00:00:00"/>
        <d v="2015-09-15T00:00:00"/>
        <d v="2015-10-15T00:00:00"/>
        <d v="2015-11-15T00:00:00"/>
        <d v="2015-12-15T00:00:00"/>
        <d v="2016-01-01T00:00:00"/>
      </sharedItems>
    </cacheField>
    <cacheField name="Incident Classification" numFmtId="0">
      <sharedItems count="6">
        <s v="Needlesticks"/>
        <s v="Ergonomics"/>
        <s v="Slip, Trip, Fall"/>
        <s v="BBF/Chemical Exposure"/>
        <s v="Contact with Object"/>
        <s v=""/>
      </sharedItems>
    </cacheField>
    <cacheField name="Count" numFmtId="0">
      <sharedItems containsString="0" containsBlank="1" containsNumber="1" containsInteger="1" minValue="0" maxValue="7"/>
    </cacheField>
    <cacheField name="Rolling" numFmtId="0">
      <sharedItems containsString="0" containsBlank="1" containsNumber="1" minValue="3.7502033640826098E-2" maxValue="4.0801229613056442"/>
    </cacheField>
    <cacheField name="Month" numFmtId="0">
      <sharedItems count="12">
        <s v="February"/>
        <s v="March"/>
        <s v="April"/>
        <s v="May"/>
        <s v="June"/>
        <s v="July"/>
        <s v="August"/>
        <s v="September"/>
        <s v="October"/>
        <s v="November"/>
        <s v="December"/>
        <s v="January"/>
      </sharedItems>
    </cacheField>
    <cacheField name="Year" numFmtId="0">
      <sharedItems containsSemiMixedTypes="0" containsString="0" containsNumber="1" containsInteger="1" minValue="2014" maxValue="2016" count="3">
        <n v="2014"/>
        <n v="2015"/>
        <n v="2016"/>
      </sharedItems>
    </cacheField>
    <cacheField name="Number of Lost Time Incidents" numFmtId="0">
      <sharedItems containsString="0" containsBlank="1" containsNumber="1" containsInteger="1" minValue="0" maxValue="8"/>
    </cacheField>
    <cacheField name="Days Lost/Lost Time Incident" numFmtId="0">
      <sharedItems containsBlank="1" containsMixedTypes="1" containsNumber="1" minValue="0" maxValue="99.899999999999991"/>
    </cacheField>
    <cacheField name="Lost Time Rate" numFmtId="0">
      <sharedItems containsString="0" containsBlank="1" containsNumber="1" minValue="0" maxValue="6.3118960304485858"/>
    </cacheField>
    <cacheField name="Number of Incidents" numFmtId="0">
      <sharedItems containsString="0" containsBlank="1" containsNumber="1" containsInteger="1" minValue="0" maxValue="18"/>
    </cacheField>
    <cacheField name="Incident Rate" numFmtId="0">
      <sharedItems containsString="0" containsBlank="1" containsNumber="1" minValue="0" maxValue="10.526748555803202"/>
    </cacheField>
    <cacheField name="Rolling Incident Rate" numFmtId="0">
      <sharedItems containsString="0" containsBlank="1" containsNumber="1" minValue="2.1158236506780304" maxValue="6.5939532514540788"/>
    </cacheField>
    <cacheField name="Rolling Days Lost/Lost Time Incident" numFmtId="0">
      <sharedItems containsString="0" containsBlank="1" containsNumber="1" minValue="3.7406666666666664" maxValue="42.875714285714288"/>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74">
  <r>
    <x v="0"/>
    <s v="Q2"/>
    <d v="2006-04-01T00:00:00"/>
    <n v="15020"/>
    <n v="3820"/>
    <n v="1875"/>
    <n v="1200"/>
    <n v="23055"/>
    <n v="0"/>
    <n v="960"/>
    <n v="45930"/>
    <n v="5695"/>
    <n v="15980"/>
  </r>
  <r>
    <x v="0"/>
    <s v="Q3"/>
    <d v="2006-05-01T00:00:00"/>
    <n v="15040"/>
    <n v="3734"/>
    <n v="1950"/>
    <n v="1500"/>
    <n v="27165"/>
    <n v="0"/>
    <n v="1200"/>
    <n v="50589"/>
    <n v="5684"/>
    <n v="16240"/>
  </r>
  <r>
    <x v="0"/>
    <s v="Q3"/>
    <d v="2006-06-01T00:00:00"/>
    <n v="16130"/>
    <n v="4038"/>
    <n v="1700"/>
    <n v="1200"/>
    <n v="27064"/>
    <n v="0"/>
    <n v="960"/>
    <n v="51092"/>
    <n v="5738"/>
    <n v="17090"/>
  </r>
  <r>
    <x v="0"/>
    <s v="Q3"/>
    <d v="2006-07-01T00:00:00"/>
    <n v="14190"/>
    <n v="3974"/>
    <n v="1875"/>
    <n v="1500"/>
    <n v="21183"/>
    <n v="0"/>
    <n v="960"/>
    <n v="43682"/>
    <n v="5849"/>
    <n v="15150"/>
  </r>
  <r>
    <x v="0"/>
    <s v="Q4"/>
    <d v="2006-08-01T00:00:00"/>
    <n v="16910"/>
    <n v="3028"/>
    <n v="1950"/>
    <n v="1200"/>
    <n v="25726"/>
    <n v="0"/>
    <n v="1200"/>
    <n v="50014"/>
    <n v="4978"/>
    <n v="18110"/>
  </r>
  <r>
    <x v="0"/>
    <s v="Q4"/>
    <d v="2006-09-01T00:00:00"/>
    <n v="16020"/>
    <n v="3050"/>
    <n v="1700"/>
    <n v="1200"/>
    <n v="26493"/>
    <n v="0"/>
    <n v="960"/>
    <n v="49423"/>
    <n v="4750"/>
    <n v="16980"/>
  </r>
  <r>
    <x v="0"/>
    <s v="Q4"/>
    <d v="2006-10-01T00:00:00"/>
    <n v="16900"/>
    <n v="3218"/>
    <n v="1875"/>
    <n v="1500"/>
    <n v="20980"/>
    <n v="0"/>
    <n v="960"/>
    <n v="45433"/>
    <n v="5093"/>
    <n v="17860"/>
  </r>
  <r>
    <x v="1"/>
    <s v="Q1"/>
    <d v="2006-11-01T00:00:00"/>
    <n v="17700"/>
    <n v="3864"/>
    <n v="1950"/>
    <n v="1200"/>
    <n v="25418"/>
    <n v="0"/>
    <n v="1200"/>
    <n v="51332"/>
    <n v="5814"/>
    <n v="18900"/>
  </r>
  <r>
    <x v="1"/>
    <s v="Q1"/>
    <d v="2006-12-01T00:00:00"/>
    <n v="14900"/>
    <n v="2830"/>
    <n v="1875"/>
    <n v="1200"/>
    <n v="27374"/>
    <n v="0"/>
    <n v="960"/>
    <n v="49139"/>
    <n v="4705"/>
    <n v="15860"/>
  </r>
  <r>
    <x v="1"/>
    <s v="Q1"/>
    <d v="2007-01-01T00:00:00"/>
    <n v="14110"/>
    <n v="2402"/>
    <n v="1950"/>
    <n v="1500"/>
    <n v="26138"/>
    <n v="0"/>
    <n v="1200"/>
    <n v="47300"/>
    <n v="4352"/>
    <n v="15310"/>
  </r>
  <r>
    <x v="1"/>
    <s v="Q2"/>
    <d v="2007-02-01T00:00:00"/>
    <n v="16230"/>
    <n v="4054"/>
    <n v="1700"/>
    <n v="1200"/>
    <n v="26082"/>
    <n v="0"/>
    <n v="960"/>
    <n v="50226"/>
    <n v="5754"/>
    <n v="17190"/>
  </r>
  <r>
    <x v="1"/>
    <s v="Q2"/>
    <d v="2007-03-01T00:00:00"/>
    <n v="16550"/>
    <n v="3608"/>
    <n v="1700"/>
    <n v="1200"/>
    <n v="26405"/>
    <n v="0"/>
    <n v="960"/>
    <n v="50423"/>
    <n v="5308"/>
    <n v="17510"/>
  </r>
  <r>
    <x v="1"/>
    <s v="Q2"/>
    <d v="2007-04-01T00:00:00"/>
    <n v="16010"/>
    <n v="3740"/>
    <n v="1875"/>
    <n v="1200"/>
    <n v="27591"/>
    <n v="0"/>
    <n v="960"/>
    <n v="51376"/>
    <n v="5615"/>
    <n v="16970"/>
  </r>
  <r>
    <x v="1"/>
    <s v="Q3"/>
    <d v="2007-05-01T00:00:00"/>
    <n v="17700"/>
    <n v="3164"/>
    <n v="1950"/>
    <n v="1200"/>
    <n v="27285"/>
    <n v="0"/>
    <n v="960"/>
    <n v="52259"/>
    <n v="5114"/>
    <n v="18660"/>
  </r>
  <r>
    <x v="1"/>
    <s v="Q3"/>
    <d v="2007-06-01T00:00:00"/>
    <n v="14450"/>
    <n v="44088"/>
    <n v="1700"/>
    <n v="1200"/>
    <n v="26984"/>
    <n v="0"/>
    <n v="240"/>
    <n v="88662"/>
    <n v="45788"/>
    <n v="14690"/>
  </r>
  <r>
    <x v="1"/>
    <s v="Q3"/>
    <d v="2007-07-01T00:00:00"/>
    <n v="16280"/>
    <n v="4054"/>
    <n v="1875"/>
    <n v="1200"/>
    <n v="24814"/>
    <n v="0"/>
    <n v="240"/>
    <n v="48463"/>
    <n v="5929"/>
    <n v="16520"/>
  </r>
  <r>
    <x v="1"/>
    <s v="Q4"/>
    <d v="2007-08-01T00:00:00"/>
    <n v="16500"/>
    <n v="3108"/>
    <n v="1950"/>
    <n v="1200"/>
    <n v="26304"/>
    <n v="0"/>
    <n v="240"/>
    <n v="49302"/>
    <n v="5058"/>
    <n v="16740"/>
  </r>
  <r>
    <x v="1"/>
    <s v="Q4"/>
    <d v="2007-09-01T00:00:00"/>
    <n v="15340"/>
    <n v="2970"/>
    <n v="1700"/>
    <n v="2400"/>
    <n v="25993"/>
    <n v="0"/>
    <n v="240"/>
    <n v="48643"/>
    <n v="4670"/>
    <n v="15580"/>
  </r>
  <r>
    <x v="1"/>
    <s v="Q4"/>
    <d v="2007-10-01T00:00:00"/>
    <n v="15950"/>
    <n v="2758"/>
    <n v="2125"/>
    <n v="3000"/>
    <n v="27940"/>
    <n v="0"/>
    <n v="240"/>
    <n v="52013"/>
    <n v="4883"/>
    <n v="16190"/>
  </r>
  <r>
    <x v="2"/>
    <s v="Q1"/>
    <d v="2007-11-01T00:00:00"/>
    <n v="19610"/>
    <n v="3954"/>
    <n v="1700"/>
    <n v="2400"/>
    <n v="28134"/>
    <n v="0"/>
    <n v="240"/>
    <n v="56038"/>
    <n v="5654"/>
    <n v="19850"/>
  </r>
  <r>
    <x v="2"/>
    <s v="Q1"/>
    <d v="2007-12-01T00:00:00"/>
    <n v="16180"/>
    <n v="2740"/>
    <n v="1875"/>
    <n v="2400"/>
    <n v="23074"/>
    <n v="0"/>
    <n v="240"/>
    <n v="46509"/>
    <n v="4615"/>
    <n v="16420"/>
  </r>
  <r>
    <x v="2"/>
    <s v="Q1"/>
    <d v="2008-01-01T00:00:00"/>
    <n v="7990"/>
    <n v="4152"/>
    <n v="1950"/>
    <n v="600"/>
    <n v="27118"/>
    <n v="0"/>
    <n v="240"/>
    <n v="42050"/>
    <n v="6102"/>
    <n v="8230"/>
  </r>
  <r>
    <x v="2"/>
    <s v="Q2"/>
    <d v="2008-02-01T00:00:00"/>
    <n v="14093"/>
    <n v="5916"/>
    <n v="1700"/>
    <n v="600"/>
    <n v="26663"/>
    <n v="0"/>
    <n v="240"/>
    <n v="49212"/>
    <n v="7616"/>
    <n v="14333"/>
  </r>
  <r>
    <x v="2"/>
    <s v="Q2"/>
    <d v="2008-03-01T00:00:00"/>
    <n v="15382"/>
    <n v="5070"/>
    <n v="1000"/>
    <n v="750"/>
    <n v="26187"/>
    <n v="0"/>
    <n v="240"/>
    <n v="48629"/>
    <n v="6070"/>
    <n v="15622"/>
  </r>
  <r>
    <x v="2"/>
    <s v="Q2"/>
    <d v="2008-04-01T00:00:00"/>
    <n v="15084"/>
    <n v="5196"/>
    <n v="1250"/>
    <n v="600"/>
    <n v="28734"/>
    <n v="0"/>
    <n v="240"/>
    <n v="51104"/>
    <n v="6446"/>
    <n v="15324"/>
  </r>
  <r>
    <x v="2"/>
    <s v="Q3"/>
    <d v="2008-05-01T00:00:00"/>
    <n v="16051"/>
    <n v="5169"/>
    <n v="1000"/>
    <n v="600"/>
    <n v="28954"/>
    <n v="0"/>
    <n v="240"/>
    <n v="52014"/>
    <n v="6169"/>
    <n v="16291"/>
  </r>
  <r>
    <x v="2"/>
    <s v="Q3"/>
    <d v="2008-06-01T00:00:00"/>
    <n v="17015"/>
    <n v="4941"/>
    <n v="1000"/>
    <n v="750"/>
    <n v="27463"/>
    <n v="0"/>
    <n v="240"/>
    <n v="51409"/>
    <n v="5941"/>
    <n v="17255"/>
  </r>
  <r>
    <x v="2"/>
    <s v="Q3"/>
    <d v="2008-07-01T00:00:00"/>
    <n v="17455"/>
    <n v="6524"/>
    <n v="1250"/>
    <n v="600"/>
    <n v="27173"/>
    <n v="0"/>
    <n v="240"/>
    <n v="53242"/>
    <n v="7774"/>
    <n v="17695"/>
  </r>
  <r>
    <x v="2"/>
    <s v="Q4"/>
    <d v="2008-08-01T00:00:00"/>
    <n v="15226"/>
    <n v="4775"/>
    <n v="1000"/>
    <n v="750"/>
    <n v="24226"/>
    <n v="0"/>
    <n v="240"/>
    <n v="46217"/>
    <n v="5775"/>
    <n v="15466"/>
  </r>
  <r>
    <x v="2"/>
    <s v="Q4"/>
    <d v="2008-09-01T00:00:00"/>
    <n v="15206"/>
    <n v="5486"/>
    <n v="1300"/>
    <n v="600"/>
    <n v="25451"/>
    <n v="0"/>
    <n v="240"/>
    <n v="48283"/>
    <n v="6786"/>
    <n v="15446"/>
  </r>
  <r>
    <x v="2"/>
    <s v="Q4"/>
    <d v="2008-10-01T00:00:00"/>
    <n v="14245"/>
    <n v="5482"/>
    <n v="1600"/>
    <n v="600"/>
    <n v="26746"/>
    <n v="0"/>
    <n v="0"/>
    <n v="48673"/>
    <n v="7082"/>
    <n v="14245"/>
  </r>
  <r>
    <x v="3"/>
    <s v="Q1"/>
    <d v="2008-11-01T00:00:00"/>
    <n v="13513"/>
    <n v="4782"/>
    <n v="1300"/>
    <n v="750"/>
    <n v="24629"/>
    <n v="0"/>
    <n v="0"/>
    <n v="44974"/>
    <n v="6082"/>
    <n v="13513"/>
  </r>
  <r>
    <x v="3"/>
    <s v="Q1"/>
    <d v="2008-12-01T00:00:00"/>
    <n v="15920"/>
    <n v="6236"/>
    <n v="1600"/>
    <n v="600"/>
    <n v="23421"/>
    <n v="0"/>
    <n v="0"/>
    <n v="47777"/>
    <n v="7836"/>
    <n v="15920"/>
  </r>
  <r>
    <x v="3"/>
    <s v="Q1"/>
    <d v="2009-01-01T00:00:00"/>
    <n v="18700"/>
    <n v="4896"/>
    <n v="1000"/>
    <n v="600"/>
    <n v="23930"/>
    <n v="1806"/>
    <n v="0"/>
    <n v="50932"/>
    <n v="5896"/>
    <n v="18700"/>
  </r>
  <r>
    <x v="3"/>
    <s v="Q2"/>
    <d v="2009-02-01T00:00:00"/>
    <n v="19004"/>
    <n v="5227"/>
    <n v="1000"/>
    <n v="750"/>
    <n v="23892"/>
    <n v="1757"/>
    <n v="0"/>
    <n v="51630"/>
    <n v="6227"/>
    <n v="19004"/>
  </r>
  <r>
    <x v="3"/>
    <s v="Q2"/>
    <d v="2009-03-01T00:00:00"/>
    <n v="18411"/>
    <n v="5806"/>
    <n v="1000"/>
    <n v="600"/>
    <n v="26804"/>
    <n v="2182"/>
    <n v="0"/>
    <n v="54803"/>
    <n v="6806"/>
    <n v="18411"/>
  </r>
  <r>
    <x v="3"/>
    <s v="Q2"/>
    <d v="2009-04-01T00:00:00"/>
    <n v="15689"/>
    <n v="4062"/>
    <n v="1000"/>
    <n v="600"/>
    <n v="25405"/>
    <n v="3400"/>
    <n v="240"/>
    <n v="50396"/>
    <n v="5062"/>
    <n v="15929"/>
  </r>
  <r>
    <x v="3"/>
    <s v="Q3"/>
    <d v="2009-05-01T00:00:00"/>
    <n v="16685"/>
    <n v="5221"/>
    <n v="1960"/>
    <n v="600"/>
    <n v="26506"/>
    <n v="2630"/>
    <n v="4360"/>
    <n v="57962"/>
    <n v="7181"/>
    <n v="21045"/>
  </r>
  <r>
    <x v="3"/>
    <s v="Q3"/>
    <d v="2009-06-01T00:00:00"/>
    <n v="12538"/>
    <n v="4312"/>
    <n v="1740"/>
    <n v="600"/>
    <n v="27676"/>
    <n v="2635"/>
    <n v="0"/>
    <n v="49501"/>
    <n v="6052"/>
    <n v="12538"/>
  </r>
  <r>
    <x v="3"/>
    <s v="Q3"/>
    <d v="2009-07-01T00:00:00"/>
    <n v="16029"/>
    <n v="3325"/>
    <n v="2180"/>
    <n v="600"/>
    <n v="26585"/>
    <n v="3084"/>
    <n v="0"/>
    <n v="51803"/>
    <n v="5505"/>
    <n v="16029"/>
  </r>
  <r>
    <x v="3"/>
    <s v="Q4"/>
    <d v="2009-08-01T00:00:00"/>
    <n v="15045"/>
    <n v="4927"/>
    <n v="1740"/>
    <n v="600"/>
    <n v="24359"/>
    <n v="2887"/>
    <n v="0"/>
    <n v="49558"/>
    <n v="6667"/>
    <n v="15045"/>
  </r>
  <r>
    <x v="3"/>
    <s v="Q4"/>
    <d v="2009-09-01T00:00:00"/>
    <n v="16712"/>
    <n v="4283"/>
    <n v="1740"/>
    <n v="600"/>
    <n v="27931"/>
    <n v="3133"/>
    <n v="0"/>
    <n v="54399"/>
    <n v="6023"/>
    <n v="16712"/>
  </r>
  <r>
    <x v="3"/>
    <s v="Q4"/>
    <d v="2009-10-01T00:00:00"/>
    <n v="17934"/>
    <n v="3975"/>
    <n v="2180"/>
    <n v="750"/>
    <n v="28160"/>
    <n v="2571"/>
    <n v="0"/>
    <n v="55570"/>
    <n v="6155"/>
    <n v="17934"/>
  </r>
  <r>
    <x v="4"/>
    <s v="Q1"/>
    <d v="2009-11-01T00:00:00"/>
    <n v="14675"/>
    <n v="5409"/>
    <n v="1740"/>
    <n v="600"/>
    <n v="24546"/>
    <n v="2590"/>
    <n v="3320"/>
    <n v="52880"/>
    <n v="7149"/>
    <n v="17995"/>
  </r>
  <r>
    <x v="4"/>
    <s v="Q1"/>
    <d v="2009-12-01T00:00:00"/>
    <n v="15255"/>
    <n v="4590"/>
    <n v="2180"/>
    <n v="750"/>
    <n v="25494"/>
    <n v="3405"/>
    <n v="0"/>
    <n v="51674"/>
    <n v="6770"/>
    <n v="15255"/>
  </r>
  <r>
    <x v="4"/>
    <s v="Q1"/>
    <d v="2010-01-01T00:00:00"/>
    <n v="13277"/>
    <n v="4307"/>
    <n v="1740"/>
    <n v="600"/>
    <n v="24389"/>
    <n v="2719"/>
    <n v="0"/>
    <n v="47032"/>
    <n v="6047"/>
    <n v="13277"/>
  </r>
  <r>
    <x v="4"/>
    <s v="Q2"/>
    <d v="2010-02-01T00:00:00"/>
    <n v="12839"/>
    <n v="4393"/>
    <n v="1740"/>
    <n v="600"/>
    <n v="24860"/>
    <n v="2801"/>
    <n v="0"/>
    <n v="47233"/>
    <n v="6133"/>
    <n v="12839"/>
  </r>
  <r>
    <x v="4"/>
    <s v="Q2"/>
    <d v="2010-03-01T00:00:00"/>
    <n v="14200"/>
    <n v="6063"/>
    <n v="2180"/>
    <n v="750"/>
    <n v="28474"/>
    <n v="3441"/>
    <n v="0"/>
    <n v="55108"/>
    <n v="8243"/>
    <n v="14200"/>
  </r>
  <r>
    <x v="4"/>
    <s v="Q2"/>
    <d v="2010-04-01T00:00:00"/>
    <n v="16246"/>
    <n v="4977"/>
    <n v="1740"/>
    <n v="600"/>
    <n v="27359"/>
    <n v="2747"/>
    <n v="0"/>
    <n v="53669"/>
    <n v="6717"/>
    <n v="16246"/>
  </r>
  <r>
    <x v="4"/>
    <s v="Q3"/>
    <d v="2010-05-01T00:00:00"/>
    <n v="13673"/>
    <n v="5891"/>
    <n v="1740"/>
    <n v="750"/>
    <n v="26497"/>
    <n v="2728"/>
    <n v="0"/>
    <n v="51279"/>
    <n v="7631"/>
    <n v="13673"/>
  </r>
  <r>
    <x v="4"/>
    <s v="Q3"/>
    <d v="2010-06-01T00:00:00"/>
    <n v="14067"/>
    <n v="5113"/>
    <n v="1740"/>
    <n v="600"/>
    <n v="28105"/>
    <n v="2611"/>
    <n v="0"/>
    <n v="52236"/>
    <n v="6853"/>
    <n v="14067"/>
  </r>
  <r>
    <x v="4"/>
    <s v="Q3"/>
    <d v="2010-07-01T00:00:00"/>
    <n v="15114"/>
    <n v="4450"/>
    <n v="2180"/>
    <n v="600"/>
    <n v="26235"/>
    <n v="3084"/>
    <n v="0"/>
    <n v="51663"/>
    <n v="6630"/>
    <n v="15114"/>
  </r>
  <r>
    <x v="4"/>
    <s v="Q4"/>
    <d v="2010-08-01T00:00:00"/>
    <n v="12019"/>
    <n v="4813"/>
    <n v="1740"/>
    <n v="750"/>
    <n v="26030"/>
    <n v="2762"/>
    <n v="0"/>
    <n v="48114"/>
    <n v="6553"/>
    <n v="12019"/>
  </r>
  <r>
    <x v="4"/>
    <s v="Q4"/>
    <d v="2010-09-01T00:00:00"/>
    <n v="15180"/>
    <n v="10873"/>
    <n v="2180"/>
    <n v="750"/>
    <n v="26617"/>
    <n v="3586"/>
    <n v="0"/>
    <n v="59186"/>
    <n v="13053"/>
    <n v="15180"/>
  </r>
  <r>
    <x v="4"/>
    <s v="Q4"/>
    <d v="2010-10-01T00:00:00"/>
    <n v="13285"/>
    <n v="5160"/>
    <n v="1740"/>
    <n v="600"/>
    <n v="26323"/>
    <n v="2904"/>
    <n v="0"/>
    <n v="50012"/>
    <n v="6900"/>
    <n v="13285"/>
  </r>
  <r>
    <x v="5"/>
    <s v="Q1"/>
    <d v="2010-11-01T00:00:00"/>
    <n v="13710"/>
    <n v="5591"/>
    <n v="1740"/>
    <n v="750"/>
    <n v="28097"/>
    <n v="2840"/>
    <n v="0"/>
    <n v="52728"/>
    <n v="7331"/>
    <n v="13710"/>
  </r>
  <r>
    <x v="5"/>
    <s v="Q1"/>
    <d v="2010-12-01T00:00:00"/>
    <n v="15330"/>
    <n v="5330"/>
    <n v="2180"/>
    <n v="600"/>
    <n v="24117"/>
    <n v="2753"/>
    <n v="0"/>
    <n v="50310"/>
    <n v="7510"/>
    <n v="15330"/>
  </r>
  <r>
    <x v="5"/>
    <s v="Q1"/>
    <d v="2011-01-01T00:00:00"/>
    <n v="12528"/>
    <n v="4078"/>
    <n v="2130"/>
    <n v="1160"/>
    <n v="23657"/>
    <n v="2743"/>
    <n v="0"/>
    <n v="46296"/>
    <n v="6208"/>
    <n v="12528"/>
  </r>
  <r>
    <x v="5"/>
    <s v="Q2"/>
    <d v="2011-02-01T00:00:00"/>
    <n v="13016"/>
    <n v="5235"/>
    <n v="1925"/>
    <n v="820"/>
    <n v="24694"/>
    <n v="2855"/>
    <n v="0"/>
    <n v="48545"/>
    <n v="7160"/>
    <n v="13016"/>
  </r>
  <r>
    <x v="5"/>
    <s v="Q2"/>
    <d v="2011-03-01T00:00:00"/>
    <n v="17914"/>
    <n v="6870"/>
    <n v="1912"/>
    <n v="866"/>
    <n v="28876"/>
    <n v="3191"/>
    <n v="0"/>
    <n v="59629"/>
    <n v="8782"/>
    <n v="17914"/>
  </r>
  <r>
    <x v="5"/>
    <s v="Q2"/>
    <d v="2011-04-01T00:00:00"/>
    <n v="14175"/>
    <n v="5030"/>
    <n v="1995"/>
    <n v="875"/>
    <n v="26671"/>
    <n v="3329"/>
    <n v="0"/>
    <n v="52075"/>
    <n v="7025"/>
    <n v="14175"/>
  </r>
  <r>
    <x v="5"/>
    <s v="Q3"/>
    <d v="2011-05-01T00:00:00"/>
    <n v="16040"/>
    <n v="5167"/>
    <n v="2020"/>
    <n v="990"/>
    <n v="26957"/>
    <n v="2650"/>
    <n v="0"/>
    <n v="53824"/>
    <n v="7187"/>
    <n v="16040"/>
  </r>
  <r>
    <x v="5"/>
    <s v="Q3"/>
    <d v="2011-06-01T00:00:00"/>
    <n v="18826"/>
    <n v="5209"/>
    <n v="2410"/>
    <n v="955"/>
    <n v="29016"/>
    <n v="3382"/>
    <n v="0"/>
    <n v="59798"/>
    <n v="7619"/>
    <n v="18826"/>
  </r>
  <r>
    <x v="5"/>
    <s v="Q3"/>
    <d v="2011-07-01T00:00:00"/>
    <n v="13227"/>
    <n v="3314"/>
    <n v="2465"/>
    <n v="831"/>
    <n v="25931"/>
    <n v="2523"/>
    <n v="0"/>
    <n v="48291"/>
    <n v="5779"/>
    <n v="13227"/>
  </r>
  <r>
    <x v="5"/>
    <s v="Q4"/>
    <d v="2011-08-01T00:00:00"/>
    <n v="14294"/>
    <n v="4972"/>
    <n v="2050"/>
    <n v="1120"/>
    <n v="27858"/>
    <n v="2552"/>
    <n v="0"/>
    <n v="52846"/>
    <n v="7022"/>
    <n v="14294"/>
  </r>
  <r>
    <x v="5"/>
    <s v="Q4"/>
    <d v="2011-09-01T00:00:00"/>
    <n v="18665"/>
    <n v="1470"/>
    <n v="2180"/>
    <n v="855"/>
    <n v="28215"/>
    <n v="4036"/>
    <n v="0"/>
    <n v="55421"/>
    <n v="3650"/>
    <n v="18665"/>
  </r>
  <r>
    <x v="5"/>
    <s v="Q4"/>
    <d v="2011-10-01T00:00:00"/>
    <n v="15909"/>
    <n v="4030"/>
    <n v="3050"/>
    <n v="1015"/>
    <n v="29614"/>
    <n v="2640"/>
    <n v="0"/>
    <n v="56258"/>
    <n v="7080"/>
    <n v="15909"/>
  </r>
  <r>
    <x v="6"/>
    <s v="Q1"/>
    <d v="2011-11-01T00:00:00"/>
    <n v="15085"/>
    <n v="5627"/>
    <n v="2155"/>
    <n v="865"/>
    <n v="29437"/>
    <n v="2474"/>
    <n v="0"/>
    <n v="55643"/>
    <n v="7782"/>
    <n v="15085"/>
  </r>
  <r>
    <x v="6"/>
    <s v="Q1"/>
    <d v="2011-12-01T00:00:00"/>
    <n v="18870"/>
    <n v="6262"/>
    <n v="2508"/>
    <n v="915"/>
    <n v="26522.899999999998"/>
    <n v="2762"/>
    <n v="0"/>
    <n v="57839.899999999994"/>
    <n v="8770"/>
    <n v="18870"/>
  </r>
  <r>
    <x v="6"/>
    <s v="Q1"/>
    <d v="2012-01-01T00:00:00"/>
    <n v="16479"/>
    <n v="4724"/>
    <n v="4340"/>
    <n v="993"/>
    <n v="27435.4"/>
    <n v="2147"/>
    <n v="0"/>
    <n v="56118.400000000001"/>
    <n v="9064"/>
    <n v="16479"/>
  </r>
  <r>
    <x v="6"/>
    <s v="Q2"/>
    <d v="2012-02-01T00:00:00"/>
    <n v="16020"/>
    <n v="5123"/>
    <n v="3850"/>
    <n v="860"/>
    <n v="30187.4"/>
    <n v="2157"/>
    <n v="0"/>
    <n v="58197.4"/>
    <n v="8973"/>
    <n v="16020"/>
  </r>
  <r>
    <x v="6"/>
    <s v="Q2"/>
    <d v="2012-03-01T00:00:00"/>
    <n v="22932"/>
    <n v="3743"/>
    <n v="4295"/>
    <n v="862"/>
    <n v="29836"/>
    <n v="2592"/>
    <n v="0"/>
    <n v="64260"/>
    <n v="8038"/>
    <n v="22932"/>
  </r>
  <r>
    <x v="6"/>
    <s v="Q2"/>
    <d v="2012-04-01T00:00:00"/>
    <n v="15192"/>
    <n v="4294"/>
    <n v="3872"/>
    <n v="1010"/>
    <n v="26583"/>
    <n v="2128"/>
    <n v="0"/>
    <n v="53079"/>
    <n v="8166"/>
    <n v="15192"/>
  </r>
  <r>
    <x v="6"/>
    <s v="Q3"/>
    <d v="2012-05-01T00:00:00"/>
    <n v="21676"/>
    <n v="5928"/>
    <n v="4895"/>
    <n v="820"/>
    <n v="31684"/>
    <n v="2577"/>
    <n v="0"/>
    <n v="67580"/>
    <n v="10823"/>
    <n v="21676"/>
  </r>
</pivotCacheRecords>
</file>

<file path=xl/pivotCache/pivotCacheRecords2.xml><?xml version="1.0" encoding="utf-8"?>
<pivotCacheRecords xmlns="http://schemas.openxmlformats.org/spreadsheetml/2006/main" xmlns:r="http://schemas.openxmlformats.org/officeDocument/2006/relationships" count="74">
  <r>
    <s v="ON"/>
    <s v="IRL"/>
    <x v="0"/>
    <x v="0"/>
    <d v="2006-04-01T00:00:00"/>
    <n v="6740"/>
    <n v="3490"/>
    <n v="1000"/>
    <n v="1200"/>
    <n v="15441"/>
    <m/>
    <n v="960"/>
    <n v="28831"/>
    <n v="4490"/>
    <n v="7700"/>
  </r>
  <r>
    <s v="ON"/>
    <s v="IRL"/>
    <x v="0"/>
    <x v="1"/>
    <d v="2006-05-01T00:00:00"/>
    <n v="7120"/>
    <n v="3470"/>
    <n v="1250"/>
    <n v="1500"/>
    <n v="18584"/>
    <m/>
    <n v="1200"/>
    <n v="33124"/>
    <n v="4720"/>
    <n v="8320"/>
  </r>
  <r>
    <s v="ON"/>
    <s v="IRL"/>
    <x v="0"/>
    <x v="1"/>
    <d v="2006-06-01T00:00:00"/>
    <n v="9650"/>
    <n v="3510"/>
    <n v="1000"/>
    <n v="1200"/>
    <n v="18692"/>
    <m/>
    <n v="960"/>
    <n v="35012"/>
    <n v="4510"/>
    <n v="10610"/>
  </r>
  <r>
    <s v="ON"/>
    <s v="IRL"/>
    <x v="0"/>
    <x v="1"/>
    <d v="2006-07-01T00:00:00"/>
    <n v="5910"/>
    <n v="3380"/>
    <n v="1000"/>
    <n v="1500"/>
    <n v="16532"/>
    <m/>
    <n v="960"/>
    <n v="29282"/>
    <n v="4380"/>
    <n v="6870"/>
  </r>
  <r>
    <s v="ON"/>
    <s v="IRL"/>
    <x v="0"/>
    <x v="2"/>
    <d v="2006-08-01T00:00:00"/>
    <n v="8990"/>
    <n v="2500"/>
    <n v="1250"/>
    <n v="1200"/>
    <n v="17230"/>
    <m/>
    <n v="1200"/>
    <n v="32370"/>
    <n v="3750"/>
    <n v="10190"/>
  </r>
  <r>
    <s v="ON"/>
    <s v="IRL"/>
    <x v="0"/>
    <x v="2"/>
    <d v="2006-09-01T00:00:00"/>
    <n v="8100"/>
    <n v="2390"/>
    <n v="1000"/>
    <n v="1200"/>
    <n v="16291"/>
    <m/>
    <n v="960"/>
    <n v="29941"/>
    <n v="3390"/>
    <n v="9060"/>
  </r>
  <r>
    <s v="ON"/>
    <s v="IRL"/>
    <x v="0"/>
    <x v="2"/>
    <d v="2006-10-01T00:00:00"/>
    <n v="8980"/>
    <n v="2690"/>
    <n v="1000"/>
    <n v="1500"/>
    <n v="17221"/>
    <m/>
    <n v="960"/>
    <n v="32351"/>
    <n v="3690"/>
    <n v="9940"/>
  </r>
  <r>
    <s v="ON"/>
    <s v="IRL"/>
    <x v="1"/>
    <x v="3"/>
    <d v="2006-11-01T00:00:00"/>
    <n v="10140"/>
    <n v="3270"/>
    <n v="1250"/>
    <n v="1200"/>
    <n v="17686"/>
    <m/>
    <n v="1200"/>
    <n v="34746"/>
    <n v="4520"/>
    <n v="11340"/>
  </r>
  <r>
    <s v="ON"/>
    <s v="IRL"/>
    <x v="1"/>
    <x v="3"/>
    <d v="2006-12-01T00:00:00"/>
    <n v="6620"/>
    <n v="2170"/>
    <n v="1000"/>
    <n v="1200"/>
    <n v="15302"/>
    <m/>
    <n v="960"/>
    <n v="27252"/>
    <n v="3170"/>
    <n v="7580"/>
  </r>
  <r>
    <s v="ON"/>
    <s v="IRL"/>
    <x v="1"/>
    <x v="3"/>
    <d v="2007-01-01T00:00:00"/>
    <n v="7270"/>
    <n v="1940"/>
    <n v="1250"/>
    <n v="1500"/>
    <n v="16325"/>
    <m/>
    <n v="1200"/>
    <n v="29485"/>
    <n v="3190"/>
    <n v="8470"/>
  </r>
  <r>
    <s v="ON"/>
    <s v="IRL"/>
    <x v="1"/>
    <x v="0"/>
    <d v="2007-02-01T00:00:00"/>
    <n v="8310"/>
    <n v="3460"/>
    <n v="1000"/>
    <n v="1200"/>
    <n v="16653"/>
    <m/>
    <n v="960"/>
    <n v="31583"/>
    <n v="4460"/>
    <n v="9270"/>
  </r>
  <r>
    <s v="ON"/>
    <s v="IRL"/>
    <x v="1"/>
    <x v="0"/>
    <d v="2007-03-01T00:00:00"/>
    <n v="9710"/>
    <n v="3410"/>
    <n v="1000"/>
    <n v="1200"/>
    <n v="17555"/>
    <m/>
    <n v="960"/>
    <n v="33835"/>
    <n v="4410"/>
    <n v="10670"/>
  </r>
  <r>
    <s v="ON"/>
    <s v="IRL"/>
    <x v="1"/>
    <x v="0"/>
    <d v="2007-04-01T00:00:00"/>
    <n v="7730"/>
    <n v="3410"/>
    <n v="1000"/>
    <n v="1200"/>
    <n v="18148"/>
    <m/>
    <n v="960"/>
    <n v="32448"/>
    <n v="4410"/>
    <n v="8690"/>
  </r>
  <r>
    <s v="ON"/>
    <s v="IRL"/>
    <x v="1"/>
    <x v="1"/>
    <d v="2007-05-01T00:00:00"/>
    <n v="9780"/>
    <n v="2900"/>
    <n v="1250"/>
    <n v="1200"/>
    <n v="18259"/>
    <m/>
    <n v="960"/>
    <n v="34349"/>
    <n v="4150"/>
    <n v="10740"/>
  </r>
  <r>
    <s v="ON"/>
    <s v="IRL"/>
    <x v="1"/>
    <x v="1"/>
    <d v="2007-06-01T00:00:00"/>
    <n v="7970"/>
    <n v="43560"/>
    <n v="1000"/>
    <n v="1200"/>
    <n v="18431"/>
    <m/>
    <n v="240"/>
    <n v="72401"/>
    <n v="44560"/>
    <n v="8210"/>
  </r>
  <r>
    <s v="ON"/>
    <s v="IRL"/>
    <x v="1"/>
    <x v="1"/>
    <d v="2007-07-01T00:00:00"/>
    <n v="8000"/>
    <n v="3460"/>
    <n v="1000"/>
    <n v="1200"/>
    <n v="16483"/>
    <m/>
    <n v="240"/>
    <n v="30383"/>
    <n v="4460"/>
    <n v="8240"/>
  </r>
  <r>
    <s v="ON"/>
    <s v="IRL"/>
    <x v="1"/>
    <x v="2"/>
    <d v="2007-08-01T00:00:00"/>
    <n v="8580"/>
    <n v="2580"/>
    <n v="1250"/>
    <n v="1200"/>
    <n v="17603"/>
    <m/>
    <n v="240"/>
    <n v="31453"/>
    <n v="3830"/>
    <n v="8820"/>
  </r>
  <r>
    <s v="ON"/>
    <s v="IRL"/>
    <x v="1"/>
    <x v="2"/>
    <d v="2007-09-01T00:00:00"/>
    <n v="7420"/>
    <n v="2310"/>
    <n v="1000"/>
    <n v="2400"/>
    <n v="15983"/>
    <m/>
    <n v="240"/>
    <n v="29353"/>
    <n v="3310"/>
    <n v="7660"/>
  </r>
  <r>
    <s v="ON"/>
    <s v="IRL"/>
    <x v="1"/>
    <x v="2"/>
    <d v="2007-10-01T00:00:00"/>
    <n v="8030"/>
    <n v="2230"/>
    <n v="1250"/>
    <n v="3000"/>
    <n v="19524"/>
    <m/>
    <n v="240"/>
    <n v="34274"/>
    <n v="3480"/>
    <n v="8270"/>
  </r>
  <r>
    <s v="ON"/>
    <s v="IRL"/>
    <x v="2"/>
    <x v="3"/>
    <d v="2007-11-01T00:00:00"/>
    <n v="12050"/>
    <n v="3360"/>
    <n v="1000"/>
    <n v="2400"/>
    <n v="19510"/>
    <m/>
    <n v="240"/>
    <n v="38560"/>
    <n v="4360"/>
    <n v="12290"/>
  </r>
  <r>
    <s v="ON"/>
    <s v="IRL"/>
    <x v="2"/>
    <x v="3"/>
    <d v="2007-12-01T00:00:00"/>
    <n v="7900"/>
    <n v="2080"/>
    <n v="1000"/>
    <n v="2400"/>
    <n v="14739"/>
    <m/>
    <n v="240"/>
    <n v="28359"/>
    <n v="3080"/>
    <n v="8140"/>
  </r>
  <r>
    <s v="ON"/>
    <s v="IRL"/>
    <x v="2"/>
    <x v="3"/>
    <d v="2008-01-01T00:00:00"/>
    <n v="1150"/>
    <n v="3690"/>
    <n v="1250"/>
    <n v="600"/>
    <n v="18992"/>
    <m/>
    <n v="240"/>
    <n v="25922"/>
    <n v="4940"/>
    <n v="1390"/>
  </r>
  <r>
    <s v="ON"/>
    <s v="IRL"/>
    <x v="2"/>
    <x v="0"/>
    <d v="2008-02-01T00:00:00"/>
    <n v="7940"/>
    <n v="4460"/>
    <n v="1000"/>
    <n v="600"/>
    <n v="17819"/>
    <m/>
    <n v="240"/>
    <n v="32059"/>
    <n v="5460"/>
    <n v="8180"/>
  </r>
  <r>
    <s v="ON"/>
    <s v="IRL"/>
    <x v="2"/>
    <x v="0"/>
    <d v="2008-03-01T00:00:00"/>
    <n v="8620"/>
    <n v="2970"/>
    <n v="1000"/>
    <n v="750"/>
    <n v="17564"/>
    <m/>
    <n v="240"/>
    <n v="31144"/>
    <n v="3970"/>
    <n v="8860"/>
  </r>
  <r>
    <s v="ON"/>
    <s v="IRL"/>
    <x v="2"/>
    <x v="0"/>
    <d v="2008-04-01T00:00:00"/>
    <n v="8460"/>
    <n v="2550"/>
    <n v="1250"/>
    <n v="600"/>
    <n v="21642"/>
    <m/>
    <n v="240"/>
    <n v="34742"/>
    <n v="3800"/>
    <n v="8700"/>
  </r>
  <r>
    <s v="ON"/>
    <s v="IRL"/>
    <x v="2"/>
    <x v="1"/>
    <d v="2008-05-01T00:00:00"/>
    <n v="10150"/>
    <n v="2880"/>
    <n v="1000"/>
    <n v="600"/>
    <n v="20711"/>
    <m/>
    <n v="240"/>
    <n v="35581"/>
    <n v="3880"/>
    <n v="10390"/>
  </r>
  <r>
    <s v="ON"/>
    <s v="IRL"/>
    <x v="2"/>
    <x v="1"/>
    <d v="2008-06-01T00:00:00"/>
    <n v="10240"/>
    <n v="2820"/>
    <n v="1000"/>
    <n v="750"/>
    <n v="18842"/>
    <m/>
    <n v="240"/>
    <n v="33892"/>
    <n v="3820"/>
    <n v="10480"/>
  </r>
  <r>
    <s v="ON"/>
    <s v="IRL"/>
    <x v="2"/>
    <x v="1"/>
    <d v="2008-07-01T00:00:00"/>
    <n v="12290"/>
    <n v="4400"/>
    <n v="1250"/>
    <n v="600"/>
    <n v="19507"/>
    <m/>
    <n v="240"/>
    <n v="38287"/>
    <n v="5650"/>
    <n v="12530"/>
  </r>
  <r>
    <s v="ON"/>
    <s v="IRL"/>
    <x v="2"/>
    <x v="2"/>
    <d v="2008-08-01T00:00:00"/>
    <n v="9220"/>
    <n v="2330"/>
    <n v="1000"/>
    <n v="750"/>
    <n v="16826"/>
    <m/>
    <n v="240"/>
    <n v="30366"/>
    <n v="3330"/>
    <n v="9460"/>
  </r>
  <r>
    <s v="ON"/>
    <s v="IRL"/>
    <x v="2"/>
    <x v="2"/>
    <d v="2008-09-01T00:00:00"/>
    <n v="9630"/>
    <n v="2520"/>
    <n v="1300"/>
    <n v="600"/>
    <n v="17161"/>
    <m/>
    <n v="240"/>
    <n v="31451"/>
    <n v="3820"/>
    <n v="9870"/>
  </r>
  <r>
    <s v="ON"/>
    <s v="IRL"/>
    <x v="2"/>
    <x v="2"/>
    <d v="2008-10-01T00:00:00"/>
    <n v="10010"/>
    <n v="2550"/>
    <n v="1600"/>
    <n v="600"/>
    <n v="19189"/>
    <m/>
    <n v="0"/>
    <n v="33949"/>
    <n v="4150"/>
    <n v="10010"/>
  </r>
  <r>
    <s v="ON"/>
    <s v="IRL"/>
    <x v="3"/>
    <x v="3"/>
    <d v="2008-11-01T00:00:00"/>
    <n v="8750"/>
    <n v="2670"/>
    <n v="1300"/>
    <n v="750"/>
    <n v="17052"/>
    <m/>
    <n v="0"/>
    <n v="30522"/>
    <n v="3970"/>
    <n v="8750"/>
  </r>
  <r>
    <s v="ON"/>
    <s v="IRL"/>
    <x v="3"/>
    <x v="3"/>
    <d v="2008-12-01T00:00:00"/>
    <n v="9470"/>
    <n v="3260"/>
    <n v="1600"/>
    <n v="600"/>
    <n v="16033"/>
    <m/>
    <n v="0"/>
    <n v="30963"/>
    <n v="4860"/>
    <n v="9470"/>
  </r>
  <r>
    <s v="ON"/>
    <s v="IRL"/>
    <x v="3"/>
    <x v="3"/>
    <d v="2009-01-01T00:00:00"/>
    <n v="12250"/>
    <n v="1920"/>
    <n v="1000"/>
    <n v="600"/>
    <n v="16491"/>
    <n v="1806"/>
    <n v="0"/>
    <n v="34067"/>
    <n v="2920"/>
    <n v="12250"/>
  </r>
  <r>
    <s v="ON"/>
    <s v="IRL"/>
    <x v="3"/>
    <x v="0"/>
    <d v="2009-02-01T00:00:00"/>
    <n v="13780"/>
    <n v="2620"/>
    <n v="1000"/>
    <n v="750"/>
    <n v="15979"/>
    <n v="1757"/>
    <n v="0"/>
    <n v="35886"/>
    <n v="3620"/>
    <n v="13780"/>
  </r>
  <r>
    <s v="ON"/>
    <s v="IRL"/>
    <x v="3"/>
    <x v="0"/>
    <d v="2009-03-01T00:00:00"/>
    <n v="12650"/>
    <n v="3270"/>
    <n v="1000"/>
    <n v="600"/>
    <n v="18678"/>
    <n v="1619"/>
    <n v="0"/>
    <n v="37817"/>
    <n v="4270"/>
    <n v="12650"/>
  </r>
  <r>
    <s v="ON"/>
    <s v="IRL"/>
    <x v="3"/>
    <x v="0"/>
    <d v="2009-04-01T00:00:00"/>
    <n v="10500"/>
    <n v="1920"/>
    <n v="1000"/>
    <n v="600"/>
    <n v="17471"/>
    <n v="2601"/>
    <n v="240"/>
    <n v="34332"/>
    <n v="2920"/>
    <n v="10740"/>
  </r>
  <r>
    <s v="ON"/>
    <s v="IRL"/>
    <x v="3"/>
    <x v="1"/>
    <d v="2009-05-01T00:00:00"/>
    <n v="11640"/>
    <n v="3090"/>
    <n v="1960"/>
    <n v="600"/>
    <n v="18331"/>
    <n v="1974"/>
    <n v="4360"/>
    <n v="41955"/>
    <n v="5050"/>
    <n v="16000"/>
  </r>
  <r>
    <s v="ON"/>
    <s v="IRL"/>
    <x v="3"/>
    <x v="1"/>
    <d v="2009-06-01T00:00:00"/>
    <n v="7090"/>
    <n v="2350"/>
    <n v="1740"/>
    <n v="600"/>
    <n v="19276"/>
    <n v="1974"/>
    <n v="0"/>
    <n v="33030"/>
    <n v="4090"/>
    <n v="7090"/>
  </r>
  <r>
    <s v="ON"/>
    <s v="IRL"/>
    <x v="3"/>
    <x v="1"/>
    <d v="2009-07-01T00:00:00"/>
    <n v="10970"/>
    <n v="1140"/>
    <n v="2180"/>
    <n v="600"/>
    <n v="18405"/>
    <n v="2640"/>
    <n v="0"/>
    <n v="35935"/>
    <n v="3320"/>
    <n v="10970"/>
  </r>
  <r>
    <s v="ON"/>
    <s v="IRL"/>
    <x v="3"/>
    <x v="2"/>
    <d v="2009-08-01T00:00:00"/>
    <n v="10260"/>
    <n v="2920"/>
    <n v="1740"/>
    <n v="600"/>
    <n v="16499"/>
    <n v="2122"/>
    <n v="0"/>
    <n v="34141"/>
    <n v="4660"/>
    <n v="10260"/>
  </r>
  <r>
    <s v="ON"/>
    <s v="IRL"/>
    <x v="3"/>
    <x v="2"/>
    <d v="2009-09-01T00:00:00"/>
    <n v="11340"/>
    <n v="2300"/>
    <n v="1740"/>
    <n v="600"/>
    <n v="19743"/>
    <n v="2541"/>
    <n v="0"/>
    <n v="38264"/>
    <n v="4040"/>
    <n v="11340"/>
  </r>
  <r>
    <s v="ON"/>
    <s v="IRL"/>
    <x v="3"/>
    <x v="2"/>
    <d v="2009-10-01T00:00:00"/>
    <n v="12600"/>
    <n v="1300"/>
    <n v="2180"/>
    <n v="750"/>
    <n v="19903"/>
    <n v="1974"/>
    <n v="0"/>
    <n v="38707"/>
    <n v="3480"/>
    <n v="12600"/>
  </r>
  <r>
    <s v="ON"/>
    <s v="IRL"/>
    <x v="4"/>
    <x v="3"/>
    <d v="2009-11-01T00:00:00"/>
    <n v="9840"/>
    <n v="2330"/>
    <n v="1740"/>
    <n v="600"/>
    <n v="17465"/>
    <n v="1998"/>
    <n v="3320"/>
    <n v="37293"/>
    <n v="4070"/>
    <n v="13160"/>
  </r>
  <r>
    <s v="ON"/>
    <s v="IRL"/>
    <x v="4"/>
    <x v="3"/>
    <d v="2009-12-01T00:00:00"/>
    <n v="10290"/>
    <n v="2360"/>
    <n v="2180"/>
    <n v="750"/>
    <n v="18273"/>
    <n v="2472"/>
    <n v="0"/>
    <n v="36325"/>
    <n v="4540"/>
    <n v="10290"/>
  </r>
  <r>
    <s v="ON"/>
    <s v="IRL"/>
    <x v="4"/>
    <x v="3"/>
    <d v="2010-01-01T00:00:00"/>
    <n v="8540"/>
    <n v="2000"/>
    <n v="1740"/>
    <n v="600"/>
    <n v="17059"/>
    <n v="2050"/>
    <n v="0"/>
    <n v="31989"/>
    <n v="3740"/>
    <n v="8540"/>
  </r>
  <r>
    <s v="ON"/>
    <s v="IRL"/>
    <x v="4"/>
    <x v="0"/>
    <d v="2010-02-01T00:00:00"/>
    <n v="8490"/>
    <n v="2000"/>
    <n v="1740"/>
    <n v="600"/>
    <n v="17373"/>
    <n v="2137"/>
    <n v="0"/>
    <n v="32340"/>
    <n v="3740"/>
    <n v="8490"/>
  </r>
  <r>
    <s v="ON"/>
    <s v="IRL"/>
    <x v="4"/>
    <x v="0"/>
    <d v="2010-03-01T00:00:00"/>
    <n v="9330"/>
    <n v="3050"/>
    <n v="2180"/>
    <n v="750"/>
    <n v="19988"/>
    <n v="2772"/>
    <n v="0"/>
    <n v="38070"/>
    <n v="5230"/>
    <n v="9330"/>
  </r>
  <r>
    <s v="ON"/>
    <s v="IRL"/>
    <x v="4"/>
    <x v="0"/>
    <d v="2010-04-01T00:00:00"/>
    <n v="12020"/>
    <n v="2790"/>
    <n v="1740"/>
    <n v="600"/>
    <n v="19059"/>
    <n v="2074"/>
    <n v="0"/>
    <n v="38283"/>
    <n v="4530"/>
    <n v="12020"/>
  </r>
  <r>
    <s v="ON"/>
    <s v="IRL"/>
    <x v="4"/>
    <x v="1"/>
    <d v="2010-05-01T00:00:00"/>
    <n v="9610"/>
    <n v="3850"/>
    <n v="1740"/>
    <n v="750"/>
    <n v="18197"/>
    <n v="2050"/>
    <n v="0"/>
    <n v="36197"/>
    <n v="5590"/>
    <n v="9610"/>
  </r>
  <r>
    <s v="ON"/>
    <s v="IRL"/>
    <x v="4"/>
    <x v="1"/>
    <d v="2010-06-01T00:00:00"/>
    <n v="9640"/>
    <n v="2920"/>
    <n v="1740"/>
    <n v="600"/>
    <n v="19753"/>
    <n v="2064"/>
    <n v="0"/>
    <n v="36717"/>
    <n v="4660"/>
    <n v="9640"/>
  </r>
  <r>
    <s v="ON"/>
    <s v="IRL"/>
    <x v="4"/>
    <x v="1"/>
    <d v="2010-07-01T00:00:00"/>
    <n v="10160"/>
    <n v="2780"/>
    <n v="2180"/>
    <n v="600"/>
    <n v="18743"/>
    <n v="2562"/>
    <n v="0"/>
    <n v="37025"/>
    <n v="4960"/>
    <n v="10160"/>
  </r>
  <r>
    <s v="ON"/>
    <s v="IRL"/>
    <x v="4"/>
    <x v="2"/>
    <d v="2010-08-01T00:00:00"/>
    <n v="7530"/>
    <n v="2740"/>
    <n v="1740"/>
    <n v="750"/>
    <n v="18210"/>
    <n v="2079"/>
    <n v="0"/>
    <n v="33049"/>
    <n v="4480"/>
    <n v="7530"/>
  </r>
  <r>
    <s v="ON"/>
    <s v="IRL"/>
    <x v="4"/>
    <x v="2"/>
    <d v="2010-09-01T00:00:00"/>
    <n v="10700"/>
    <n v="4580"/>
    <n v="2180"/>
    <n v="750"/>
    <n v="18456"/>
    <n v="2708"/>
    <n v="0"/>
    <n v="39374"/>
    <n v="6760"/>
    <n v="10700"/>
  </r>
  <r>
    <s v="ON"/>
    <s v="IRL"/>
    <x v="4"/>
    <x v="2"/>
    <d v="2010-10-01T00:00:00"/>
    <n v="9110"/>
    <n v="2830"/>
    <n v="1740"/>
    <n v="600"/>
    <n v="18029"/>
    <n v="2050"/>
    <n v="0"/>
    <n v="34359"/>
    <n v="4570"/>
    <n v="9110"/>
  </r>
  <r>
    <s v="ON"/>
    <s v="IRL"/>
    <x v="5"/>
    <x v="3"/>
    <d v="2010-11-01T00:00:00"/>
    <n v="9170"/>
    <n v="3160"/>
    <n v="1740"/>
    <n v="750"/>
    <n v="20303"/>
    <n v="2074"/>
    <n v="0"/>
    <n v="37197"/>
    <n v="4900"/>
    <n v="9170"/>
  </r>
  <r>
    <s v="ON"/>
    <s v="IRL"/>
    <x v="5"/>
    <x v="3"/>
    <d v="2010-12-01T00:00:00"/>
    <n v="10150"/>
    <n v="2830"/>
    <n v="2180"/>
    <n v="600"/>
    <n v="16620"/>
    <n v="2167"/>
    <n v="0"/>
    <n v="34547"/>
    <n v="5010"/>
    <n v="10150"/>
  </r>
  <r>
    <s v="ON"/>
    <s v="IRL"/>
    <x v="5"/>
    <x v="3"/>
    <d v="2011-01-01T00:00:00"/>
    <n v="7510"/>
    <n v="1970"/>
    <n v="1740"/>
    <n v="750"/>
    <n v="16196"/>
    <n v="2196"/>
    <n v="0"/>
    <n v="30362"/>
    <n v="3710"/>
    <n v="7510"/>
  </r>
  <r>
    <s v="ON"/>
    <s v="IRL"/>
    <x v="5"/>
    <x v="0"/>
    <d v="2011-02-01T00:00:00"/>
    <n v="8300"/>
    <n v="3020"/>
    <n v="1740"/>
    <n v="600"/>
    <n v="16882"/>
    <n v="2074"/>
    <n v="0"/>
    <n v="32616"/>
    <n v="4760"/>
    <n v="8300"/>
  </r>
  <r>
    <s v="ON"/>
    <s v="IRL"/>
    <x v="5"/>
    <x v="0"/>
    <d v="2011-03-01T00:00:00"/>
    <n v="11990"/>
    <n v="4530"/>
    <n v="1740"/>
    <n v="600"/>
    <n v="20114"/>
    <n v="2557"/>
    <n v="0"/>
    <n v="41531"/>
    <n v="6270"/>
    <n v="11990"/>
  </r>
  <r>
    <s v="ON"/>
    <s v="IRL"/>
    <x v="5"/>
    <x v="0"/>
    <d v="2011-04-01T00:00:00"/>
    <n v="9950"/>
    <n v="2950"/>
    <n v="1740"/>
    <n v="600"/>
    <n v="18607"/>
    <n v="2050"/>
    <n v="0"/>
    <n v="35897"/>
    <n v="4690"/>
    <n v="9950"/>
  </r>
  <r>
    <s v="ON"/>
    <s v="IRL"/>
    <x v="5"/>
    <x v="1"/>
    <d v="2011-05-01T00:00:00"/>
    <n v="11410"/>
    <n v="2870"/>
    <n v="1740"/>
    <n v="750"/>
    <n v="18887"/>
    <n v="2025"/>
    <n v="0"/>
    <n v="37682"/>
    <n v="4610"/>
    <n v="11410"/>
  </r>
  <r>
    <s v="ON"/>
    <s v="IRL"/>
    <x v="5"/>
    <x v="1"/>
    <d v="2011-06-01T00:00:00"/>
    <n v="14150"/>
    <n v="3290"/>
    <n v="2175"/>
    <n v="750"/>
    <n v="20737"/>
    <n v="2752"/>
    <n v="0"/>
    <n v="43854"/>
    <n v="5465"/>
    <n v="14150"/>
  </r>
  <r>
    <s v="ON"/>
    <s v="IRL"/>
    <x v="5"/>
    <x v="1"/>
    <d v="2011-07-01T00:00:00"/>
    <n v="8970"/>
    <n v="1670"/>
    <n v="2180"/>
    <n v="600"/>
    <n v="17905"/>
    <n v="1976"/>
    <n v="0"/>
    <n v="33301"/>
    <n v="3850"/>
    <n v="8970"/>
  </r>
  <r>
    <s v="ON"/>
    <s v="IRL"/>
    <x v="5"/>
    <x v="2"/>
    <d v="2011-08-01T00:00:00"/>
    <n v="8820"/>
    <n v="3080"/>
    <n v="1740"/>
    <n v="900"/>
    <n v="19796"/>
    <n v="2113"/>
    <n v="0"/>
    <n v="36449"/>
    <n v="4820"/>
    <n v="8820"/>
  </r>
  <r>
    <s v="ON"/>
    <s v="IRL"/>
    <x v="5"/>
    <x v="2"/>
    <d v="2011-09-01T00:00:00"/>
    <n v="12550"/>
    <n v="1470"/>
    <n v="2180"/>
    <n v="600"/>
    <n v="20152"/>
    <n v="3221"/>
    <n v="0"/>
    <n v="40173"/>
    <n v="3650"/>
    <n v="12550"/>
  </r>
  <r>
    <s v="ON"/>
    <s v="IRL"/>
    <x v="5"/>
    <x v="2"/>
    <d v="2011-10-01T00:00:00"/>
    <n v="10090"/>
    <n v="4030"/>
    <n v="3050"/>
    <n v="750"/>
    <n v="21412"/>
    <n v="2069"/>
    <n v="0"/>
    <n v="41401"/>
    <n v="7080"/>
    <n v="10090"/>
  </r>
  <r>
    <s v="ON"/>
    <s v="IRL"/>
    <x v="6"/>
    <x v="3"/>
    <d v="2011-11-01T00:00:00"/>
    <n v="9366"/>
    <n v="3200"/>
    <n v="1740"/>
    <n v="600"/>
    <n v="21397"/>
    <n v="1947"/>
    <n v="0"/>
    <n v="38250"/>
    <n v="4940"/>
    <n v="9366"/>
  </r>
  <r>
    <s v="ON"/>
    <s v="IRL"/>
    <x v="6"/>
    <x v="3"/>
    <d v="2011-12-01T00:00:00"/>
    <n v="12630"/>
    <n v="4370"/>
    <n v="2180"/>
    <n v="600"/>
    <n v="18755.099999999999"/>
    <n v="2035"/>
    <m/>
    <n v="40570.1"/>
    <n v="6550"/>
    <n v="12630"/>
  </r>
  <r>
    <s v="ON"/>
    <s v="IRL"/>
    <x v="6"/>
    <x v="3"/>
    <d v="2012-01-01T00:00:00"/>
    <n v="9400"/>
    <n v="2740"/>
    <n v="3920"/>
    <n v="750"/>
    <n v="19676.7"/>
    <n v="1625"/>
    <m/>
    <n v="38111.699999999997"/>
    <n v="6660"/>
    <n v="9400"/>
  </r>
  <r>
    <s v="ON"/>
    <s v="IRL"/>
    <x v="6"/>
    <x v="0"/>
    <d v="2012-02-01T00:00:00"/>
    <n v="9380"/>
    <n v="2930"/>
    <n v="3480"/>
    <n v="600"/>
    <n v="19974.3"/>
    <n v="1523"/>
    <m/>
    <n v="37887.300000000003"/>
    <n v="6410"/>
    <n v="9380"/>
  </r>
  <r>
    <s v="ON"/>
    <s v="IRL"/>
    <x v="6"/>
    <x v="0"/>
    <d v="2012-03-01T00:00:00"/>
    <n v="15790"/>
    <n v="1800"/>
    <n v="3920"/>
    <n v="600"/>
    <n v="21160.3"/>
    <n v="1928"/>
    <m/>
    <n v="45198.3"/>
    <n v="5720"/>
    <n v="15790"/>
  </r>
  <r>
    <s v="ON"/>
    <s v="IRL"/>
    <x v="6"/>
    <x v="0"/>
    <d v="2012-04-01T00:00:00"/>
    <n v="9190"/>
    <n v="2370"/>
    <n v="3480"/>
    <n v="750"/>
    <n v="18815.3"/>
    <n v="1664"/>
    <m/>
    <n v="36269.300000000003"/>
    <n v="5850"/>
    <n v="9190"/>
  </r>
  <r>
    <s v="ON"/>
    <s v="IRL"/>
    <x v="6"/>
    <x v="1"/>
    <d v="2012-05-01T00:00:00"/>
    <n v="14150"/>
    <n v="4140"/>
    <n v="4350"/>
    <n v="600"/>
    <n v="22972"/>
    <n v="2133"/>
    <m/>
    <n v="48345"/>
    <n v="8490"/>
    <n v="14150"/>
  </r>
</pivotCacheRecords>
</file>

<file path=xl/pivotCache/pivotCacheRecords3.xml><?xml version="1.0" encoding="utf-8"?>
<pivotCacheRecords xmlns="http://schemas.openxmlformats.org/spreadsheetml/2006/main" xmlns:r="http://schemas.openxmlformats.org/officeDocument/2006/relationships" count="74">
  <r>
    <s v="BC"/>
    <s v="BRL"/>
    <x v="0"/>
    <x v="0"/>
    <d v="2006-04-01T00:00:00"/>
    <n v="8280"/>
    <n v="330"/>
    <n v="875"/>
    <m/>
    <n v="7614"/>
    <m/>
    <m/>
    <n v="17099"/>
    <n v="1205"/>
    <n v="8280"/>
  </r>
  <r>
    <s v="BC"/>
    <s v="BRL"/>
    <x v="0"/>
    <x v="1"/>
    <d v="2006-05-01T00:00:00"/>
    <n v="7920"/>
    <n v="264"/>
    <n v="700"/>
    <m/>
    <n v="8581"/>
    <m/>
    <m/>
    <n v="17465"/>
    <n v="964"/>
    <n v="7920"/>
  </r>
  <r>
    <s v="BC"/>
    <s v="BRL"/>
    <x v="0"/>
    <x v="1"/>
    <d v="2006-06-01T00:00:00"/>
    <n v="6480"/>
    <n v="528"/>
    <n v="700"/>
    <m/>
    <n v="8372"/>
    <m/>
    <m/>
    <n v="16080"/>
    <n v="1228"/>
    <n v="6480"/>
  </r>
  <r>
    <s v="BC"/>
    <s v="BRL"/>
    <x v="0"/>
    <x v="1"/>
    <d v="2006-07-01T00:00:00"/>
    <n v="8280"/>
    <n v="594"/>
    <n v="875"/>
    <m/>
    <n v="4651"/>
    <m/>
    <m/>
    <n v="14400"/>
    <n v="1469"/>
    <n v="8280"/>
  </r>
  <r>
    <s v="BC"/>
    <s v="BRL"/>
    <x v="0"/>
    <x v="2"/>
    <d v="2006-08-01T00:00:00"/>
    <n v="7920"/>
    <n v="528"/>
    <n v="700"/>
    <m/>
    <n v="8496"/>
    <m/>
    <m/>
    <n v="17644"/>
    <n v="1228"/>
    <n v="7920"/>
  </r>
  <r>
    <s v="BC"/>
    <s v="BRL"/>
    <x v="0"/>
    <x v="2"/>
    <d v="2006-09-01T00:00:00"/>
    <n v="7920"/>
    <n v="660"/>
    <n v="700"/>
    <m/>
    <n v="10202"/>
    <m/>
    <m/>
    <n v="19482"/>
    <n v="1360"/>
    <n v="7920"/>
  </r>
  <r>
    <s v="BC"/>
    <s v="BRL"/>
    <x v="0"/>
    <x v="2"/>
    <d v="2006-10-01T00:00:00"/>
    <n v="7920"/>
    <n v="528"/>
    <n v="875"/>
    <m/>
    <n v="3759"/>
    <m/>
    <m/>
    <n v="13082"/>
    <n v="1403"/>
    <n v="7920"/>
  </r>
  <r>
    <s v="BC"/>
    <s v="BRL"/>
    <x v="1"/>
    <x v="3"/>
    <d v="2006-11-01T00:00:00"/>
    <n v="7560"/>
    <n v="594"/>
    <n v="700"/>
    <m/>
    <n v="7732"/>
    <m/>
    <m/>
    <n v="16586"/>
    <n v="1294"/>
    <n v="7560"/>
  </r>
  <r>
    <s v="BC"/>
    <s v="BRL"/>
    <x v="1"/>
    <x v="3"/>
    <d v="2006-12-01T00:00:00"/>
    <n v="8280"/>
    <n v="660"/>
    <n v="875"/>
    <m/>
    <n v="12072"/>
    <m/>
    <m/>
    <n v="21887"/>
    <n v="1535"/>
    <n v="8280"/>
  </r>
  <r>
    <s v="BC"/>
    <s v="BRL"/>
    <x v="1"/>
    <x v="3"/>
    <d v="2007-01-01T00:00:00"/>
    <n v="6840"/>
    <n v="462"/>
    <n v="700"/>
    <m/>
    <n v="9813"/>
    <m/>
    <m/>
    <n v="17815"/>
    <n v="1162"/>
    <n v="6840"/>
  </r>
  <r>
    <s v="BC"/>
    <s v="BRL"/>
    <x v="1"/>
    <x v="0"/>
    <d v="2007-02-01T00:00:00"/>
    <n v="7920"/>
    <n v="594"/>
    <n v="700"/>
    <m/>
    <n v="9429"/>
    <m/>
    <m/>
    <n v="18643"/>
    <n v="1294"/>
    <n v="7920"/>
  </r>
  <r>
    <s v="BC"/>
    <s v="BRL"/>
    <x v="1"/>
    <x v="0"/>
    <d v="2007-03-01T00:00:00"/>
    <n v="6840"/>
    <n v="198"/>
    <n v="700"/>
    <m/>
    <n v="8850"/>
    <m/>
    <m/>
    <n v="16588"/>
    <n v="898"/>
    <n v="6840"/>
  </r>
  <r>
    <s v="BC"/>
    <s v="BRL"/>
    <x v="1"/>
    <x v="0"/>
    <d v="2007-04-01T00:00:00"/>
    <n v="8280"/>
    <n v="330"/>
    <n v="875"/>
    <m/>
    <n v="9443"/>
    <m/>
    <m/>
    <n v="18928"/>
    <n v="1205"/>
    <n v="8280"/>
  </r>
  <r>
    <s v="BC"/>
    <s v="BRL"/>
    <x v="1"/>
    <x v="1"/>
    <d v="2007-05-01T00:00:00"/>
    <n v="7920"/>
    <n v="264"/>
    <n v="700"/>
    <m/>
    <n v="9026"/>
    <m/>
    <m/>
    <n v="17910"/>
    <n v="964"/>
    <n v="7920"/>
  </r>
  <r>
    <s v="BC"/>
    <s v="BRL"/>
    <x v="1"/>
    <x v="1"/>
    <d v="2007-06-01T00:00:00"/>
    <n v="6480"/>
    <n v="528"/>
    <n v="700"/>
    <m/>
    <n v="8553"/>
    <m/>
    <m/>
    <n v="16261"/>
    <n v="1228"/>
    <n v="6480"/>
  </r>
  <r>
    <s v="BC"/>
    <s v="BRL"/>
    <x v="1"/>
    <x v="1"/>
    <d v="2007-07-01T00:00:00"/>
    <n v="8280"/>
    <n v="594"/>
    <n v="875"/>
    <m/>
    <n v="8331"/>
    <m/>
    <m/>
    <n v="18080"/>
    <n v="1469"/>
    <n v="8280"/>
  </r>
  <r>
    <s v="BC"/>
    <s v="BRL"/>
    <x v="1"/>
    <x v="2"/>
    <d v="2007-08-01T00:00:00"/>
    <n v="7920"/>
    <n v="528"/>
    <n v="700"/>
    <m/>
    <n v="8701"/>
    <m/>
    <m/>
    <n v="17849"/>
    <n v="1228"/>
    <n v="7920"/>
  </r>
  <r>
    <s v="BC"/>
    <s v="BRL"/>
    <x v="1"/>
    <x v="2"/>
    <d v="2007-09-01T00:00:00"/>
    <n v="7920"/>
    <n v="660"/>
    <n v="700"/>
    <m/>
    <n v="10010"/>
    <m/>
    <m/>
    <n v="19290"/>
    <n v="1360"/>
    <n v="7920"/>
  </r>
  <r>
    <s v="BC"/>
    <s v="BRL"/>
    <x v="1"/>
    <x v="2"/>
    <d v="2007-10-01T00:00:00"/>
    <n v="7920"/>
    <n v="528"/>
    <n v="875"/>
    <m/>
    <n v="8416"/>
    <m/>
    <m/>
    <n v="17739"/>
    <n v="1403"/>
    <n v="7920"/>
  </r>
  <r>
    <s v="BC"/>
    <s v="BRL"/>
    <x v="2"/>
    <x v="3"/>
    <d v="2007-11-01T00:00:00"/>
    <n v="7560"/>
    <n v="594"/>
    <n v="700"/>
    <m/>
    <n v="8624"/>
    <m/>
    <m/>
    <n v="17478"/>
    <n v="1294"/>
    <n v="7560"/>
  </r>
  <r>
    <s v="BC"/>
    <s v="BRL"/>
    <x v="2"/>
    <x v="3"/>
    <d v="2007-12-01T00:00:00"/>
    <n v="8280"/>
    <n v="660"/>
    <n v="875"/>
    <m/>
    <n v="8335"/>
    <m/>
    <m/>
    <n v="18150"/>
    <n v="1535"/>
    <n v="8280"/>
  </r>
  <r>
    <s v="BC"/>
    <s v="BRL"/>
    <x v="2"/>
    <x v="3"/>
    <d v="2008-01-01T00:00:00"/>
    <n v="6840"/>
    <n v="462"/>
    <n v="700"/>
    <m/>
    <n v="8126"/>
    <m/>
    <m/>
    <n v="16128"/>
    <n v="1162"/>
    <n v="6840"/>
  </r>
  <r>
    <s v="BC"/>
    <s v="BRL"/>
    <x v="2"/>
    <x v="0"/>
    <d v="2008-02-01T00:00:00"/>
    <n v="6153"/>
    <n v="1456"/>
    <n v="700"/>
    <m/>
    <n v="8844"/>
    <m/>
    <m/>
    <n v="17153"/>
    <n v="2156"/>
    <n v="6153"/>
  </r>
  <r>
    <s v="BC"/>
    <s v="BRL"/>
    <x v="2"/>
    <x v="0"/>
    <d v="2008-03-01T00:00:00"/>
    <n v="6762"/>
    <n v="2100"/>
    <n v="0"/>
    <m/>
    <n v="8623"/>
    <m/>
    <m/>
    <n v="17485"/>
    <n v="2100"/>
    <n v="6762"/>
  </r>
  <r>
    <s v="BC"/>
    <s v="BRL"/>
    <x v="2"/>
    <x v="0"/>
    <d v="2008-04-01T00:00:00"/>
    <n v="6624"/>
    <n v="2646"/>
    <n v="0"/>
    <m/>
    <n v="7092"/>
    <m/>
    <m/>
    <n v="16362"/>
    <n v="2646"/>
    <n v="6624"/>
  </r>
  <r>
    <s v="BC"/>
    <s v="BRL"/>
    <x v="2"/>
    <x v="1"/>
    <d v="2008-05-01T00:00:00"/>
    <n v="5901"/>
    <n v="2289"/>
    <n v="0"/>
    <m/>
    <n v="8243"/>
    <m/>
    <m/>
    <n v="16433"/>
    <n v="2289"/>
    <n v="5901"/>
  </r>
  <r>
    <s v="BC"/>
    <s v="BRL"/>
    <x v="2"/>
    <x v="1"/>
    <d v="2008-06-01T00:00:00"/>
    <n v="6775"/>
    <n v="2121"/>
    <n v="0"/>
    <m/>
    <n v="8621"/>
    <m/>
    <m/>
    <n v="17517"/>
    <n v="2121"/>
    <n v="6775"/>
  </r>
  <r>
    <s v="BC"/>
    <s v="BRL"/>
    <x v="2"/>
    <x v="1"/>
    <d v="2008-07-01T00:00:00"/>
    <n v="5165"/>
    <n v="2124"/>
    <n v="0"/>
    <m/>
    <n v="7666"/>
    <m/>
    <m/>
    <n v="14955"/>
    <n v="2124"/>
    <n v="5165"/>
  </r>
  <r>
    <s v="BC"/>
    <s v="BRL"/>
    <x v="2"/>
    <x v="2"/>
    <d v="2008-08-01T00:00:00"/>
    <n v="6006"/>
    <n v="2445"/>
    <n v="0"/>
    <m/>
    <n v="7400"/>
    <m/>
    <m/>
    <n v="15851"/>
    <n v="2445"/>
    <n v="6006"/>
  </r>
  <r>
    <s v="BC"/>
    <s v="BRL"/>
    <x v="2"/>
    <x v="2"/>
    <d v="2008-09-01T00:00:00"/>
    <n v="5576"/>
    <n v="2966"/>
    <n v="0"/>
    <m/>
    <n v="8290"/>
    <m/>
    <m/>
    <n v="16832"/>
    <n v="2966"/>
    <n v="5576"/>
  </r>
  <r>
    <s v="BC"/>
    <s v="BRL"/>
    <x v="2"/>
    <x v="2"/>
    <d v="2008-10-01T00:00:00"/>
    <n v="4235"/>
    <n v="2932"/>
    <n v="0"/>
    <m/>
    <n v="7557"/>
    <m/>
    <m/>
    <n v="14724"/>
    <n v="2932"/>
    <n v="4235"/>
  </r>
  <r>
    <s v="BC"/>
    <s v="BRL"/>
    <x v="3"/>
    <x v="3"/>
    <d v="2008-11-01T00:00:00"/>
    <n v="4763"/>
    <n v="2112"/>
    <n v="0"/>
    <m/>
    <n v="7577"/>
    <m/>
    <m/>
    <n v="14452"/>
    <n v="2112"/>
    <n v="4763"/>
  </r>
  <r>
    <s v="BC"/>
    <s v="BRL"/>
    <x v="3"/>
    <x v="3"/>
    <d v="2008-12-01T00:00:00"/>
    <n v="6450"/>
    <n v="2976"/>
    <n v="0"/>
    <m/>
    <n v="7388"/>
    <m/>
    <m/>
    <n v="16814"/>
    <n v="2976"/>
    <n v="6450"/>
  </r>
  <r>
    <s v="BC"/>
    <s v="BRL"/>
    <x v="3"/>
    <x v="3"/>
    <d v="2009-01-01T00:00:00"/>
    <n v="6450"/>
    <n v="2976"/>
    <n v="0"/>
    <m/>
    <n v="7439"/>
    <m/>
    <m/>
    <n v="16865"/>
    <n v="2976"/>
    <n v="6450"/>
  </r>
  <r>
    <s v="BC"/>
    <s v="BRL"/>
    <x v="3"/>
    <x v="0"/>
    <d v="2009-02-01T00:00:00"/>
    <n v="5224"/>
    <n v="2607"/>
    <n v="0"/>
    <m/>
    <n v="7913"/>
    <m/>
    <m/>
    <n v="15744"/>
    <n v="2607"/>
    <n v="5224"/>
  </r>
  <r>
    <s v="BC"/>
    <s v="BRL"/>
    <x v="3"/>
    <x v="0"/>
    <d v="2009-03-01T00:00:00"/>
    <n v="5761"/>
    <n v="2536"/>
    <n v="0"/>
    <m/>
    <n v="8126"/>
    <n v="563"/>
    <m/>
    <n v="16986"/>
    <n v="2536"/>
    <n v="5761"/>
  </r>
  <r>
    <s v="BC"/>
    <s v="BRL"/>
    <x v="3"/>
    <x v="0"/>
    <d v="2009-04-01T00:00:00"/>
    <n v="5189"/>
    <n v="2142"/>
    <n v="0"/>
    <m/>
    <n v="7934"/>
    <n v="799"/>
    <m/>
    <n v="16064"/>
    <n v="2142"/>
    <n v="5189"/>
  </r>
  <r>
    <s v="BC"/>
    <s v="BRL"/>
    <x v="3"/>
    <x v="1"/>
    <d v="2009-05-01T00:00:00"/>
    <n v="5045"/>
    <n v="2131"/>
    <n v="0"/>
    <m/>
    <n v="8175"/>
    <n v="656"/>
    <m/>
    <n v="16007"/>
    <n v="2131"/>
    <n v="5045"/>
  </r>
  <r>
    <s v="BC"/>
    <s v="BRL"/>
    <x v="3"/>
    <x v="1"/>
    <d v="2009-06-01T00:00:00"/>
    <n v="5448"/>
    <n v="1962"/>
    <n v="0"/>
    <m/>
    <n v="8400"/>
    <n v="661"/>
    <m/>
    <n v="16471"/>
    <n v="1962"/>
    <n v="5448"/>
  </r>
  <r>
    <s v="BC"/>
    <s v="BRL"/>
    <x v="3"/>
    <x v="1"/>
    <d v="2009-07-01T00:00:00"/>
    <n v="5059"/>
    <n v="2185"/>
    <n v="0"/>
    <m/>
    <n v="8180"/>
    <n v="444"/>
    <m/>
    <n v="15868"/>
    <n v="2185"/>
    <n v="5059"/>
  </r>
  <r>
    <s v="BC"/>
    <s v="BRL"/>
    <x v="3"/>
    <x v="2"/>
    <d v="2009-08-01T00:00:00"/>
    <n v="4785"/>
    <n v="2007"/>
    <n v="0"/>
    <m/>
    <n v="7860"/>
    <n v="765"/>
    <m/>
    <n v="15417"/>
    <n v="2007"/>
    <n v="4785"/>
  </r>
  <r>
    <s v="BC"/>
    <s v="BRL"/>
    <x v="3"/>
    <x v="2"/>
    <d v="2009-09-01T00:00:00"/>
    <n v="5372"/>
    <n v="1983"/>
    <n v="0"/>
    <m/>
    <n v="8188"/>
    <n v="592"/>
    <m/>
    <n v="16135"/>
    <n v="1983"/>
    <n v="5372"/>
  </r>
  <r>
    <s v="BC"/>
    <s v="BRL"/>
    <x v="3"/>
    <x v="2"/>
    <d v="2009-10-01T00:00:00"/>
    <n v="5334"/>
    <n v="2675"/>
    <n v="0"/>
    <m/>
    <n v="8257"/>
    <n v="597"/>
    <m/>
    <n v="16863"/>
    <n v="2675"/>
    <n v="5334"/>
  </r>
  <r>
    <s v="BC"/>
    <s v="BRL"/>
    <x v="4"/>
    <x v="3"/>
    <d v="2009-11-01T00:00:00"/>
    <n v="4835"/>
    <n v="3079"/>
    <n v="0"/>
    <m/>
    <n v="7081"/>
    <n v="592"/>
    <m/>
    <n v="15587"/>
    <n v="3079"/>
    <n v="4835"/>
  </r>
  <r>
    <s v="BC"/>
    <s v="BRL"/>
    <x v="4"/>
    <x v="3"/>
    <d v="2009-12-01T00:00:00"/>
    <n v="4965"/>
    <n v="2230"/>
    <n v="0"/>
    <m/>
    <n v="7221"/>
    <n v="933"/>
    <m/>
    <n v="15349"/>
    <n v="2230"/>
    <n v="4965"/>
  </r>
  <r>
    <s v="BC"/>
    <s v="BRL"/>
    <x v="4"/>
    <x v="3"/>
    <d v="2010-01-01T00:00:00"/>
    <n v="4737"/>
    <n v="2307"/>
    <n v="0"/>
    <m/>
    <n v="7330"/>
    <n v="669"/>
    <m/>
    <n v="15043"/>
    <n v="2307"/>
    <n v="4737"/>
  </r>
  <r>
    <s v="BC"/>
    <s v="BRL"/>
    <x v="4"/>
    <x v="0"/>
    <d v="2010-02-01T00:00:00"/>
    <n v="4349"/>
    <n v="2393"/>
    <n v="0"/>
    <m/>
    <n v="7487"/>
    <n v="664"/>
    <m/>
    <n v="14893"/>
    <n v="2393"/>
    <n v="4349"/>
  </r>
  <r>
    <s v="BC"/>
    <s v="BRL"/>
    <x v="4"/>
    <x v="0"/>
    <d v="2010-03-01T00:00:00"/>
    <n v="4870"/>
    <n v="3013"/>
    <n v="0"/>
    <m/>
    <n v="8486"/>
    <n v="669"/>
    <m/>
    <n v="17038"/>
    <n v="3013"/>
    <n v="4870"/>
  </r>
  <r>
    <s v="BC"/>
    <s v="BRL"/>
    <x v="4"/>
    <x v="0"/>
    <d v="2010-04-01T00:00:00"/>
    <n v="4226"/>
    <n v="2187"/>
    <n v="0"/>
    <m/>
    <n v="8300"/>
    <n v="673"/>
    <m/>
    <n v="15386"/>
    <n v="2187"/>
    <n v="4226"/>
  </r>
  <r>
    <s v="BC"/>
    <s v="BRL"/>
    <x v="4"/>
    <x v="1"/>
    <d v="2010-05-01T00:00:00"/>
    <n v="4063"/>
    <n v="2041"/>
    <n v="0"/>
    <m/>
    <n v="8300"/>
    <n v="678"/>
    <m/>
    <n v="15082"/>
    <n v="2041"/>
    <n v="4063"/>
  </r>
  <r>
    <s v="BC"/>
    <s v="BRL"/>
    <x v="4"/>
    <x v="1"/>
    <d v="2010-06-01T00:00:00"/>
    <n v="4427"/>
    <n v="2193"/>
    <n v="0"/>
    <m/>
    <n v="8352"/>
    <n v="547"/>
    <m/>
    <n v="15519"/>
    <n v="2193"/>
    <n v="4427"/>
  </r>
  <r>
    <s v="BC"/>
    <s v="BRL"/>
    <x v="4"/>
    <x v="1"/>
    <d v="2010-07-01T00:00:00"/>
    <n v="4954"/>
    <n v="1670"/>
    <n v="0"/>
    <m/>
    <n v="7492"/>
    <n v="522"/>
    <m/>
    <n v="14638"/>
    <n v="1670"/>
    <n v="4954"/>
  </r>
  <r>
    <s v="BC"/>
    <s v="BRL"/>
    <x v="4"/>
    <x v="2"/>
    <d v="2010-08-01T00:00:00"/>
    <n v="4489"/>
    <n v="2073"/>
    <n v="0"/>
    <m/>
    <n v="7820"/>
    <n v="683"/>
    <m/>
    <n v="15065"/>
    <n v="2073"/>
    <n v="4489"/>
  </r>
  <r>
    <s v="BC"/>
    <s v="BRL"/>
    <x v="4"/>
    <x v="2"/>
    <d v="2010-09-01T00:00:00"/>
    <n v="4480"/>
    <n v="6293"/>
    <n v="0"/>
    <m/>
    <n v="8161"/>
    <n v="878"/>
    <m/>
    <n v="19812"/>
    <n v="6293"/>
    <n v="4480"/>
  </r>
  <r>
    <s v="BC"/>
    <s v="BRL"/>
    <x v="4"/>
    <x v="2"/>
    <d v="2010-10-01T00:00:00"/>
    <n v="4175"/>
    <n v="2330"/>
    <n v="0"/>
    <m/>
    <n v="8294"/>
    <n v="854"/>
    <m/>
    <n v="15653"/>
    <n v="2330"/>
    <n v="4175"/>
  </r>
  <r>
    <s v="BC"/>
    <s v="BRL"/>
    <x v="5"/>
    <x v="3"/>
    <d v="2010-11-01T00:00:00"/>
    <n v="4540"/>
    <n v="2431"/>
    <n v="0"/>
    <m/>
    <n v="7794"/>
    <n v="766"/>
    <m/>
    <n v="15531"/>
    <n v="2431"/>
    <n v="4540"/>
  </r>
  <r>
    <s v="BC"/>
    <s v="BRL"/>
    <x v="5"/>
    <x v="3"/>
    <d v="2010-12-01T00:00:00"/>
    <n v="5180"/>
    <n v="2500"/>
    <n v="0"/>
    <m/>
    <n v="7497"/>
    <n v="586"/>
    <m/>
    <n v="15763"/>
    <n v="2500"/>
    <n v="5180"/>
  </r>
  <r>
    <s v="BC"/>
    <s v="BRL"/>
    <x v="5"/>
    <x v="3"/>
    <d v="2011-01-01T00:00:00"/>
    <n v="5018"/>
    <n v="2108"/>
    <n v="390"/>
    <n v="410"/>
    <n v="7461"/>
    <n v="547"/>
    <m/>
    <n v="15934"/>
    <n v="2498"/>
    <n v="5018"/>
  </r>
  <r>
    <s v="BC"/>
    <s v="BRL"/>
    <x v="5"/>
    <x v="0"/>
    <d v="2011-02-01T00:00:00"/>
    <n v="4716"/>
    <n v="2215"/>
    <n v="185"/>
    <n v="220"/>
    <n v="7812"/>
    <n v="781"/>
    <m/>
    <n v="15929"/>
    <n v="2400"/>
    <n v="4716"/>
  </r>
  <r>
    <s v="BC"/>
    <s v="BRL"/>
    <x v="5"/>
    <x v="0"/>
    <d v="2011-03-01T00:00:00"/>
    <n v="5924"/>
    <n v="2340"/>
    <n v="172"/>
    <n v="266"/>
    <n v="8762"/>
    <n v="634"/>
    <m/>
    <n v="18098"/>
    <n v="2512"/>
    <n v="5924"/>
  </r>
  <r>
    <s v="BC"/>
    <s v="BRL"/>
    <x v="5"/>
    <x v="0"/>
    <d v="2011-04-01T00:00:00"/>
    <n v="4225"/>
    <n v="2080"/>
    <n v="255"/>
    <n v="275"/>
    <n v="8064"/>
    <n v="1279"/>
    <m/>
    <n v="16178"/>
    <n v="2335"/>
    <n v="4225"/>
  </r>
  <r>
    <s v="BC"/>
    <s v="BRL"/>
    <x v="5"/>
    <x v="1"/>
    <d v="2011-05-01T00:00:00"/>
    <n v="4630"/>
    <n v="2297"/>
    <n v="280"/>
    <n v="240"/>
    <n v="8070"/>
    <n v="625"/>
    <m/>
    <n v="16142"/>
    <n v="2577"/>
    <n v="4630"/>
  </r>
  <r>
    <s v="BC"/>
    <s v="BRL"/>
    <x v="5"/>
    <x v="1"/>
    <d v="2011-06-01T00:00:00"/>
    <n v="4676"/>
    <n v="1919"/>
    <n v="235"/>
    <n v="205"/>
    <n v="8279"/>
    <n v="630"/>
    <m/>
    <n v="15944"/>
    <n v="2154"/>
    <n v="4676"/>
  </r>
  <r>
    <s v="BC"/>
    <s v="BRL"/>
    <x v="5"/>
    <x v="1"/>
    <d v="2011-07-01T00:00:00"/>
    <n v="4257"/>
    <n v="1644"/>
    <n v="285"/>
    <n v="231"/>
    <n v="8026"/>
    <n v="547"/>
    <m/>
    <n v="14990"/>
    <n v="1929"/>
    <n v="4257"/>
  </r>
  <r>
    <s v="BC"/>
    <s v="BRL"/>
    <x v="5"/>
    <x v="2"/>
    <d v="2011-08-01T00:00:00"/>
    <n v="5474"/>
    <n v="1892"/>
    <n v="310"/>
    <n v="220"/>
    <n v="8062"/>
    <n v="439"/>
    <m/>
    <n v="16397"/>
    <n v="2202"/>
    <n v="5474"/>
  </r>
  <r>
    <s v="BC"/>
    <s v="BRL"/>
    <x v="5"/>
    <x v="2"/>
    <d v="2011-09-01T00:00:00"/>
    <n v="6115"/>
    <m/>
    <m/>
    <n v="255"/>
    <n v="8063"/>
    <n v="815"/>
    <m/>
    <n v="15248"/>
    <n v="0"/>
    <n v="6115"/>
  </r>
  <r>
    <s v="BC"/>
    <s v="BRL"/>
    <x v="5"/>
    <x v="2"/>
    <d v="2011-10-01T00:00:00"/>
    <n v="5819"/>
    <m/>
    <m/>
    <n v="265"/>
    <n v="8202"/>
    <n v="571"/>
    <m/>
    <n v="14857"/>
    <n v="0"/>
    <n v="5819"/>
  </r>
  <r>
    <s v="BC"/>
    <s v="BRL"/>
    <x v="6"/>
    <x v="3"/>
    <d v="2011-11-01T00:00:00"/>
    <n v="5719"/>
    <n v="2427"/>
    <n v="415"/>
    <n v="265"/>
    <n v="8040"/>
    <n v="527"/>
    <m/>
    <n v="17393"/>
    <n v="2842"/>
    <n v="5719"/>
  </r>
  <r>
    <s v="BC"/>
    <s v="BRL"/>
    <x v="6"/>
    <x v="3"/>
    <d v="2011-12-01T00:00:00"/>
    <n v="6240"/>
    <n v="1892"/>
    <n v="328"/>
    <n v="315"/>
    <n v="7767.8"/>
    <n v="727"/>
    <m/>
    <n v="17269.8"/>
    <n v="2220"/>
    <n v="6240"/>
  </r>
  <r>
    <s v="BC"/>
    <s v="BRL"/>
    <x v="6"/>
    <x v="3"/>
    <d v="2012-01-01T00:00:00"/>
    <n v="7079"/>
    <n v="1984"/>
    <n v="420"/>
    <n v="243"/>
    <n v="7758.7"/>
    <n v="522"/>
    <m/>
    <n v="18006.7"/>
    <n v="2404"/>
    <n v="7079"/>
  </r>
  <r>
    <s v="BC"/>
    <s v="BRL"/>
    <x v="6"/>
    <x v="0"/>
    <d v="2012-02-01T00:00:00"/>
    <n v="6640"/>
    <n v="2193"/>
    <n v="370"/>
    <n v="260"/>
    <n v="10213.1"/>
    <n v="634"/>
    <m/>
    <n v="20310.099999999999"/>
    <n v="2563"/>
    <n v="6640"/>
  </r>
  <r>
    <s v="BC"/>
    <s v="BRL"/>
    <x v="6"/>
    <x v="0"/>
    <d v="2012-03-01T00:00:00"/>
    <n v="7142"/>
    <n v="1943"/>
    <n v="375"/>
    <n v="262"/>
    <n v="8675.7000000000007"/>
    <n v="664"/>
    <m/>
    <n v="19061.7"/>
    <n v="2318"/>
    <n v="7142"/>
  </r>
  <r>
    <s v="BC"/>
    <s v="BRL"/>
    <x v="6"/>
    <x v="0"/>
    <d v="2012-04-01T00:00:00"/>
    <n v="6002"/>
    <n v="1924"/>
    <n v="392"/>
    <n v="260"/>
    <n v="7767.7"/>
    <n v="464"/>
    <m/>
    <n v="16809.7"/>
    <n v="2316"/>
    <n v="6002"/>
  </r>
  <r>
    <s v="BC"/>
    <s v="BRL"/>
    <x v="6"/>
    <x v="1"/>
    <d v="2012-05-01T00:00:00"/>
    <n v="7526"/>
    <n v="1788"/>
    <n v="545"/>
    <n v="220"/>
    <n v="8712"/>
    <n v="444"/>
    <m/>
    <n v="19235"/>
    <n v="2333"/>
    <n v="7526"/>
  </r>
</pivotCacheRecords>
</file>

<file path=xl/pivotCache/pivotCacheRecords4.xml><?xml version="1.0" encoding="utf-8"?>
<pivotCacheRecords xmlns="http://schemas.openxmlformats.org/spreadsheetml/2006/main" xmlns:r="http://schemas.openxmlformats.org/officeDocument/2006/relationships" count="75">
  <r>
    <s v="ON"/>
    <s v="IRL"/>
    <x v="0"/>
    <x v="0"/>
    <x v="0"/>
    <n v="6740"/>
    <n v="3490"/>
    <n v="1000"/>
    <n v="1200"/>
    <n v="15441"/>
    <m/>
    <n v="960"/>
    <n v="28831"/>
    <n v="4490"/>
    <n v="7700"/>
    <n v="0.26707363601678746"/>
  </r>
  <r>
    <s v="ON"/>
    <s v="IRL"/>
    <x v="0"/>
    <x v="1"/>
    <x v="1"/>
    <n v="7120"/>
    <n v="3470"/>
    <n v="1250"/>
    <n v="1500"/>
    <n v="18584"/>
    <m/>
    <n v="1200"/>
    <n v="33124"/>
    <n v="4720"/>
    <n v="8320"/>
    <n v="0.25117739403453687"/>
  </r>
  <r>
    <s v="ON"/>
    <s v="IRL"/>
    <x v="0"/>
    <x v="1"/>
    <x v="2"/>
    <n v="9650"/>
    <n v="3510"/>
    <n v="1000"/>
    <n v="1200"/>
    <n v="18692"/>
    <m/>
    <n v="960"/>
    <n v="35012"/>
    <n v="4510"/>
    <n v="10610"/>
    <n v="0.30303895807151832"/>
  </r>
  <r>
    <s v="ON"/>
    <s v="IRL"/>
    <x v="0"/>
    <x v="1"/>
    <x v="3"/>
    <n v="5910"/>
    <n v="3380"/>
    <n v="1000"/>
    <n v="1500"/>
    <n v="16532"/>
    <m/>
    <n v="960"/>
    <n v="29282"/>
    <n v="4380"/>
    <n v="6870"/>
    <n v="0.23461512191790179"/>
  </r>
  <r>
    <s v="ON"/>
    <s v="IRL"/>
    <x v="0"/>
    <x v="2"/>
    <x v="4"/>
    <n v="8990"/>
    <n v="2500"/>
    <n v="1250"/>
    <n v="1200"/>
    <n v="17230"/>
    <m/>
    <n v="1200"/>
    <n v="32370"/>
    <n v="3750"/>
    <n v="10190"/>
    <n v="0.31479765214704974"/>
  </r>
  <r>
    <s v="ON"/>
    <s v="IRL"/>
    <x v="0"/>
    <x v="2"/>
    <x v="5"/>
    <n v="8100"/>
    <n v="2390"/>
    <n v="1000"/>
    <n v="1200"/>
    <n v="16291"/>
    <m/>
    <n v="960"/>
    <n v="29941"/>
    <n v="3390"/>
    <n v="9060"/>
    <n v="0.3025951037039511"/>
  </r>
  <r>
    <s v="ON"/>
    <s v="IRL"/>
    <x v="0"/>
    <x v="2"/>
    <x v="6"/>
    <n v="8980"/>
    <n v="2690"/>
    <n v="1000"/>
    <n v="1500"/>
    <n v="17221"/>
    <m/>
    <n v="960"/>
    <n v="32351"/>
    <n v="3690"/>
    <n v="9940"/>
    <n v="0.30725479892429908"/>
  </r>
  <r>
    <s v="ON"/>
    <s v="IRL"/>
    <x v="1"/>
    <x v="3"/>
    <x v="7"/>
    <n v="10140"/>
    <n v="3270"/>
    <n v="1250"/>
    <n v="1200"/>
    <n v="17686"/>
    <m/>
    <n v="1200"/>
    <n v="34746"/>
    <n v="4520"/>
    <n v="11340"/>
    <n v="0.32636850284924884"/>
  </r>
  <r>
    <s v="ON"/>
    <s v="IRL"/>
    <x v="1"/>
    <x v="3"/>
    <x v="8"/>
    <n v="6620"/>
    <n v="2170"/>
    <n v="1000"/>
    <n v="1200"/>
    <n v="15302"/>
    <m/>
    <n v="960"/>
    <n v="27252"/>
    <n v="3170"/>
    <n v="7580"/>
    <n v="0.27814472332305884"/>
  </r>
  <r>
    <s v="ON"/>
    <s v="IRL"/>
    <x v="1"/>
    <x v="3"/>
    <x v="9"/>
    <n v="7270"/>
    <n v="1940"/>
    <n v="1250"/>
    <n v="1500"/>
    <n v="16325"/>
    <m/>
    <n v="1200"/>
    <n v="29485"/>
    <n v="3190"/>
    <n v="8470"/>
    <n v="0.28726471086993388"/>
  </r>
  <r>
    <s v="ON"/>
    <s v="IRL"/>
    <x v="1"/>
    <x v="0"/>
    <x v="10"/>
    <n v="8310"/>
    <n v="3460"/>
    <n v="1000"/>
    <n v="1200"/>
    <n v="16653"/>
    <m/>
    <n v="960"/>
    <n v="31583"/>
    <n v="4460"/>
    <n v="9270"/>
    <n v="0.29351233258398507"/>
  </r>
  <r>
    <s v="ON"/>
    <s v="IRL"/>
    <x v="1"/>
    <x v="0"/>
    <x v="11"/>
    <n v="9710"/>
    <n v="3410"/>
    <n v="1000"/>
    <n v="1200"/>
    <n v="17555"/>
    <m/>
    <n v="960"/>
    <n v="33835"/>
    <n v="4410"/>
    <n v="10670"/>
    <n v="0.31535392345204671"/>
  </r>
  <r>
    <s v="ON"/>
    <s v="IRL"/>
    <x v="1"/>
    <x v="0"/>
    <x v="12"/>
    <n v="7730"/>
    <n v="3410"/>
    <n v="1000"/>
    <n v="1200"/>
    <n v="18148"/>
    <m/>
    <n v="960"/>
    <n v="32448"/>
    <n v="4410"/>
    <n v="8690"/>
    <n v="0.26781311637080868"/>
  </r>
  <r>
    <s v="ON"/>
    <s v="IRL"/>
    <x v="1"/>
    <x v="1"/>
    <x v="13"/>
    <n v="9780"/>
    <n v="2900"/>
    <n v="1250"/>
    <n v="1200"/>
    <n v="18259"/>
    <m/>
    <n v="960"/>
    <n v="34349"/>
    <n v="4150"/>
    <n v="10740"/>
    <n v="0.312672858016245"/>
  </r>
  <r>
    <s v="ON"/>
    <s v="IRL"/>
    <x v="1"/>
    <x v="1"/>
    <x v="14"/>
    <n v="7970"/>
    <n v="43560"/>
    <n v="1000"/>
    <n v="1200"/>
    <n v="18431"/>
    <m/>
    <n v="240"/>
    <n v="72401"/>
    <n v="44560"/>
    <n v="8210"/>
    <n v="0.1133962238090634"/>
  </r>
  <r>
    <s v="ON"/>
    <s v="IRL"/>
    <x v="1"/>
    <x v="1"/>
    <x v="15"/>
    <n v="8000"/>
    <n v="3460"/>
    <n v="1000"/>
    <n v="1200"/>
    <n v="16483"/>
    <m/>
    <n v="240"/>
    <n v="30383"/>
    <n v="4460"/>
    <n v="8240"/>
    <n v="0.27120429187374517"/>
  </r>
  <r>
    <s v="ON"/>
    <s v="IRL"/>
    <x v="1"/>
    <x v="2"/>
    <x v="16"/>
    <n v="8580"/>
    <n v="2580"/>
    <n v="1250"/>
    <n v="1200"/>
    <n v="17603"/>
    <m/>
    <n v="240"/>
    <n v="31453"/>
    <n v="3830"/>
    <n v="8820"/>
    <n v="0.28041840206021684"/>
  </r>
  <r>
    <s v="ON"/>
    <s v="IRL"/>
    <x v="1"/>
    <x v="2"/>
    <x v="17"/>
    <n v="7420"/>
    <n v="2310"/>
    <n v="1000"/>
    <n v="2400"/>
    <n v="15983"/>
    <m/>
    <n v="240"/>
    <n v="29353"/>
    <n v="3310"/>
    <n v="7660"/>
    <n v="0.26096140087895614"/>
  </r>
  <r>
    <s v="ON"/>
    <s v="IRL"/>
    <x v="1"/>
    <x v="2"/>
    <x v="18"/>
    <n v="8030"/>
    <n v="2230"/>
    <n v="1250"/>
    <n v="3000"/>
    <n v="19524"/>
    <m/>
    <n v="240"/>
    <n v="34274"/>
    <n v="3480"/>
    <n v="8270"/>
    <n v="0.24129077434790219"/>
  </r>
  <r>
    <s v="ON"/>
    <s v="IRL"/>
    <x v="2"/>
    <x v="3"/>
    <x v="19"/>
    <n v="12050"/>
    <n v="3360"/>
    <n v="1000"/>
    <n v="2400"/>
    <n v="19510"/>
    <m/>
    <n v="240"/>
    <n v="38560"/>
    <n v="4360"/>
    <n v="12290"/>
    <n v="0.31872406639004147"/>
  </r>
  <r>
    <s v="ON"/>
    <s v="IRL"/>
    <x v="2"/>
    <x v="3"/>
    <x v="20"/>
    <n v="7900"/>
    <n v="2080"/>
    <n v="1000"/>
    <n v="2400"/>
    <n v="14739"/>
    <m/>
    <n v="240"/>
    <n v="28359"/>
    <n v="3080"/>
    <n v="8140"/>
    <n v="0.28703409852251488"/>
  </r>
  <r>
    <s v="ON"/>
    <s v="IRL"/>
    <x v="2"/>
    <x v="3"/>
    <x v="21"/>
    <n v="1150"/>
    <n v="3690"/>
    <n v="1250"/>
    <n v="600"/>
    <n v="18992"/>
    <m/>
    <n v="240"/>
    <n v="25922"/>
    <n v="4940"/>
    <n v="1390"/>
    <n v="5.3622405678574181E-2"/>
  </r>
  <r>
    <s v="ON"/>
    <s v="IRL"/>
    <x v="2"/>
    <x v="0"/>
    <x v="22"/>
    <n v="7940"/>
    <n v="4460"/>
    <n v="1000"/>
    <n v="600"/>
    <n v="17819"/>
    <m/>
    <n v="240"/>
    <n v="32059"/>
    <n v="5460"/>
    <n v="8180"/>
    <n v="0.25515455878224524"/>
  </r>
  <r>
    <s v="ON"/>
    <s v="IRL"/>
    <x v="2"/>
    <x v="0"/>
    <x v="23"/>
    <n v="8620"/>
    <n v="2970"/>
    <n v="1000"/>
    <n v="750"/>
    <n v="17564"/>
    <m/>
    <n v="240"/>
    <n v="31144"/>
    <n v="3970"/>
    <n v="8860"/>
    <n v="0.28448497302851272"/>
  </r>
  <r>
    <s v="ON"/>
    <s v="IRL"/>
    <x v="2"/>
    <x v="0"/>
    <x v="24"/>
    <n v="8460"/>
    <n v="2550"/>
    <n v="1250"/>
    <n v="600"/>
    <n v="21642"/>
    <m/>
    <n v="240"/>
    <n v="34742"/>
    <n v="3800"/>
    <n v="8700"/>
    <n v="0.25041736227045075"/>
  </r>
  <r>
    <s v="ON"/>
    <s v="IRL"/>
    <x v="2"/>
    <x v="1"/>
    <x v="25"/>
    <n v="10150"/>
    <n v="2880"/>
    <n v="1000"/>
    <n v="600"/>
    <n v="20711"/>
    <m/>
    <n v="240"/>
    <n v="35581"/>
    <n v="3880"/>
    <n v="10390"/>
    <n v="0.2920097805008291"/>
  </r>
  <r>
    <s v="ON"/>
    <s v="IRL"/>
    <x v="2"/>
    <x v="1"/>
    <x v="26"/>
    <n v="10240"/>
    <n v="2820"/>
    <n v="1000"/>
    <n v="750"/>
    <n v="18842"/>
    <m/>
    <n v="240"/>
    <n v="33892"/>
    <n v="3820"/>
    <n v="10480"/>
    <n v="0.30921751445768914"/>
  </r>
  <r>
    <s v="ON"/>
    <s v="IRL"/>
    <x v="2"/>
    <x v="1"/>
    <x v="27"/>
    <n v="12290"/>
    <n v="4400"/>
    <n v="1250"/>
    <n v="600"/>
    <n v="19507"/>
    <m/>
    <n v="240"/>
    <n v="38287"/>
    <n v="5650"/>
    <n v="12530"/>
    <n v="0.32726512915611045"/>
  </r>
  <r>
    <s v="ON"/>
    <s v="IRL"/>
    <x v="2"/>
    <x v="2"/>
    <x v="28"/>
    <n v="9220"/>
    <n v="2330"/>
    <n v="1000"/>
    <n v="750"/>
    <n v="16826"/>
    <m/>
    <n v="240"/>
    <n v="30366"/>
    <n v="3330"/>
    <n v="9460"/>
    <n v="0.31153263518408747"/>
  </r>
  <r>
    <s v="ON"/>
    <s v="IRL"/>
    <x v="2"/>
    <x v="2"/>
    <x v="29"/>
    <n v="9630"/>
    <n v="2520"/>
    <n v="1300"/>
    <n v="600"/>
    <n v="17161"/>
    <m/>
    <n v="240"/>
    <n v="31451"/>
    <n v="3820"/>
    <n v="9870"/>
    <n v="0.31382150011128424"/>
  </r>
  <r>
    <s v="ON"/>
    <s v="IRL"/>
    <x v="2"/>
    <x v="2"/>
    <x v="30"/>
    <n v="10010"/>
    <n v="2550"/>
    <n v="1600"/>
    <n v="600"/>
    <n v="19189"/>
    <m/>
    <n v="0"/>
    <n v="33949"/>
    <n v="4150"/>
    <n v="10010"/>
    <n v="0.29485404577454416"/>
  </r>
  <r>
    <s v="ON"/>
    <s v="IRL"/>
    <x v="3"/>
    <x v="3"/>
    <x v="31"/>
    <n v="8750"/>
    <n v="2670"/>
    <n v="1300"/>
    <n v="750"/>
    <n v="17052"/>
    <m/>
    <n v="0"/>
    <n v="30522"/>
    <n v="3970"/>
    <n v="8750"/>
    <n v="0.28667846143765152"/>
  </r>
  <r>
    <s v="ON"/>
    <s v="IRL"/>
    <x v="3"/>
    <x v="3"/>
    <x v="32"/>
    <n v="9470"/>
    <n v="3260"/>
    <n v="1600"/>
    <n v="600"/>
    <n v="16033"/>
    <m/>
    <n v="0"/>
    <n v="30963"/>
    <n v="4860"/>
    <n v="9470"/>
    <n v="0.30584891644866452"/>
  </r>
  <r>
    <s v="ON"/>
    <s v="IRL"/>
    <x v="3"/>
    <x v="3"/>
    <x v="33"/>
    <n v="12250"/>
    <n v="1920"/>
    <n v="1000"/>
    <n v="600"/>
    <n v="16491"/>
    <n v="1806"/>
    <n v="0"/>
    <n v="34067"/>
    <n v="2920"/>
    <n v="12250"/>
    <n v="0.35958552264654947"/>
  </r>
  <r>
    <s v="ON"/>
    <s v="IRL"/>
    <x v="3"/>
    <x v="0"/>
    <x v="34"/>
    <n v="13780"/>
    <n v="2620"/>
    <n v="1000"/>
    <n v="750"/>
    <n v="15979"/>
    <n v="1757"/>
    <n v="0"/>
    <n v="35886"/>
    <n v="3620"/>
    <n v="13780"/>
    <n v="0.38399375801148078"/>
  </r>
  <r>
    <s v="ON"/>
    <s v="IRL"/>
    <x v="3"/>
    <x v="0"/>
    <x v="35"/>
    <n v="12650"/>
    <n v="3270"/>
    <n v="1000"/>
    <n v="600"/>
    <n v="18678"/>
    <n v="1619"/>
    <n v="0"/>
    <n v="37817"/>
    <n v="4270"/>
    <n v="12650"/>
    <n v="0.33450564560911761"/>
  </r>
  <r>
    <s v="ON"/>
    <s v="IRL"/>
    <x v="3"/>
    <x v="0"/>
    <x v="36"/>
    <n v="10500"/>
    <n v="1920"/>
    <n v="1000"/>
    <n v="600"/>
    <n v="17471"/>
    <n v="2601"/>
    <n v="240"/>
    <n v="34332"/>
    <n v="2920"/>
    <n v="10740"/>
    <n v="0.31282768262845156"/>
  </r>
  <r>
    <s v="ON"/>
    <s v="IRL"/>
    <x v="3"/>
    <x v="1"/>
    <x v="37"/>
    <n v="11640"/>
    <n v="3090"/>
    <n v="1960"/>
    <n v="600"/>
    <n v="18331"/>
    <n v="1974"/>
    <n v="4360"/>
    <n v="41955"/>
    <n v="5050"/>
    <n v="16000"/>
    <n v="0.38136098200452867"/>
  </r>
  <r>
    <s v="ON"/>
    <s v="IRL"/>
    <x v="3"/>
    <x v="1"/>
    <x v="38"/>
    <n v="7090"/>
    <n v="2350"/>
    <n v="1740"/>
    <n v="600"/>
    <n v="19276"/>
    <n v="1974"/>
    <n v="0"/>
    <n v="33030"/>
    <n v="4090"/>
    <n v="7090"/>
    <n v="0.21465334544353618"/>
  </r>
  <r>
    <s v="ON"/>
    <s v="IRL"/>
    <x v="3"/>
    <x v="1"/>
    <x v="39"/>
    <n v="10970"/>
    <n v="1140"/>
    <n v="2180"/>
    <n v="600"/>
    <n v="18405"/>
    <n v="2640"/>
    <n v="0"/>
    <n v="35935"/>
    <n v="3320"/>
    <n v="10970"/>
    <n v="0.30527341032419647"/>
  </r>
  <r>
    <s v="ON"/>
    <s v="IRL"/>
    <x v="3"/>
    <x v="2"/>
    <x v="40"/>
    <n v="10260"/>
    <n v="2920"/>
    <n v="1740"/>
    <n v="600"/>
    <n v="16499"/>
    <n v="2122"/>
    <n v="0"/>
    <n v="34141"/>
    <n v="4660"/>
    <n v="10260"/>
    <n v="0.30051843824141061"/>
  </r>
  <r>
    <s v="ON"/>
    <s v="IRL"/>
    <x v="3"/>
    <x v="2"/>
    <x v="41"/>
    <n v="11340"/>
    <n v="2300"/>
    <n v="1740"/>
    <n v="600"/>
    <n v="19743"/>
    <n v="2541"/>
    <n v="0"/>
    <n v="38264"/>
    <n v="4040"/>
    <n v="11340"/>
    <n v="0.29636211582688687"/>
  </r>
  <r>
    <s v="ON"/>
    <s v="IRL"/>
    <x v="3"/>
    <x v="2"/>
    <x v="42"/>
    <n v="12600"/>
    <n v="1300"/>
    <n v="2180"/>
    <n v="750"/>
    <n v="19903"/>
    <n v="1974"/>
    <n v="0"/>
    <n v="38707"/>
    <n v="3480"/>
    <n v="12600"/>
    <n v="0.32552251530730875"/>
  </r>
  <r>
    <s v="ON"/>
    <s v="IRL"/>
    <x v="4"/>
    <x v="3"/>
    <x v="43"/>
    <n v="9840"/>
    <n v="2330"/>
    <n v="1740"/>
    <n v="600"/>
    <n v="17465"/>
    <n v="1998"/>
    <n v="3320"/>
    <n v="37293"/>
    <n v="4070"/>
    <n v="13160"/>
    <n v="0.35288123776580055"/>
  </r>
  <r>
    <s v="ON"/>
    <s v="IRL"/>
    <x v="4"/>
    <x v="3"/>
    <x v="44"/>
    <n v="10290"/>
    <n v="2360"/>
    <n v="2180"/>
    <n v="750"/>
    <n v="18273"/>
    <n v="2472"/>
    <n v="0"/>
    <n v="36325"/>
    <n v="4540"/>
    <n v="10290"/>
    <n v="0.28327598072952515"/>
  </r>
  <r>
    <s v="ON"/>
    <s v="IRL"/>
    <x v="4"/>
    <x v="3"/>
    <x v="45"/>
    <n v="8540"/>
    <n v="2000"/>
    <n v="1740"/>
    <n v="600"/>
    <n v="17059"/>
    <n v="2050"/>
    <n v="0"/>
    <n v="31989"/>
    <n v="3740"/>
    <n v="8540"/>
    <n v="0.26696676982712808"/>
  </r>
  <r>
    <s v="ON"/>
    <s v="IRL"/>
    <x v="4"/>
    <x v="0"/>
    <x v="46"/>
    <n v="8490"/>
    <n v="2000"/>
    <n v="1740"/>
    <n v="600"/>
    <n v="17373"/>
    <n v="2137"/>
    <n v="0"/>
    <n v="32340"/>
    <n v="3740"/>
    <n v="8490"/>
    <n v="0.26252319109461969"/>
  </r>
  <r>
    <s v="ON"/>
    <s v="IRL"/>
    <x v="4"/>
    <x v="0"/>
    <x v="47"/>
    <n v="9330"/>
    <n v="3050"/>
    <n v="2180"/>
    <n v="750"/>
    <n v="19988"/>
    <n v="2772"/>
    <n v="0"/>
    <n v="38070"/>
    <n v="5230"/>
    <n v="9330"/>
    <n v="0.24507486209613868"/>
  </r>
  <r>
    <s v="ON"/>
    <s v="IRL"/>
    <x v="4"/>
    <x v="0"/>
    <x v="48"/>
    <n v="12020"/>
    <n v="2790"/>
    <n v="1740"/>
    <n v="600"/>
    <n v="19059"/>
    <n v="2074"/>
    <n v="0"/>
    <n v="38283"/>
    <n v="4530"/>
    <n v="12020"/>
    <n v="0.31397748347830629"/>
  </r>
  <r>
    <s v="ON"/>
    <s v="IRL"/>
    <x v="4"/>
    <x v="1"/>
    <x v="49"/>
    <n v="9610"/>
    <n v="3850"/>
    <n v="1740"/>
    <n v="750"/>
    <n v="18197"/>
    <n v="2050"/>
    <n v="0"/>
    <n v="36197"/>
    <n v="5590"/>
    <n v="9610"/>
    <n v="0.26549161532723708"/>
  </r>
  <r>
    <s v="ON"/>
    <s v="IRL"/>
    <x v="4"/>
    <x v="1"/>
    <x v="50"/>
    <n v="9640"/>
    <n v="2920"/>
    <n v="1740"/>
    <n v="600"/>
    <n v="19753"/>
    <n v="2064"/>
    <n v="0"/>
    <n v="36717"/>
    <n v="4660"/>
    <n v="9640"/>
    <n v="0.26254868317128305"/>
  </r>
  <r>
    <s v="ON"/>
    <s v="IRL"/>
    <x v="4"/>
    <x v="1"/>
    <x v="51"/>
    <n v="10160"/>
    <n v="2780"/>
    <n v="2180"/>
    <n v="600"/>
    <n v="18743"/>
    <n v="2562"/>
    <n v="0"/>
    <n v="37025"/>
    <n v="4960"/>
    <n v="10160"/>
    <n v="0.27440918298446998"/>
  </r>
  <r>
    <s v="ON"/>
    <s v="IRL"/>
    <x v="4"/>
    <x v="2"/>
    <x v="52"/>
    <n v="7530"/>
    <n v="2740"/>
    <n v="1740"/>
    <n v="750"/>
    <n v="18210"/>
    <n v="2079"/>
    <n v="0"/>
    <n v="33049"/>
    <n v="4480"/>
    <n v="7530"/>
    <n v="0.22784350509849013"/>
  </r>
  <r>
    <s v="ON"/>
    <s v="IRL"/>
    <x v="4"/>
    <x v="2"/>
    <x v="53"/>
    <n v="10700"/>
    <n v="4580"/>
    <n v="2180"/>
    <n v="750"/>
    <n v="18456"/>
    <n v="2708"/>
    <n v="0"/>
    <n v="39374"/>
    <n v="6760"/>
    <n v="10700"/>
    <n v="0.27175293340783258"/>
  </r>
  <r>
    <s v="ON"/>
    <s v="IRL"/>
    <x v="4"/>
    <x v="2"/>
    <x v="54"/>
    <n v="9110"/>
    <n v="2830"/>
    <n v="1740"/>
    <n v="600"/>
    <n v="18029"/>
    <n v="2050"/>
    <n v="0"/>
    <n v="34359"/>
    <n v="4570"/>
    <n v="9110"/>
    <n v="0.26514159317791552"/>
  </r>
  <r>
    <s v="ON"/>
    <s v="IRL"/>
    <x v="5"/>
    <x v="3"/>
    <x v="55"/>
    <n v="9170"/>
    <n v="3160"/>
    <n v="1740"/>
    <n v="750"/>
    <n v="20303"/>
    <n v="2074"/>
    <n v="0"/>
    <n v="37197"/>
    <n v="4900"/>
    <n v="9170"/>
    <n v="0.24652525741323225"/>
  </r>
  <r>
    <s v="ON"/>
    <s v="IRL"/>
    <x v="5"/>
    <x v="3"/>
    <x v="56"/>
    <n v="10150"/>
    <n v="2830"/>
    <n v="2180"/>
    <n v="600"/>
    <n v="16620"/>
    <n v="2167"/>
    <n v="0"/>
    <n v="34547"/>
    <n v="5010"/>
    <n v="10150"/>
    <n v="0.29380264567111469"/>
  </r>
  <r>
    <s v="ON"/>
    <s v="IRL"/>
    <x v="5"/>
    <x v="3"/>
    <x v="57"/>
    <n v="7510"/>
    <n v="1970"/>
    <n v="1740"/>
    <n v="750"/>
    <n v="16196"/>
    <n v="2196"/>
    <n v="0"/>
    <n v="30362"/>
    <n v="3710"/>
    <n v="7510"/>
    <n v="0.24734865950859627"/>
  </r>
  <r>
    <s v="ON"/>
    <s v="IRL"/>
    <x v="5"/>
    <x v="0"/>
    <x v="58"/>
    <n v="8300"/>
    <n v="3020"/>
    <n v="1740"/>
    <n v="600"/>
    <n v="16882"/>
    <n v="2074"/>
    <n v="0"/>
    <n v="32616"/>
    <n v="4760"/>
    <n v="8300"/>
    <n v="0.25447633063527103"/>
  </r>
  <r>
    <s v="ON"/>
    <s v="IRL"/>
    <x v="5"/>
    <x v="0"/>
    <x v="59"/>
    <n v="11990"/>
    <n v="4530"/>
    <n v="1740"/>
    <n v="600"/>
    <n v="20114"/>
    <n v="2557"/>
    <n v="0"/>
    <n v="41531"/>
    <n v="6270"/>
    <n v="11990"/>
    <n v="0.28870000722351979"/>
  </r>
  <r>
    <s v="ON"/>
    <s v="IRL"/>
    <x v="5"/>
    <x v="0"/>
    <x v="60"/>
    <n v="9950"/>
    <n v="2950"/>
    <n v="1740"/>
    <n v="600"/>
    <n v="18607"/>
    <n v="2050"/>
    <n v="0"/>
    <n v="35897"/>
    <n v="4690"/>
    <n v="9950"/>
    <n v="0.27718193720923756"/>
  </r>
  <r>
    <s v="ON"/>
    <s v="IRL"/>
    <x v="5"/>
    <x v="1"/>
    <x v="61"/>
    <n v="11410"/>
    <n v="2870"/>
    <n v="1740"/>
    <n v="750"/>
    <n v="18887"/>
    <n v="2025"/>
    <n v="0"/>
    <n v="37682"/>
    <n v="4610"/>
    <n v="11410"/>
    <n v="0.30279709144949846"/>
  </r>
  <r>
    <s v="ON"/>
    <s v="IRL"/>
    <x v="5"/>
    <x v="1"/>
    <x v="62"/>
    <n v="14150"/>
    <n v="3290"/>
    <n v="2175"/>
    <n v="750"/>
    <n v="20737"/>
    <n v="2752"/>
    <n v="0"/>
    <n v="43854"/>
    <n v="5465"/>
    <n v="14150"/>
    <n v="0.32266155880877456"/>
  </r>
  <r>
    <s v="ON"/>
    <s v="IRL"/>
    <x v="5"/>
    <x v="1"/>
    <x v="63"/>
    <n v="8970"/>
    <n v="1670"/>
    <n v="2180"/>
    <n v="600"/>
    <n v="17905"/>
    <n v="1976"/>
    <n v="0"/>
    <n v="33301"/>
    <n v="3850"/>
    <n v="8970"/>
    <n v="0.26936128044202878"/>
  </r>
  <r>
    <s v="ON"/>
    <s v="IRL"/>
    <x v="5"/>
    <x v="2"/>
    <x v="64"/>
    <n v="8820"/>
    <n v="3080"/>
    <n v="1740"/>
    <n v="900"/>
    <n v="19796"/>
    <n v="2113"/>
    <n v="0"/>
    <n v="36449"/>
    <n v="4820"/>
    <n v="8820"/>
    <n v="0.24198194737852891"/>
  </r>
  <r>
    <s v="ON"/>
    <s v="IRL"/>
    <x v="5"/>
    <x v="2"/>
    <x v="65"/>
    <n v="12550"/>
    <n v="1470"/>
    <n v="2180"/>
    <n v="600"/>
    <n v="20152"/>
    <n v="3221"/>
    <n v="0"/>
    <n v="40173"/>
    <n v="3650"/>
    <n v="12550"/>
    <n v="0.31239887486620366"/>
  </r>
  <r>
    <s v="ON"/>
    <s v="IRL"/>
    <x v="5"/>
    <x v="2"/>
    <x v="66"/>
    <n v="10090"/>
    <n v="4030"/>
    <n v="3050"/>
    <n v="750"/>
    <n v="21412"/>
    <n v="2069"/>
    <n v="0"/>
    <n v="41401"/>
    <n v="7080"/>
    <n v="10090"/>
    <n v="0.24371391995362432"/>
  </r>
  <r>
    <s v="ON"/>
    <s v="IRL"/>
    <x v="6"/>
    <x v="3"/>
    <x v="67"/>
    <n v="9366"/>
    <n v="3200"/>
    <n v="1740"/>
    <n v="600"/>
    <n v="21397"/>
    <n v="1947"/>
    <n v="0"/>
    <n v="38250"/>
    <n v="4940"/>
    <n v="9366"/>
    <n v="0.24486274509803921"/>
  </r>
  <r>
    <s v="ON"/>
    <s v="IRL"/>
    <x v="6"/>
    <x v="3"/>
    <x v="68"/>
    <n v="12630"/>
    <n v="4370"/>
    <n v="2180"/>
    <n v="600"/>
    <n v="18755.099999999999"/>
    <n v="2035"/>
    <m/>
    <n v="40570.1"/>
    <n v="6550"/>
    <n v="12630"/>
    <n v="0.31131301130635619"/>
  </r>
  <r>
    <s v="ON"/>
    <s v="IRL"/>
    <x v="6"/>
    <x v="3"/>
    <x v="69"/>
    <n v="9400"/>
    <n v="2740"/>
    <n v="3920"/>
    <n v="750"/>
    <n v="19676.7"/>
    <n v="1625"/>
    <m/>
    <n v="38111.699999999997"/>
    <n v="6660"/>
    <n v="9400"/>
    <n v="0.24664341921247282"/>
  </r>
  <r>
    <s v="ON"/>
    <s v="IRL"/>
    <x v="6"/>
    <x v="0"/>
    <x v="70"/>
    <n v="9380"/>
    <n v="2930"/>
    <n v="3480"/>
    <n v="600"/>
    <n v="19974.3"/>
    <n v="1523"/>
    <m/>
    <n v="37887.300000000003"/>
    <n v="6410"/>
    <n v="9380"/>
    <n v="0.24757636463933824"/>
  </r>
  <r>
    <s v="ON"/>
    <s v="IRL"/>
    <x v="6"/>
    <x v="0"/>
    <x v="71"/>
    <n v="15790"/>
    <n v="1800"/>
    <n v="3920"/>
    <n v="600"/>
    <n v="21160.3"/>
    <n v="1928"/>
    <m/>
    <n v="45198.3"/>
    <n v="5720"/>
    <n v="15790"/>
    <n v="0.34934942243402956"/>
  </r>
  <r>
    <s v="ON"/>
    <s v="IRL"/>
    <x v="6"/>
    <x v="0"/>
    <x v="72"/>
    <n v="9190"/>
    <n v="2370"/>
    <n v="3480"/>
    <n v="750"/>
    <n v="18815.3"/>
    <n v="1664"/>
    <m/>
    <n v="36269.300000000003"/>
    <n v="5850"/>
    <n v="9190"/>
    <n v="0.25338233712809455"/>
  </r>
  <r>
    <s v="ON"/>
    <s v="IRL"/>
    <x v="6"/>
    <x v="1"/>
    <x v="73"/>
    <n v="14150"/>
    <n v="4140"/>
    <n v="4350"/>
    <n v="600"/>
    <n v="22972"/>
    <n v="2133"/>
    <m/>
    <n v="48345"/>
    <n v="8490"/>
    <n v="14150"/>
    <n v="0.29268797186885925"/>
  </r>
  <r>
    <s v="ON"/>
    <s v="IRL"/>
    <x v="6"/>
    <x v="1"/>
    <x v="74"/>
    <n v="10420"/>
    <n v="2190"/>
    <n v="3480"/>
    <n v="600"/>
    <n v="20101"/>
    <n v="1601"/>
    <m/>
    <n v="38392"/>
    <n v="5670"/>
    <n v="10420"/>
    <n v="0.27141071056470095"/>
  </r>
</pivotCacheRecords>
</file>

<file path=xl/pivotCache/pivotCacheRecords5.xml><?xml version="1.0" encoding="utf-8"?>
<pivotCacheRecords xmlns="http://schemas.openxmlformats.org/spreadsheetml/2006/main" xmlns:r="http://schemas.openxmlformats.org/officeDocument/2006/relationships" count="75">
  <r>
    <s v="BC"/>
    <s v="BRL"/>
    <x v="0"/>
    <x v="0"/>
    <x v="0"/>
    <n v="8280"/>
    <n v="330"/>
    <n v="875"/>
    <m/>
    <n v="7614"/>
    <m/>
    <m/>
    <n v="17099"/>
    <n v="1205"/>
    <n v="8280"/>
    <n v="0.48423884437686415"/>
  </r>
  <r>
    <s v="BC"/>
    <s v="BRL"/>
    <x v="0"/>
    <x v="1"/>
    <x v="1"/>
    <n v="7920"/>
    <n v="264"/>
    <n v="700"/>
    <m/>
    <n v="8581"/>
    <m/>
    <m/>
    <n v="17465"/>
    <n v="964"/>
    <n v="7920"/>
    <n v="0.45347838534211282"/>
  </r>
  <r>
    <s v="BC"/>
    <s v="BRL"/>
    <x v="0"/>
    <x v="1"/>
    <x v="2"/>
    <n v="6480"/>
    <n v="528"/>
    <n v="700"/>
    <m/>
    <n v="8372"/>
    <m/>
    <m/>
    <n v="16080"/>
    <n v="1228"/>
    <n v="6480"/>
    <n v="0.40298507462686567"/>
  </r>
  <r>
    <s v="BC"/>
    <s v="BRL"/>
    <x v="0"/>
    <x v="1"/>
    <x v="3"/>
    <n v="8280"/>
    <n v="594"/>
    <n v="875"/>
    <m/>
    <n v="4651"/>
    <m/>
    <m/>
    <n v="14400"/>
    <n v="1469"/>
    <n v="8280"/>
    <n v="0.57499999999999996"/>
  </r>
  <r>
    <s v="BC"/>
    <s v="BRL"/>
    <x v="0"/>
    <x v="2"/>
    <x v="4"/>
    <n v="7920"/>
    <n v="528"/>
    <n v="700"/>
    <m/>
    <n v="8496"/>
    <m/>
    <m/>
    <n v="17644"/>
    <n v="1228"/>
    <n v="7920"/>
    <n v="0.44887780548628431"/>
  </r>
  <r>
    <s v="BC"/>
    <s v="BRL"/>
    <x v="0"/>
    <x v="2"/>
    <x v="5"/>
    <n v="7920"/>
    <n v="660"/>
    <n v="700"/>
    <m/>
    <n v="10202"/>
    <m/>
    <m/>
    <n v="19482"/>
    <n v="1360"/>
    <n v="7920"/>
    <n v="0.40652910378811208"/>
  </r>
  <r>
    <s v="BC"/>
    <s v="BRL"/>
    <x v="0"/>
    <x v="2"/>
    <x v="6"/>
    <n v="7920"/>
    <n v="528"/>
    <n v="875"/>
    <m/>
    <n v="3759"/>
    <m/>
    <m/>
    <n v="13082"/>
    <n v="1403"/>
    <n v="7920"/>
    <n v="0.60541201651123677"/>
  </r>
  <r>
    <s v="BC"/>
    <s v="BRL"/>
    <x v="1"/>
    <x v="3"/>
    <x v="7"/>
    <n v="7560"/>
    <n v="594"/>
    <n v="700"/>
    <m/>
    <n v="7732"/>
    <m/>
    <m/>
    <n v="16586"/>
    <n v="1294"/>
    <n v="7560"/>
    <n v="0.45580610153141204"/>
  </r>
  <r>
    <s v="BC"/>
    <s v="BRL"/>
    <x v="1"/>
    <x v="3"/>
    <x v="8"/>
    <n v="8280"/>
    <n v="660"/>
    <n v="875"/>
    <m/>
    <n v="12072"/>
    <m/>
    <m/>
    <n v="21887"/>
    <n v="1535"/>
    <n v="8280"/>
    <n v="0.37830675743592085"/>
  </r>
  <r>
    <s v="BC"/>
    <s v="BRL"/>
    <x v="1"/>
    <x v="3"/>
    <x v="9"/>
    <n v="6840"/>
    <n v="462"/>
    <n v="700"/>
    <m/>
    <n v="9813"/>
    <m/>
    <m/>
    <n v="17815"/>
    <n v="1162"/>
    <n v="6840"/>
    <n v="0.38394611282627"/>
  </r>
  <r>
    <s v="BC"/>
    <s v="BRL"/>
    <x v="1"/>
    <x v="0"/>
    <x v="10"/>
    <n v="7920"/>
    <n v="594"/>
    <n v="700"/>
    <m/>
    <n v="9429"/>
    <m/>
    <m/>
    <n v="18643"/>
    <n v="1294"/>
    <n v="7920"/>
    <n v="0.4248243308480395"/>
  </r>
  <r>
    <s v="BC"/>
    <s v="BRL"/>
    <x v="1"/>
    <x v="0"/>
    <x v="11"/>
    <n v="6840"/>
    <n v="198"/>
    <n v="700"/>
    <m/>
    <n v="8850"/>
    <m/>
    <m/>
    <n v="16588"/>
    <n v="898"/>
    <n v="6840"/>
    <n v="0.41234627441523991"/>
  </r>
  <r>
    <s v="BC"/>
    <s v="BRL"/>
    <x v="1"/>
    <x v="0"/>
    <x v="12"/>
    <n v="8280"/>
    <n v="330"/>
    <n v="875"/>
    <m/>
    <n v="9443"/>
    <m/>
    <m/>
    <n v="18928"/>
    <n v="1205"/>
    <n v="8280"/>
    <n v="0.43744716821639901"/>
  </r>
  <r>
    <s v="BC"/>
    <s v="BRL"/>
    <x v="1"/>
    <x v="1"/>
    <x v="13"/>
    <n v="7920"/>
    <n v="264"/>
    <n v="700"/>
    <m/>
    <n v="9026"/>
    <m/>
    <m/>
    <n v="17910"/>
    <n v="964"/>
    <n v="7920"/>
    <n v="0.44221105527638194"/>
  </r>
  <r>
    <s v="BC"/>
    <s v="BRL"/>
    <x v="1"/>
    <x v="1"/>
    <x v="14"/>
    <n v="6480"/>
    <n v="528"/>
    <n v="700"/>
    <m/>
    <n v="8553"/>
    <m/>
    <m/>
    <n v="16261"/>
    <n v="1228"/>
    <n v="6480"/>
    <n v="0.39849947727692026"/>
  </r>
  <r>
    <s v="BC"/>
    <s v="BRL"/>
    <x v="1"/>
    <x v="1"/>
    <x v="15"/>
    <n v="8280"/>
    <n v="594"/>
    <n v="875"/>
    <m/>
    <n v="8331"/>
    <m/>
    <m/>
    <n v="18080"/>
    <n v="1469"/>
    <n v="8280"/>
    <n v="0.45796460176991149"/>
  </r>
  <r>
    <s v="BC"/>
    <s v="BRL"/>
    <x v="1"/>
    <x v="2"/>
    <x v="16"/>
    <n v="7920"/>
    <n v="528"/>
    <n v="700"/>
    <m/>
    <n v="8701"/>
    <m/>
    <m/>
    <n v="17849"/>
    <n v="1228"/>
    <n v="7920"/>
    <n v="0.44372233738584793"/>
  </r>
  <r>
    <s v="BC"/>
    <s v="BRL"/>
    <x v="1"/>
    <x v="2"/>
    <x v="17"/>
    <n v="7920"/>
    <n v="660"/>
    <n v="700"/>
    <m/>
    <n v="10010"/>
    <m/>
    <m/>
    <n v="19290"/>
    <n v="1360"/>
    <n v="7920"/>
    <n v="0.41057542768273719"/>
  </r>
  <r>
    <s v="BC"/>
    <s v="BRL"/>
    <x v="1"/>
    <x v="2"/>
    <x v="18"/>
    <n v="7920"/>
    <n v="528"/>
    <n v="875"/>
    <m/>
    <n v="8416"/>
    <m/>
    <m/>
    <n v="17739"/>
    <n v="1403"/>
    <n v="7920"/>
    <n v="0.44647387113140535"/>
  </r>
  <r>
    <s v="BC"/>
    <s v="BRL"/>
    <x v="2"/>
    <x v="3"/>
    <x v="19"/>
    <n v="7560"/>
    <n v="594"/>
    <n v="700"/>
    <m/>
    <n v="8624"/>
    <m/>
    <m/>
    <n v="17478"/>
    <n v="1294"/>
    <n v="7560"/>
    <n v="0.43254376930998972"/>
  </r>
  <r>
    <s v="BC"/>
    <s v="BRL"/>
    <x v="2"/>
    <x v="3"/>
    <x v="20"/>
    <n v="8280"/>
    <n v="660"/>
    <n v="875"/>
    <m/>
    <n v="8335"/>
    <m/>
    <m/>
    <n v="18150"/>
    <n v="1535"/>
    <n v="8280"/>
    <n v="0.45619834710743801"/>
  </r>
  <r>
    <s v="BC"/>
    <s v="BRL"/>
    <x v="2"/>
    <x v="3"/>
    <x v="21"/>
    <n v="6840"/>
    <n v="462"/>
    <n v="700"/>
    <m/>
    <n v="8126"/>
    <m/>
    <m/>
    <n v="16128"/>
    <n v="1162"/>
    <n v="6840"/>
    <n v="0.42410714285714285"/>
  </r>
  <r>
    <s v="BC"/>
    <s v="BRL"/>
    <x v="2"/>
    <x v="0"/>
    <x v="22"/>
    <n v="6153"/>
    <n v="1456"/>
    <n v="700"/>
    <m/>
    <n v="8844"/>
    <m/>
    <m/>
    <n v="17153"/>
    <n v="2156"/>
    <n v="6153"/>
    <n v="0.35871276161604382"/>
  </r>
  <r>
    <s v="BC"/>
    <s v="BRL"/>
    <x v="2"/>
    <x v="0"/>
    <x v="23"/>
    <n v="6762"/>
    <n v="2100"/>
    <n v="0"/>
    <m/>
    <n v="8623"/>
    <m/>
    <m/>
    <n v="17485"/>
    <n v="2100"/>
    <n v="6762"/>
    <n v="0.38673148412925362"/>
  </r>
  <r>
    <s v="BC"/>
    <s v="BRL"/>
    <x v="2"/>
    <x v="0"/>
    <x v="24"/>
    <n v="6624"/>
    <n v="2646"/>
    <n v="0"/>
    <m/>
    <n v="7092"/>
    <m/>
    <m/>
    <n v="16362"/>
    <n v="2646"/>
    <n v="6624"/>
    <n v="0.40484048404840484"/>
  </r>
  <r>
    <s v="BC"/>
    <s v="BRL"/>
    <x v="2"/>
    <x v="1"/>
    <x v="25"/>
    <n v="5901"/>
    <n v="2289"/>
    <n v="0"/>
    <m/>
    <n v="8243"/>
    <m/>
    <m/>
    <n v="16433"/>
    <n v="2289"/>
    <n v="5901"/>
    <n v="0.35909450495953266"/>
  </r>
  <r>
    <s v="BC"/>
    <s v="BRL"/>
    <x v="2"/>
    <x v="1"/>
    <x v="26"/>
    <n v="6775"/>
    <n v="2121"/>
    <n v="0"/>
    <m/>
    <n v="8621"/>
    <m/>
    <m/>
    <n v="17517"/>
    <n v="2121"/>
    <n v="6775"/>
    <n v="0.38676714049209338"/>
  </r>
  <r>
    <s v="BC"/>
    <s v="BRL"/>
    <x v="2"/>
    <x v="1"/>
    <x v="27"/>
    <n v="5165"/>
    <n v="2124"/>
    <n v="0"/>
    <m/>
    <n v="7666"/>
    <m/>
    <m/>
    <n v="14955"/>
    <n v="2124"/>
    <n v="5165"/>
    <n v="0.34536944165830824"/>
  </r>
  <r>
    <s v="BC"/>
    <s v="BRL"/>
    <x v="2"/>
    <x v="2"/>
    <x v="28"/>
    <n v="6006"/>
    <n v="2445"/>
    <n v="0"/>
    <m/>
    <n v="7400"/>
    <m/>
    <m/>
    <n v="15851"/>
    <n v="2445"/>
    <n v="6006"/>
    <n v="0.3789035392088827"/>
  </r>
  <r>
    <s v="BC"/>
    <s v="BRL"/>
    <x v="2"/>
    <x v="2"/>
    <x v="29"/>
    <n v="5576"/>
    <n v="2966"/>
    <n v="0"/>
    <m/>
    <n v="8290"/>
    <m/>
    <m/>
    <n v="16832"/>
    <n v="2966"/>
    <n v="5576"/>
    <n v="0.33127376425855515"/>
  </r>
  <r>
    <s v="BC"/>
    <s v="BRL"/>
    <x v="2"/>
    <x v="2"/>
    <x v="30"/>
    <n v="4235"/>
    <n v="2932"/>
    <n v="0"/>
    <m/>
    <n v="7557"/>
    <m/>
    <m/>
    <n v="14724"/>
    <n v="2932"/>
    <n v="4235"/>
    <n v="0.28762564520510731"/>
  </r>
  <r>
    <s v="BC"/>
    <s v="BRL"/>
    <x v="3"/>
    <x v="3"/>
    <x v="31"/>
    <n v="4763"/>
    <n v="2112"/>
    <n v="0"/>
    <m/>
    <n v="7577"/>
    <m/>
    <m/>
    <n v="14452"/>
    <n v="2112"/>
    <n v="4763"/>
    <n v="0.32957376141710487"/>
  </r>
  <r>
    <s v="BC"/>
    <s v="BRL"/>
    <x v="3"/>
    <x v="3"/>
    <x v="32"/>
    <n v="6450"/>
    <n v="2976"/>
    <n v="0"/>
    <m/>
    <n v="7388"/>
    <m/>
    <m/>
    <n v="16814"/>
    <n v="2976"/>
    <n v="6450"/>
    <n v="0.38360889734744857"/>
  </r>
  <r>
    <s v="BC"/>
    <s v="BRL"/>
    <x v="3"/>
    <x v="3"/>
    <x v="33"/>
    <n v="6450"/>
    <n v="2976"/>
    <n v="0"/>
    <m/>
    <n v="7439"/>
    <m/>
    <m/>
    <n v="16865"/>
    <n v="2976"/>
    <n v="6450"/>
    <n v="0.38244885858286393"/>
  </r>
  <r>
    <s v="BC"/>
    <s v="BRL"/>
    <x v="3"/>
    <x v="0"/>
    <x v="34"/>
    <n v="5224"/>
    <n v="2607"/>
    <n v="0"/>
    <m/>
    <n v="7913"/>
    <m/>
    <m/>
    <n v="15744"/>
    <n v="2607"/>
    <n v="5224"/>
    <n v="0.33180894308943087"/>
  </r>
  <r>
    <s v="BC"/>
    <s v="BRL"/>
    <x v="3"/>
    <x v="0"/>
    <x v="35"/>
    <n v="5761"/>
    <n v="2536"/>
    <n v="0"/>
    <m/>
    <n v="8126"/>
    <n v="563"/>
    <m/>
    <n v="16986"/>
    <n v="2536"/>
    <n v="5761"/>
    <n v="0.3391616625456258"/>
  </r>
  <r>
    <s v="BC"/>
    <s v="BRL"/>
    <x v="3"/>
    <x v="0"/>
    <x v="36"/>
    <n v="5189"/>
    <n v="2142"/>
    <n v="0"/>
    <m/>
    <n v="7934"/>
    <n v="799"/>
    <m/>
    <n v="16064"/>
    <n v="2142"/>
    <n v="5189"/>
    <n v="0.3230204183266932"/>
  </r>
  <r>
    <s v="BC"/>
    <s v="BRL"/>
    <x v="3"/>
    <x v="1"/>
    <x v="37"/>
    <n v="5045"/>
    <n v="2131"/>
    <n v="0"/>
    <m/>
    <n v="8175"/>
    <n v="656"/>
    <m/>
    <n v="16007"/>
    <n v="2131"/>
    <n v="5045"/>
    <n v="0.31517461110764039"/>
  </r>
  <r>
    <s v="BC"/>
    <s v="BRL"/>
    <x v="3"/>
    <x v="1"/>
    <x v="38"/>
    <n v="5448"/>
    <n v="1962"/>
    <n v="0"/>
    <m/>
    <n v="8400"/>
    <n v="661"/>
    <m/>
    <n v="16471"/>
    <n v="1962"/>
    <n v="5448"/>
    <n v="0.33076315949244128"/>
  </r>
  <r>
    <s v="BC"/>
    <s v="BRL"/>
    <x v="3"/>
    <x v="1"/>
    <x v="39"/>
    <n v="5059"/>
    <n v="2185"/>
    <n v="0"/>
    <m/>
    <n v="8180"/>
    <n v="444"/>
    <m/>
    <n v="15868"/>
    <n v="2185"/>
    <n v="5059"/>
    <n v="0.31881774640786487"/>
  </r>
  <r>
    <s v="BC"/>
    <s v="BRL"/>
    <x v="3"/>
    <x v="2"/>
    <x v="40"/>
    <n v="4785"/>
    <n v="2007"/>
    <n v="0"/>
    <m/>
    <n v="7860"/>
    <n v="765"/>
    <m/>
    <n v="15417"/>
    <n v="2007"/>
    <n v="4785"/>
    <n v="0.3103716676396186"/>
  </r>
  <r>
    <s v="BC"/>
    <s v="BRL"/>
    <x v="3"/>
    <x v="2"/>
    <x v="41"/>
    <n v="5372"/>
    <n v="1983"/>
    <n v="0"/>
    <m/>
    <n v="8188"/>
    <n v="592"/>
    <m/>
    <n v="16135"/>
    <n v="1983"/>
    <n v="5372"/>
    <n v="0.33294081189959712"/>
  </r>
  <r>
    <s v="BC"/>
    <s v="BRL"/>
    <x v="3"/>
    <x v="2"/>
    <x v="42"/>
    <n v="5334"/>
    <n v="2675"/>
    <n v="0"/>
    <m/>
    <n v="8257"/>
    <n v="597"/>
    <m/>
    <n v="16863"/>
    <n v="2675"/>
    <n v="5334"/>
    <n v="0.31631382316313822"/>
  </r>
  <r>
    <s v="BC"/>
    <s v="BRL"/>
    <x v="4"/>
    <x v="3"/>
    <x v="43"/>
    <n v="4835"/>
    <n v="3079"/>
    <n v="0"/>
    <m/>
    <n v="7081"/>
    <n v="592"/>
    <m/>
    <n v="15587"/>
    <n v="3079"/>
    <n v="4835"/>
    <n v="0.3101943927632001"/>
  </r>
  <r>
    <s v="BC"/>
    <s v="BRL"/>
    <x v="4"/>
    <x v="3"/>
    <x v="44"/>
    <n v="4965"/>
    <n v="2230"/>
    <n v="0"/>
    <m/>
    <n v="7221"/>
    <n v="933"/>
    <m/>
    <n v="15349"/>
    <n v="2230"/>
    <n v="4965"/>
    <n v="0.32347384194410062"/>
  </r>
  <r>
    <s v="BC"/>
    <s v="BRL"/>
    <x v="4"/>
    <x v="3"/>
    <x v="45"/>
    <n v="4737"/>
    <n v="2307"/>
    <n v="0"/>
    <m/>
    <n v="7330"/>
    <n v="669"/>
    <m/>
    <n v="15043"/>
    <n v="2307"/>
    <n v="4737"/>
    <n v="0.31489729442265507"/>
  </r>
  <r>
    <s v="BC"/>
    <s v="BRL"/>
    <x v="4"/>
    <x v="0"/>
    <x v="46"/>
    <n v="4349"/>
    <n v="2393"/>
    <n v="0"/>
    <m/>
    <n v="7487"/>
    <n v="664"/>
    <m/>
    <n v="14893"/>
    <n v="2393"/>
    <n v="4349"/>
    <n v="0.29201638353588932"/>
  </r>
  <r>
    <s v="BC"/>
    <s v="BRL"/>
    <x v="4"/>
    <x v="0"/>
    <x v="47"/>
    <n v="4870"/>
    <n v="3013"/>
    <n v="0"/>
    <m/>
    <n v="8486"/>
    <n v="669"/>
    <m/>
    <n v="17038"/>
    <n v="3013"/>
    <n v="4870"/>
    <n v="0.28583167038384788"/>
  </r>
  <r>
    <s v="BC"/>
    <s v="BRL"/>
    <x v="4"/>
    <x v="0"/>
    <x v="48"/>
    <n v="4226"/>
    <n v="2187"/>
    <n v="0"/>
    <m/>
    <n v="8300"/>
    <n v="673"/>
    <m/>
    <n v="15386"/>
    <n v="2187"/>
    <n v="4226"/>
    <n v="0.27466528012478875"/>
  </r>
  <r>
    <s v="BC"/>
    <s v="BRL"/>
    <x v="4"/>
    <x v="1"/>
    <x v="49"/>
    <n v="4063"/>
    <n v="2041"/>
    <n v="0"/>
    <m/>
    <n v="8300"/>
    <n v="678"/>
    <m/>
    <n v="15082"/>
    <n v="2041"/>
    <n v="4063"/>
    <n v="0.26939397957830524"/>
  </r>
  <r>
    <s v="BC"/>
    <s v="BRL"/>
    <x v="4"/>
    <x v="1"/>
    <x v="50"/>
    <n v="4427"/>
    <n v="2193"/>
    <n v="0"/>
    <m/>
    <n v="8352"/>
    <n v="547"/>
    <m/>
    <n v="15519"/>
    <n v="2193"/>
    <n v="4427"/>
    <n v="0.28526322572330692"/>
  </r>
  <r>
    <s v="BC"/>
    <s v="BRL"/>
    <x v="4"/>
    <x v="1"/>
    <x v="51"/>
    <n v="4954"/>
    <n v="1670"/>
    <n v="0"/>
    <m/>
    <n v="7492"/>
    <n v="522"/>
    <m/>
    <n v="14638"/>
    <n v="1670"/>
    <n v="4954"/>
    <n v="0.33843421232408799"/>
  </r>
  <r>
    <s v="BC"/>
    <s v="BRL"/>
    <x v="4"/>
    <x v="2"/>
    <x v="52"/>
    <n v="4489"/>
    <n v="2073"/>
    <n v="0"/>
    <m/>
    <n v="7820"/>
    <n v="683"/>
    <m/>
    <n v="15065"/>
    <n v="2073"/>
    <n v="4489"/>
    <n v="0.29797543976103552"/>
  </r>
  <r>
    <s v="BC"/>
    <s v="BRL"/>
    <x v="4"/>
    <x v="2"/>
    <x v="53"/>
    <n v="4480"/>
    <n v="6293"/>
    <n v="0"/>
    <m/>
    <n v="8161"/>
    <n v="878"/>
    <m/>
    <n v="19812"/>
    <n v="6293"/>
    <n v="4480"/>
    <n v="0.22612558045628911"/>
  </r>
  <r>
    <s v="BC"/>
    <s v="BRL"/>
    <x v="4"/>
    <x v="2"/>
    <x v="54"/>
    <n v="4175"/>
    <n v="2330"/>
    <n v="0"/>
    <m/>
    <n v="8294"/>
    <n v="854"/>
    <m/>
    <n v="15653"/>
    <n v="2330"/>
    <n v="4175"/>
    <n v="0.26672203411486617"/>
  </r>
  <r>
    <s v="BC"/>
    <s v="BRL"/>
    <x v="5"/>
    <x v="3"/>
    <x v="55"/>
    <n v="4540"/>
    <n v="2431"/>
    <n v="0"/>
    <m/>
    <n v="7794"/>
    <n v="766"/>
    <m/>
    <n v="15531"/>
    <n v="2431"/>
    <n v="4540"/>
    <n v="0.29231858862919324"/>
  </r>
  <r>
    <s v="BC"/>
    <s v="BRL"/>
    <x v="5"/>
    <x v="3"/>
    <x v="56"/>
    <n v="5180"/>
    <n v="2500"/>
    <n v="0"/>
    <m/>
    <n v="7497"/>
    <n v="586"/>
    <m/>
    <n v="15763"/>
    <n v="2500"/>
    <n v="5180"/>
    <n v="0.32861764892469708"/>
  </r>
  <r>
    <s v="BC"/>
    <s v="BRL"/>
    <x v="5"/>
    <x v="3"/>
    <x v="57"/>
    <n v="5018"/>
    <n v="2108"/>
    <n v="390"/>
    <n v="410"/>
    <n v="7461"/>
    <n v="547"/>
    <m/>
    <n v="15934"/>
    <n v="2498"/>
    <n v="5018"/>
    <n v="0.3149240617547383"/>
  </r>
  <r>
    <s v="BC"/>
    <s v="BRL"/>
    <x v="5"/>
    <x v="0"/>
    <x v="58"/>
    <n v="4716"/>
    <n v="2215"/>
    <n v="185"/>
    <n v="220"/>
    <n v="7812"/>
    <n v="781"/>
    <m/>
    <n v="15929"/>
    <n v="2400"/>
    <n v="4716"/>
    <n v="0.29606378303722769"/>
  </r>
  <r>
    <s v="BC"/>
    <s v="BRL"/>
    <x v="5"/>
    <x v="0"/>
    <x v="59"/>
    <n v="5924"/>
    <n v="2340"/>
    <n v="172"/>
    <n v="266"/>
    <n v="8762"/>
    <n v="634"/>
    <m/>
    <n v="18098"/>
    <n v="2512"/>
    <n v="5924"/>
    <n v="0.32732898662835674"/>
  </r>
  <r>
    <s v="BC"/>
    <s v="BRL"/>
    <x v="5"/>
    <x v="0"/>
    <x v="60"/>
    <n v="4225"/>
    <n v="2080"/>
    <n v="255"/>
    <n v="275"/>
    <n v="8064"/>
    <n v="1279"/>
    <m/>
    <n v="16178"/>
    <n v="2335"/>
    <n v="4225"/>
    <n v="0.26115712696254173"/>
  </r>
  <r>
    <s v="BC"/>
    <s v="BRL"/>
    <x v="5"/>
    <x v="1"/>
    <x v="61"/>
    <n v="4630"/>
    <n v="2297"/>
    <n v="280"/>
    <n v="240"/>
    <n v="8070"/>
    <n v="625"/>
    <m/>
    <n v="16142"/>
    <n v="2577"/>
    <n v="4630"/>
    <n v="0.28682938917110645"/>
  </r>
  <r>
    <s v="BC"/>
    <s v="BRL"/>
    <x v="5"/>
    <x v="1"/>
    <x v="62"/>
    <n v="4676"/>
    <n v="1919"/>
    <n v="235"/>
    <n v="205"/>
    <n v="8279"/>
    <n v="630"/>
    <m/>
    <n v="15944"/>
    <n v="2154"/>
    <n v="4676"/>
    <n v="0.29327646763672854"/>
  </r>
  <r>
    <s v="BC"/>
    <s v="BRL"/>
    <x v="5"/>
    <x v="1"/>
    <x v="63"/>
    <n v="4257"/>
    <n v="1644"/>
    <n v="285"/>
    <n v="231"/>
    <n v="8026"/>
    <n v="547"/>
    <m/>
    <n v="14990"/>
    <n v="1929"/>
    <n v="4257"/>
    <n v="0.2839893262174783"/>
  </r>
  <r>
    <s v="BC"/>
    <s v="BRL"/>
    <x v="5"/>
    <x v="2"/>
    <x v="64"/>
    <n v="5474"/>
    <n v="1892"/>
    <n v="310"/>
    <n v="220"/>
    <n v="8062"/>
    <n v="439"/>
    <m/>
    <n v="16397"/>
    <n v="2202"/>
    <n v="5474"/>
    <n v="0.33384155638226504"/>
  </r>
  <r>
    <s v="BC"/>
    <s v="BRL"/>
    <x v="5"/>
    <x v="2"/>
    <x v="65"/>
    <n v="6115"/>
    <m/>
    <m/>
    <n v="255"/>
    <n v="8063"/>
    <n v="815"/>
    <m/>
    <n v="15248"/>
    <n v="0"/>
    <n v="6115"/>
    <n v="0.40103620146904512"/>
  </r>
  <r>
    <s v="BC"/>
    <s v="BRL"/>
    <x v="5"/>
    <x v="2"/>
    <x v="66"/>
    <n v="5819"/>
    <m/>
    <m/>
    <n v="265"/>
    <n v="8202"/>
    <n v="571"/>
    <m/>
    <n v="14857"/>
    <n v="0"/>
    <n v="5819"/>
    <n v="0.39166722756949585"/>
  </r>
  <r>
    <s v="BC"/>
    <s v="BRL"/>
    <x v="6"/>
    <x v="3"/>
    <x v="67"/>
    <n v="5719"/>
    <n v="2427"/>
    <n v="415"/>
    <n v="265"/>
    <n v="8040"/>
    <n v="527"/>
    <m/>
    <n v="17393"/>
    <n v="2842"/>
    <n v="5719"/>
    <n v="0.32881044098200424"/>
  </r>
  <r>
    <s v="BC"/>
    <s v="BRL"/>
    <x v="6"/>
    <x v="3"/>
    <x v="68"/>
    <n v="6240"/>
    <n v="1892"/>
    <n v="328"/>
    <n v="315"/>
    <n v="7767.8"/>
    <n v="727"/>
    <m/>
    <n v="17269.8"/>
    <n v="2220"/>
    <n v="6240"/>
    <n v="0.36132439287079182"/>
  </r>
  <r>
    <s v="BC"/>
    <s v="BRL"/>
    <x v="6"/>
    <x v="3"/>
    <x v="69"/>
    <n v="7079"/>
    <n v="1984"/>
    <n v="420"/>
    <n v="243"/>
    <n v="7758.7"/>
    <n v="522"/>
    <m/>
    <n v="18006.7"/>
    <n v="2404"/>
    <n v="7079"/>
    <n v="0.39313144551750179"/>
  </r>
  <r>
    <s v="BC"/>
    <s v="BRL"/>
    <x v="6"/>
    <x v="0"/>
    <x v="70"/>
    <n v="6640"/>
    <n v="2193"/>
    <n v="370"/>
    <n v="260"/>
    <n v="10213.1"/>
    <n v="634"/>
    <m/>
    <n v="20310.099999999999"/>
    <n v="2563"/>
    <n v="6640"/>
    <n v="0.32693093583980387"/>
  </r>
  <r>
    <s v="BC"/>
    <s v="BRL"/>
    <x v="6"/>
    <x v="0"/>
    <x v="71"/>
    <n v="7142"/>
    <n v="1943"/>
    <n v="375"/>
    <n v="262"/>
    <n v="8675.7000000000007"/>
    <n v="664"/>
    <m/>
    <n v="19061.7"/>
    <n v="2318"/>
    <n v="7142"/>
    <n v="0.37467801927425148"/>
  </r>
  <r>
    <s v="BC"/>
    <s v="BRL"/>
    <x v="6"/>
    <x v="0"/>
    <x v="72"/>
    <n v="6002"/>
    <n v="1924"/>
    <n v="392"/>
    <n v="260"/>
    <n v="7767.7"/>
    <n v="464"/>
    <m/>
    <n v="16809.7"/>
    <n v="2316"/>
    <n v="6002"/>
    <n v="0.35705574757431718"/>
  </r>
  <r>
    <s v="BC"/>
    <s v="BRL"/>
    <x v="6"/>
    <x v="1"/>
    <x v="73"/>
    <n v="7526"/>
    <n v="1788"/>
    <n v="545"/>
    <n v="220"/>
    <n v="8712"/>
    <n v="444"/>
    <m/>
    <n v="19235"/>
    <n v="2333"/>
    <n v="7526"/>
    <n v="0.39126592149727057"/>
  </r>
  <r>
    <s v="BC"/>
    <s v="BRL"/>
    <x v="6"/>
    <x v="1"/>
    <x v="74"/>
    <n v="6846"/>
    <n v="2163"/>
    <n v="575"/>
    <n v="285"/>
    <n v="8639.1"/>
    <n v="932"/>
    <m/>
    <n v="19440.099999999999"/>
    <n v="2738"/>
    <n v="6846"/>
    <n v="0.35215868231130498"/>
  </r>
</pivotCacheRecords>
</file>

<file path=xl/pivotCache/pivotCacheRecords6.xml><?xml version="1.0" encoding="utf-8"?>
<pivotCacheRecords xmlns="http://schemas.openxmlformats.org/spreadsheetml/2006/main" xmlns:r="http://schemas.openxmlformats.org/officeDocument/2006/relationships" count="252">
  <r>
    <x v="0"/>
    <x v="0"/>
    <x v="0"/>
    <x v="0"/>
    <x v="0"/>
    <x v="0"/>
    <n v="11150"/>
  </r>
  <r>
    <x v="0"/>
    <x v="0"/>
    <x v="1"/>
    <x v="1"/>
    <x v="0"/>
    <x v="0"/>
    <n v="10300"/>
  </r>
  <r>
    <x v="0"/>
    <x v="0"/>
    <x v="2"/>
    <x v="2"/>
    <x v="0"/>
    <x v="0"/>
    <n v="12270"/>
  </r>
  <r>
    <x v="0"/>
    <x v="0"/>
    <x v="3"/>
    <x v="3"/>
    <x v="0"/>
    <x v="0"/>
    <n v="15340"/>
  </r>
  <r>
    <x v="0"/>
    <x v="0"/>
    <x v="4"/>
    <x v="4"/>
    <x v="0"/>
    <x v="0"/>
    <n v="15340"/>
  </r>
  <r>
    <x v="0"/>
    <x v="0"/>
    <x v="5"/>
    <x v="5"/>
    <x v="0"/>
    <x v="0"/>
    <n v="12440"/>
  </r>
  <r>
    <x v="0"/>
    <x v="0"/>
    <x v="6"/>
    <x v="6"/>
    <x v="0"/>
    <x v="0"/>
    <n v="12170"/>
  </r>
  <r>
    <x v="0"/>
    <x v="0"/>
    <x v="7"/>
    <x v="7"/>
    <x v="0"/>
    <x v="0"/>
    <n v="10670"/>
  </r>
  <r>
    <x v="0"/>
    <x v="0"/>
    <x v="8"/>
    <x v="8"/>
    <x v="0"/>
    <x v="0"/>
    <n v="9820"/>
  </r>
  <r>
    <x v="0"/>
    <x v="0"/>
    <x v="9"/>
    <x v="9"/>
    <x v="0"/>
    <x v="0"/>
    <n v="12500"/>
  </r>
  <r>
    <x v="0"/>
    <x v="0"/>
    <x v="10"/>
    <x v="10"/>
    <x v="0"/>
    <x v="0"/>
    <n v="11920"/>
  </r>
  <r>
    <x v="0"/>
    <x v="0"/>
    <x v="11"/>
    <x v="11"/>
    <x v="0"/>
    <x v="0"/>
    <n v="10840"/>
  </r>
  <r>
    <x v="0"/>
    <x v="1"/>
    <x v="0"/>
    <x v="0"/>
    <x v="0"/>
    <x v="0"/>
    <n v="4080"/>
  </r>
  <r>
    <x v="0"/>
    <x v="1"/>
    <x v="1"/>
    <x v="1"/>
    <x v="0"/>
    <x v="0"/>
    <n v="3630"/>
  </r>
  <r>
    <x v="0"/>
    <x v="1"/>
    <x v="2"/>
    <x v="2"/>
    <x v="0"/>
    <x v="0"/>
    <n v="4080"/>
  </r>
  <r>
    <x v="0"/>
    <x v="1"/>
    <x v="3"/>
    <x v="3"/>
    <x v="0"/>
    <x v="0"/>
    <n v="4080"/>
  </r>
  <r>
    <x v="0"/>
    <x v="1"/>
    <x v="4"/>
    <x v="4"/>
    <x v="0"/>
    <x v="0"/>
    <n v="3630"/>
  </r>
  <r>
    <x v="0"/>
    <x v="1"/>
    <x v="5"/>
    <x v="5"/>
    <x v="0"/>
    <x v="0"/>
    <n v="4080"/>
  </r>
  <r>
    <x v="0"/>
    <x v="1"/>
    <x v="6"/>
    <x v="6"/>
    <x v="0"/>
    <x v="0"/>
    <n v="4080"/>
  </r>
  <r>
    <x v="0"/>
    <x v="1"/>
    <x v="7"/>
    <x v="7"/>
    <x v="0"/>
    <x v="0"/>
    <n v="4080"/>
  </r>
  <r>
    <x v="0"/>
    <x v="1"/>
    <x v="8"/>
    <x v="8"/>
    <x v="0"/>
    <x v="0"/>
    <n v="3630"/>
  </r>
  <r>
    <x v="0"/>
    <x v="1"/>
    <x v="9"/>
    <x v="9"/>
    <x v="0"/>
    <x v="0"/>
    <n v="4080"/>
  </r>
  <r>
    <x v="0"/>
    <x v="1"/>
    <x v="10"/>
    <x v="10"/>
    <x v="0"/>
    <x v="0"/>
    <n v="4080"/>
  </r>
  <r>
    <x v="0"/>
    <x v="1"/>
    <x v="11"/>
    <x v="11"/>
    <x v="0"/>
    <x v="0"/>
    <n v="4080"/>
  </r>
  <r>
    <x v="0"/>
    <x v="2"/>
    <x v="0"/>
    <x v="0"/>
    <x v="0"/>
    <x v="0"/>
    <n v="1550"/>
  </r>
  <r>
    <x v="0"/>
    <x v="2"/>
    <x v="1"/>
    <x v="1"/>
    <x v="0"/>
    <x v="0"/>
    <n v="1240"/>
  </r>
  <r>
    <x v="0"/>
    <x v="2"/>
    <x v="2"/>
    <x v="2"/>
    <x v="0"/>
    <x v="0"/>
    <n v="1240"/>
  </r>
  <r>
    <x v="0"/>
    <x v="2"/>
    <x v="3"/>
    <x v="3"/>
    <x v="0"/>
    <x v="0"/>
    <n v="1550"/>
  </r>
  <r>
    <x v="0"/>
    <x v="2"/>
    <x v="4"/>
    <x v="4"/>
    <x v="0"/>
    <x v="0"/>
    <n v="1240"/>
  </r>
  <r>
    <x v="0"/>
    <x v="2"/>
    <x v="5"/>
    <x v="5"/>
    <x v="0"/>
    <x v="0"/>
    <n v="1240"/>
  </r>
  <r>
    <x v="0"/>
    <x v="2"/>
    <x v="6"/>
    <x v="6"/>
    <x v="0"/>
    <x v="0"/>
    <n v="1550"/>
  </r>
  <r>
    <x v="0"/>
    <x v="2"/>
    <x v="7"/>
    <x v="7"/>
    <x v="0"/>
    <x v="0"/>
    <n v="1240"/>
  </r>
  <r>
    <x v="0"/>
    <x v="2"/>
    <x v="8"/>
    <x v="8"/>
    <x v="0"/>
    <x v="0"/>
    <n v="1240"/>
  </r>
  <r>
    <x v="0"/>
    <x v="2"/>
    <x v="9"/>
    <x v="9"/>
    <x v="0"/>
    <x v="0"/>
    <n v="1550"/>
  </r>
  <r>
    <x v="0"/>
    <x v="2"/>
    <x v="10"/>
    <x v="10"/>
    <x v="0"/>
    <x v="0"/>
    <n v="1240"/>
  </r>
  <r>
    <x v="0"/>
    <x v="2"/>
    <x v="11"/>
    <x v="11"/>
    <x v="0"/>
    <x v="0"/>
    <n v="1550"/>
  </r>
  <r>
    <x v="0"/>
    <x v="0"/>
    <x v="0"/>
    <x v="0"/>
    <x v="0"/>
    <x v="1"/>
    <n v="3040"/>
  </r>
  <r>
    <x v="0"/>
    <x v="0"/>
    <x v="1"/>
    <x v="1"/>
    <x v="0"/>
    <x v="1"/>
    <n v="6170"/>
  </r>
  <r>
    <x v="0"/>
    <x v="0"/>
    <x v="2"/>
    <x v="2"/>
    <x v="0"/>
    <x v="1"/>
    <n v="3400"/>
  </r>
  <r>
    <x v="0"/>
    <x v="0"/>
    <x v="3"/>
    <x v="3"/>
    <x v="0"/>
    <x v="1"/>
    <n v="2860"/>
  </r>
  <r>
    <x v="0"/>
    <x v="0"/>
    <x v="4"/>
    <x v="4"/>
    <x v="0"/>
    <x v="1"/>
    <n v="2630"/>
  </r>
  <r>
    <x v="0"/>
    <x v="0"/>
    <x v="5"/>
    <x v="5"/>
    <x v="0"/>
    <x v="1"/>
    <n v="3670"/>
  </r>
  <r>
    <x v="0"/>
    <x v="0"/>
    <x v="6"/>
    <x v="6"/>
    <x v="0"/>
    <x v="1"/>
    <n v="3180"/>
  </r>
  <r>
    <x v="0"/>
    <x v="0"/>
    <x v="7"/>
    <x v="7"/>
    <x v="0"/>
    <x v="1"/>
    <n v="3250"/>
  </r>
  <r>
    <x v="0"/>
    <x v="0"/>
    <x v="8"/>
    <x v="8"/>
    <x v="0"/>
    <x v="1"/>
    <n v="3820"/>
  </r>
  <r>
    <x v="0"/>
    <x v="0"/>
    <x v="9"/>
    <x v="9"/>
    <x v="0"/>
    <x v="1"/>
    <n v="4400"/>
  </r>
  <r>
    <x v="0"/>
    <x v="0"/>
    <x v="10"/>
    <x v="10"/>
    <x v="0"/>
    <x v="1"/>
    <n v="3570"/>
  </r>
  <r>
    <x v="0"/>
    <x v="0"/>
    <x v="11"/>
    <x v="11"/>
    <x v="0"/>
    <x v="1"/>
    <n v="3550"/>
  </r>
  <r>
    <x v="1"/>
    <x v="3"/>
    <x v="0"/>
    <x v="0"/>
    <x v="0"/>
    <x v="1"/>
    <n v="1280"/>
  </r>
  <r>
    <x v="1"/>
    <x v="3"/>
    <x v="1"/>
    <x v="1"/>
    <x v="0"/>
    <x v="1"/>
    <n v="3680"/>
  </r>
  <r>
    <x v="1"/>
    <x v="3"/>
    <x v="2"/>
    <x v="2"/>
    <x v="0"/>
    <x v="1"/>
    <n v="1550"/>
  </r>
  <r>
    <x v="1"/>
    <x v="3"/>
    <x v="3"/>
    <x v="3"/>
    <x v="0"/>
    <x v="1"/>
    <n v="1690"/>
  </r>
  <r>
    <x v="1"/>
    <x v="3"/>
    <x v="4"/>
    <x v="4"/>
    <x v="0"/>
    <x v="1"/>
    <n v="1630"/>
  </r>
  <r>
    <x v="1"/>
    <x v="3"/>
    <x v="5"/>
    <x v="5"/>
    <x v="0"/>
    <x v="1"/>
    <n v="1810"/>
  </r>
  <r>
    <x v="1"/>
    <x v="3"/>
    <x v="6"/>
    <x v="6"/>
    <x v="0"/>
    <x v="1"/>
    <n v="1980"/>
  </r>
  <r>
    <x v="1"/>
    <x v="3"/>
    <x v="7"/>
    <x v="7"/>
    <x v="0"/>
    <x v="1"/>
    <n v="1660"/>
  </r>
  <r>
    <x v="1"/>
    <x v="3"/>
    <x v="8"/>
    <x v="8"/>
    <x v="0"/>
    <x v="1"/>
    <n v="1980"/>
  </r>
  <r>
    <x v="1"/>
    <x v="3"/>
    <x v="9"/>
    <x v="9"/>
    <x v="0"/>
    <x v="1"/>
    <n v="1200"/>
  </r>
  <r>
    <x v="1"/>
    <x v="3"/>
    <x v="10"/>
    <x v="10"/>
    <x v="0"/>
    <x v="1"/>
    <n v="2320"/>
  </r>
  <r>
    <x v="1"/>
    <x v="3"/>
    <x v="11"/>
    <x v="11"/>
    <x v="0"/>
    <x v="1"/>
    <m/>
  </r>
  <r>
    <x v="0"/>
    <x v="1"/>
    <x v="0"/>
    <x v="0"/>
    <x v="0"/>
    <x v="1"/>
    <n v="840"/>
  </r>
  <r>
    <x v="0"/>
    <x v="1"/>
    <x v="1"/>
    <x v="1"/>
    <x v="0"/>
    <x v="1"/>
    <n v="670"/>
  </r>
  <r>
    <x v="0"/>
    <x v="1"/>
    <x v="2"/>
    <x v="2"/>
    <x v="0"/>
    <x v="1"/>
    <n v="670"/>
  </r>
  <r>
    <x v="0"/>
    <x v="1"/>
    <x v="3"/>
    <x v="3"/>
    <x v="0"/>
    <x v="1"/>
    <n v="670"/>
  </r>
  <r>
    <x v="0"/>
    <x v="1"/>
    <x v="4"/>
    <x v="4"/>
    <x v="0"/>
    <x v="1"/>
    <n v="840"/>
  </r>
  <r>
    <x v="0"/>
    <x v="1"/>
    <x v="5"/>
    <x v="5"/>
    <x v="0"/>
    <x v="1"/>
    <n v="670"/>
  </r>
  <r>
    <x v="0"/>
    <x v="1"/>
    <x v="6"/>
    <x v="6"/>
    <x v="0"/>
    <x v="1"/>
    <n v="840"/>
  </r>
  <r>
    <x v="0"/>
    <x v="1"/>
    <x v="7"/>
    <x v="7"/>
    <x v="0"/>
    <x v="1"/>
    <n v="670"/>
  </r>
  <r>
    <x v="0"/>
    <x v="1"/>
    <x v="8"/>
    <x v="8"/>
    <x v="0"/>
    <x v="1"/>
    <n v="840"/>
  </r>
  <r>
    <x v="0"/>
    <x v="1"/>
    <x v="9"/>
    <x v="9"/>
    <x v="0"/>
    <x v="1"/>
    <n v="670"/>
  </r>
  <r>
    <x v="0"/>
    <x v="1"/>
    <x v="10"/>
    <x v="10"/>
    <x v="0"/>
    <x v="1"/>
    <n v="670"/>
  </r>
  <r>
    <x v="0"/>
    <x v="1"/>
    <x v="11"/>
    <x v="11"/>
    <x v="0"/>
    <x v="1"/>
    <n v="840"/>
  </r>
  <r>
    <x v="0"/>
    <x v="0"/>
    <x v="0"/>
    <x v="0"/>
    <x v="0"/>
    <x v="2"/>
    <n v="5660"/>
  </r>
  <r>
    <x v="0"/>
    <x v="0"/>
    <x v="1"/>
    <x v="1"/>
    <x v="0"/>
    <x v="2"/>
    <n v="5220"/>
  </r>
  <r>
    <x v="0"/>
    <x v="0"/>
    <x v="2"/>
    <x v="2"/>
    <x v="0"/>
    <x v="2"/>
    <n v="5660"/>
  </r>
  <r>
    <x v="0"/>
    <x v="0"/>
    <x v="3"/>
    <x v="3"/>
    <x v="0"/>
    <x v="2"/>
    <n v="7400"/>
  </r>
  <r>
    <x v="0"/>
    <x v="0"/>
    <x v="4"/>
    <x v="4"/>
    <x v="0"/>
    <x v="2"/>
    <n v="7400"/>
  </r>
  <r>
    <x v="0"/>
    <x v="0"/>
    <x v="5"/>
    <x v="5"/>
    <x v="0"/>
    <x v="2"/>
    <n v="7830"/>
  </r>
  <r>
    <x v="0"/>
    <x v="0"/>
    <x v="6"/>
    <x v="6"/>
    <x v="0"/>
    <x v="2"/>
    <n v="7830"/>
  </r>
  <r>
    <x v="0"/>
    <x v="0"/>
    <x v="7"/>
    <x v="7"/>
    <x v="0"/>
    <x v="2"/>
    <n v="7400"/>
  </r>
  <r>
    <x v="0"/>
    <x v="0"/>
    <x v="8"/>
    <x v="8"/>
    <x v="0"/>
    <x v="2"/>
    <n v="7830"/>
  </r>
  <r>
    <x v="0"/>
    <x v="0"/>
    <x v="9"/>
    <x v="9"/>
    <x v="0"/>
    <x v="2"/>
    <n v="7400"/>
  </r>
  <r>
    <x v="0"/>
    <x v="0"/>
    <x v="10"/>
    <x v="10"/>
    <x v="0"/>
    <x v="2"/>
    <n v="7400"/>
  </r>
  <r>
    <x v="0"/>
    <x v="0"/>
    <x v="11"/>
    <x v="11"/>
    <x v="0"/>
    <x v="2"/>
    <n v="7830"/>
  </r>
  <r>
    <x v="1"/>
    <x v="3"/>
    <x v="0"/>
    <x v="0"/>
    <x v="0"/>
    <x v="2"/>
    <m/>
  </r>
  <r>
    <x v="1"/>
    <x v="3"/>
    <x v="1"/>
    <x v="1"/>
    <x v="0"/>
    <x v="2"/>
    <m/>
  </r>
  <r>
    <x v="1"/>
    <x v="3"/>
    <x v="2"/>
    <x v="2"/>
    <x v="0"/>
    <x v="2"/>
    <n v="50"/>
  </r>
  <r>
    <x v="1"/>
    <x v="3"/>
    <x v="3"/>
    <x v="3"/>
    <x v="0"/>
    <x v="2"/>
    <n v="20"/>
  </r>
  <r>
    <x v="1"/>
    <x v="3"/>
    <x v="4"/>
    <x v="4"/>
    <x v="0"/>
    <x v="2"/>
    <m/>
  </r>
  <r>
    <x v="1"/>
    <x v="3"/>
    <x v="5"/>
    <x v="5"/>
    <x v="0"/>
    <x v="2"/>
    <n v="70"/>
  </r>
  <r>
    <x v="1"/>
    <x v="3"/>
    <x v="6"/>
    <x v="6"/>
    <x v="0"/>
    <x v="2"/>
    <n v="170"/>
  </r>
  <r>
    <x v="1"/>
    <x v="3"/>
    <x v="7"/>
    <x v="7"/>
    <x v="0"/>
    <x v="2"/>
    <n v="480"/>
  </r>
  <r>
    <x v="1"/>
    <x v="3"/>
    <x v="8"/>
    <x v="8"/>
    <x v="0"/>
    <x v="2"/>
    <n v="460"/>
  </r>
  <r>
    <x v="1"/>
    <x v="3"/>
    <x v="9"/>
    <x v="9"/>
    <x v="0"/>
    <x v="2"/>
    <n v="660"/>
  </r>
  <r>
    <x v="1"/>
    <x v="3"/>
    <x v="10"/>
    <x v="10"/>
    <x v="0"/>
    <x v="2"/>
    <n v="510"/>
  </r>
  <r>
    <x v="1"/>
    <x v="3"/>
    <x v="11"/>
    <x v="11"/>
    <x v="0"/>
    <x v="2"/>
    <m/>
  </r>
  <r>
    <x v="0"/>
    <x v="1"/>
    <x v="0"/>
    <x v="0"/>
    <x v="0"/>
    <x v="2"/>
    <n v="80"/>
  </r>
  <r>
    <x v="0"/>
    <x v="1"/>
    <x v="1"/>
    <x v="1"/>
    <x v="0"/>
    <x v="2"/>
    <n v="80"/>
  </r>
  <r>
    <x v="0"/>
    <x v="1"/>
    <x v="2"/>
    <x v="2"/>
    <x v="0"/>
    <x v="2"/>
    <n v="80"/>
  </r>
  <r>
    <x v="0"/>
    <x v="1"/>
    <x v="3"/>
    <x v="3"/>
    <x v="0"/>
    <x v="2"/>
    <n v="100"/>
  </r>
  <r>
    <x v="0"/>
    <x v="1"/>
    <x v="4"/>
    <x v="4"/>
    <x v="0"/>
    <x v="2"/>
    <n v="80"/>
  </r>
  <r>
    <x v="0"/>
    <x v="1"/>
    <x v="5"/>
    <x v="5"/>
    <x v="0"/>
    <x v="2"/>
    <n v="80"/>
  </r>
  <r>
    <x v="0"/>
    <x v="1"/>
    <x v="6"/>
    <x v="6"/>
    <x v="0"/>
    <x v="2"/>
    <n v="100"/>
  </r>
  <r>
    <x v="0"/>
    <x v="1"/>
    <x v="7"/>
    <x v="7"/>
    <x v="0"/>
    <x v="2"/>
    <n v="80"/>
  </r>
  <r>
    <x v="0"/>
    <x v="1"/>
    <x v="8"/>
    <x v="8"/>
    <x v="0"/>
    <x v="2"/>
    <n v="100"/>
  </r>
  <r>
    <x v="0"/>
    <x v="1"/>
    <x v="9"/>
    <x v="9"/>
    <x v="0"/>
    <x v="2"/>
    <n v="80"/>
  </r>
  <r>
    <x v="0"/>
    <x v="1"/>
    <x v="10"/>
    <x v="10"/>
    <x v="0"/>
    <x v="2"/>
    <n v="100"/>
  </r>
  <r>
    <x v="0"/>
    <x v="1"/>
    <x v="11"/>
    <x v="11"/>
    <x v="0"/>
    <x v="2"/>
    <n v="1020"/>
  </r>
  <r>
    <x v="0"/>
    <x v="0"/>
    <x v="0"/>
    <x v="0"/>
    <x v="0"/>
    <x v="3"/>
    <n v="600"/>
  </r>
  <r>
    <x v="0"/>
    <x v="0"/>
    <x v="1"/>
    <x v="1"/>
    <x v="0"/>
    <x v="3"/>
    <n v="600"/>
  </r>
  <r>
    <x v="0"/>
    <x v="0"/>
    <x v="2"/>
    <x v="2"/>
    <x v="0"/>
    <x v="3"/>
    <n v="600"/>
  </r>
  <r>
    <x v="0"/>
    <x v="0"/>
    <x v="3"/>
    <x v="3"/>
    <x v="0"/>
    <x v="3"/>
    <n v="1500"/>
  </r>
  <r>
    <x v="0"/>
    <x v="0"/>
    <x v="4"/>
    <x v="4"/>
    <x v="0"/>
    <x v="3"/>
    <n v="1500"/>
  </r>
  <r>
    <x v="0"/>
    <x v="0"/>
    <x v="5"/>
    <x v="5"/>
    <x v="0"/>
    <x v="3"/>
    <n v="1500"/>
  </r>
  <r>
    <x v="0"/>
    <x v="0"/>
    <x v="6"/>
    <x v="6"/>
    <x v="0"/>
    <x v="3"/>
    <n v="1500"/>
  </r>
  <r>
    <x v="0"/>
    <x v="0"/>
    <x v="7"/>
    <x v="7"/>
    <x v="0"/>
    <x v="3"/>
    <n v="1500"/>
  </r>
  <r>
    <x v="0"/>
    <x v="0"/>
    <x v="8"/>
    <x v="8"/>
    <x v="0"/>
    <x v="3"/>
    <n v="1500"/>
  </r>
  <r>
    <x v="0"/>
    <x v="0"/>
    <x v="9"/>
    <x v="9"/>
    <x v="0"/>
    <x v="3"/>
    <n v="1500"/>
  </r>
  <r>
    <x v="0"/>
    <x v="0"/>
    <x v="10"/>
    <x v="10"/>
    <x v="0"/>
    <x v="3"/>
    <n v="850"/>
  </r>
  <r>
    <x v="0"/>
    <x v="0"/>
    <x v="11"/>
    <x v="11"/>
    <x v="0"/>
    <x v="3"/>
    <n v="1500"/>
  </r>
  <r>
    <x v="0"/>
    <x v="0"/>
    <x v="0"/>
    <x v="0"/>
    <x v="0"/>
    <x v="4"/>
    <n v="21695.351200000001"/>
  </r>
  <r>
    <x v="0"/>
    <x v="0"/>
    <x v="1"/>
    <x v="1"/>
    <x v="0"/>
    <x v="4"/>
    <n v="19241.9794"/>
  </r>
  <r>
    <x v="0"/>
    <x v="0"/>
    <x v="2"/>
    <x v="2"/>
    <x v="0"/>
    <x v="4"/>
    <n v="24361.81"/>
  </r>
  <r>
    <x v="0"/>
    <x v="0"/>
    <x v="3"/>
    <x v="3"/>
    <x v="0"/>
    <x v="4"/>
    <n v="23351.43"/>
  </r>
  <r>
    <x v="0"/>
    <x v="0"/>
    <x v="4"/>
    <x v="4"/>
    <x v="0"/>
    <x v="4"/>
    <n v="17766.099999999999"/>
  </r>
  <r>
    <x v="0"/>
    <x v="0"/>
    <x v="5"/>
    <x v="5"/>
    <x v="0"/>
    <x v="4"/>
    <n v="18073"/>
  </r>
  <r>
    <x v="0"/>
    <x v="0"/>
    <x v="6"/>
    <x v="6"/>
    <x v="0"/>
    <x v="4"/>
    <n v="19415"/>
  </r>
  <r>
    <x v="0"/>
    <x v="0"/>
    <x v="7"/>
    <x v="7"/>
    <x v="0"/>
    <x v="4"/>
    <n v="18031"/>
  </r>
  <r>
    <x v="0"/>
    <x v="0"/>
    <x v="8"/>
    <x v="8"/>
    <x v="0"/>
    <x v="4"/>
    <n v="24370.979999999996"/>
  </r>
  <r>
    <x v="0"/>
    <x v="0"/>
    <x v="9"/>
    <x v="9"/>
    <x v="0"/>
    <x v="4"/>
    <n v="25108.3"/>
  </r>
  <r>
    <x v="0"/>
    <x v="0"/>
    <x v="10"/>
    <x v="10"/>
    <x v="0"/>
    <x v="4"/>
    <n v="26002"/>
  </r>
  <r>
    <x v="0"/>
    <x v="0"/>
    <x v="11"/>
    <x v="11"/>
    <x v="0"/>
    <x v="4"/>
    <m/>
  </r>
  <r>
    <x v="1"/>
    <x v="3"/>
    <x v="0"/>
    <x v="0"/>
    <x v="0"/>
    <x v="3"/>
    <n v="780"/>
  </r>
  <r>
    <x v="1"/>
    <x v="3"/>
    <x v="1"/>
    <x v="1"/>
    <x v="0"/>
    <x v="3"/>
    <n v="130"/>
  </r>
  <r>
    <x v="1"/>
    <x v="3"/>
    <x v="2"/>
    <x v="2"/>
    <x v="0"/>
    <x v="3"/>
    <n v="50"/>
  </r>
  <r>
    <x v="1"/>
    <x v="3"/>
    <x v="3"/>
    <x v="3"/>
    <x v="0"/>
    <x v="3"/>
    <n v="310"/>
  </r>
  <r>
    <x v="1"/>
    <x v="3"/>
    <x v="4"/>
    <x v="4"/>
    <x v="0"/>
    <x v="3"/>
    <n v="370"/>
  </r>
  <r>
    <x v="1"/>
    <x v="3"/>
    <x v="5"/>
    <x v="5"/>
    <x v="0"/>
    <x v="3"/>
    <n v="1310"/>
  </r>
  <r>
    <x v="1"/>
    <x v="3"/>
    <x v="6"/>
    <x v="6"/>
    <x v="0"/>
    <x v="3"/>
    <n v="600"/>
  </r>
  <r>
    <x v="1"/>
    <x v="3"/>
    <x v="7"/>
    <x v="7"/>
    <x v="0"/>
    <x v="3"/>
    <n v="730"/>
  </r>
  <r>
    <x v="1"/>
    <x v="3"/>
    <x v="8"/>
    <x v="8"/>
    <x v="0"/>
    <x v="3"/>
    <n v="1220"/>
  </r>
  <r>
    <x v="1"/>
    <x v="3"/>
    <x v="9"/>
    <x v="9"/>
    <x v="0"/>
    <x v="3"/>
    <n v="650"/>
  </r>
  <r>
    <x v="1"/>
    <x v="3"/>
    <x v="10"/>
    <x v="10"/>
    <x v="0"/>
    <x v="3"/>
    <n v="840"/>
  </r>
  <r>
    <x v="1"/>
    <x v="3"/>
    <x v="11"/>
    <x v="11"/>
    <x v="0"/>
    <x v="3"/>
    <m/>
  </r>
  <r>
    <x v="0"/>
    <x v="1"/>
    <x v="0"/>
    <x v="0"/>
    <x v="0"/>
    <x v="4"/>
    <n v="3081.7350000000001"/>
  </r>
  <r>
    <x v="0"/>
    <x v="1"/>
    <x v="1"/>
    <x v="1"/>
    <x v="0"/>
    <x v="4"/>
    <n v="2851.6032"/>
  </r>
  <r>
    <x v="0"/>
    <x v="1"/>
    <x v="2"/>
    <x v="2"/>
    <x v="0"/>
    <x v="4"/>
    <n v="3229.75"/>
  </r>
  <r>
    <x v="0"/>
    <x v="1"/>
    <x v="3"/>
    <x v="3"/>
    <x v="0"/>
    <x v="4"/>
    <n v="3110.88"/>
  </r>
  <r>
    <x v="0"/>
    <x v="1"/>
    <x v="4"/>
    <x v="4"/>
    <x v="0"/>
    <x v="4"/>
    <n v="2895.2"/>
  </r>
  <r>
    <x v="0"/>
    <x v="1"/>
    <x v="5"/>
    <x v="5"/>
    <x v="0"/>
    <x v="4"/>
    <n v="2971"/>
  </r>
  <r>
    <x v="0"/>
    <x v="1"/>
    <x v="6"/>
    <x v="6"/>
    <x v="0"/>
    <x v="4"/>
    <n v="3681"/>
  </r>
  <r>
    <x v="0"/>
    <x v="1"/>
    <x v="7"/>
    <x v="7"/>
    <x v="0"/>
    <x v="4"/>
    <n v="2785"/>
  </r>
  <r>
    <x v="0"/>
    <x v="1"/>
    <x v="8"/>
    <x v="8"/>
    <x v="0"/>
    <x v="4"/>
    <n v="3591.55"/>
  </r>
  <r>
    <x v="0"/>
    <x v="1"/>
    <x v="9"/>
    <x v="9"/>
    <x v="0"/>
    <x v="4"/>
    <n v="3351.3"/>
  </r>
  <r>
    <x v="0"/>
    <x v="1"/>
    <x v="10"/>
    <x v="10"/>
    <x v="0"/>
    <x v="4"/>
    <n v="3138"/>
  </r>
  <r>
    <x v="0"/>
    <x v="1"/>
    <x v="11"/>
    <x v="11"/>
    <x v="0"/>
    <x v="4"/>
    <m/>
  </r>
  <r>
    <x v="0"/>
    <x v="2"/>
    <x v="0"/>
    <x v="0"/>
    <x v="0"/>
    <x v="4"/>
    <n v="2847.9551999999999"/>
  </r>
  <r>
    <x v="0"/>
    <x v="2"/>
    <x v="1"/>
    <x v="1"/>
    <x v="0"/>
    <x v="4"/>
    <n v="2595.9522000000002"/>
  </r>
  <r>
    <x v="0"/>
    <x v="2"/>
    <x v="2"/>
    <x v="2"/>
    <x v="0"/>
    <x v="4"/>
    <n v="2951.37"/>
  </r>
  <r>
    <x v="0"/>
    <x v="2"/>
    <x v="3"/>
    <x v="3"/>
    <x v="0"/>
    <x v="4"/>
    <n v="3042.75"/>
  </r>
  <r>
    <x v="0"/>
    <x v="2"/>
    <x v="4"/>
    <x v="4"/>
    <x v="0"/>
    <x v="4"/>
    <n v="3165.7"/>
  </r>
  <r>
    <x v="0"/>
    <x v="2"/>
    <x v="5"/>
    <x v="5"/>
    <x v="0"/>
    <x v="4"/>
    <n v="3463"/>
  </r>
  <r>
    <x v="0"/>
    <x v="2"/>
    <x v="6"/>
    <x v="6"/>
    <x v="0"/>
    <x v="4"/>
    <n v="3109"/>
  </r>
  <r>
    <x v="0"/>
    <x v="2"/>
    <x v="7"/>
    <x v="7"/>
    <x v="0"/>
    <x v="4"/>
    <n v="3298"/>
  </r>
  <r>
    <x v="0"/>
    <x v="2"/>
    <x v="8"/>
    <x v="8"/>
    <x v="0"/>
    <x v="4"/>
    <n v="4255.12"/>
  </r>
  <r>
    <x v="0"/>
    <x v="2"/>
    <x v="9"/>
    <x v="9"/>
    <x v="0"/>
    <x v="4"/>
    <n v="4132.3999999999996"/>
  </r>
  <r>
    <x v="0"/>
    <x v="2"/>
    <x v="10"/>
    <x v="10"/>
    <x v="0"/>
    <x v="4"/>
    <n v="3895"/>
  </r>
  <r>
    <x v="0"/>
    <x v="2"/>
    <x v="11"/>
    <x v="11"/>
    <x v="0"/>
    <x v="4"/>
    <m/>
  </r>
  <r>
    <x v="0"/>
    <x v="0"/>
    <x v="0"/>
    <x v="0"/>
    <x v="0"/>
    <x v="5"/>
    <n v="9300"/>
  </r>
  <r>
    <x v="0"/>
    <x v="0"/>
    <x v="1"/>
    <x v="1"/>
    <x v="0"/>
    <x v="5"/>
    <n v="11990"/>
  </r>
  <r>
    <x v="0"/>
    <x v="0"/>
    <x v="2"/>
    <x v="2"/>
    <x v="0"/>
    <x v="5"/>
    <n v="9660"/>
  </r>
  <r>
    <x v="0"/>
    <x v="0"/>
    <x v="3"/>
    <x v="3"/>
    <x v="0"/>
    <x v="5"/>
    <n v="11760"/>
  </r>
  <r>
    <x v="0"/>
    <x v="0"/>
    <x v="4"/>
    <x v="4"/>
    <x v="0"/>
    <x v="5"/>
    <n v="11530"/>
  </r>
  <r>
    <x v="0"/>
    <x v="0"/>
    <x v="5"/>
    <x v="5"/>
    <x v="0"/>
    <x v="5"/>
    <n v="13000"/>
  </r>
  <r>
    <x v="0"/>
    <x v="0"/>
    <x v="6"/>
    <x v="6"/>
    <x v="0"/>
    <x v="5"/>
    <n v="12510"/>
  </r>
  <r>
    <x v="0"/>
    <x v="0"/>
    <x v="7"/>
    <x v="7"/>
    <x v="0"/>
    <x v="5"/>
    <n v="12150"/>
  </r>
  <r>
    <x v="0"/>
    <x v="0"/>
    <x v="8"/>
    <x v="8"/>
    <x v="0"/>
    <x v="5"/>
    <n v="13150"/>
  </r>
  <r>
    <x v="0"/>
    <x v="0"/>
    <x v="9"/>
    <x v="9"/>
    <x v="0"/>
    <x v="5"/>
    <n v="13300"/>
  </r>
  <r>
    <x v="0"/>
    <x v="0"/>
    <x v="10"/>
    <x v="10"/>
    <x v="0"/>
    <x v="5"/>
    <n v="11820"/>
  </r>
  <r>
    <x v="0"/>
    <x v="0"/>
    <x v="11"/>
    <x v="11"/>
    <x v="0"/>
    <x v="5"/>
    <n v="12880"/>
  </r>
  <r>
    <x v="1"/>
    <x v="3"/>
    <x v="0"/>
    <x v="0"/>
    <x v="0"/>
    <x v="5"/>
    <n v="2060"/>
  </r>
  <r>
    <x v="1"/>
    <x v="3"/>
    <x v="1"/>
    <x v="1"/>
    <x v="0"/>
    <x v="5"/>
    <n v="3810"/>
  </r>
  <r>
    <x v="1"/>
    <x v="3"/>
    <x v="2"/>
    <x v="2"/>
    <x v="0"/>
    <x v="5"/>
    <n v="1650"/>
  </r>
  <r>
    <x v="1"/>
    <x v="3"/>
    <x v="3"/>
    <x v="3"/>
    <x v="0"/>
    <x v="5"/>
    <n v="2020"/>
  </r>
  <r>
    <x v="1"/>
    <x v="3"/>
    <x v="4"/>
    <x v="4"/>
    <x v="0"/>
    <x v="5"/>
    <n v="2000"/>
  </r>
  <r>
    <x v="1"/>
    <x v="3"/>
    <x v="5"/>
    <x v="5"/>
    <x v="0"/>
    <x v="5"/>
    <n v="3190"/>
  </r>
  <r>
    <x v="1"/>
    <x v="3"/>
    <x v="6"/>
    <x v="6"/>
    <x v="0"/>
    <x v="5"/>
    <n v="2750"/>
  </r>
  <r>
    <x v="1"/>
    <x v="3"/>
    <x v="7"/>
    <x v="7"/>
    <x v="0"/>
    <x v="5"/>
    <n v="2870"/>
  </r>
  <r>
    <x v="1"/>
    <x v="3"/>
    <x v="8"/>
    <x v="8"/>
    <x v="0"/>
    <x v="5"/>
    <n v="3660"/>
  </r>
  <r>
    <x v="1"/>
    <x v="3"/>
    <x v="9"/>
    <x v="9"/>
    <x v="0"/>
    <x v="5"/>
    <n v="2510"/>
  </r>
  <r>
    <x v="1"/>
    <x v="3"/>
    <x v="10"/>
    <x v="10"/>
    <x v="0"/>
    <x v="5"/>
    <n v="3670"/>
  </r>
  <r>
    <x v="1"/>
    <x v="3"/>
    <x v="11"/>
    <x v="11"/>
    <x v="0"/>
    <x v="5"/>
    <m/>
  </r>
  <r>
    <x v="0"/>
    <x v="1"/>
    <x v="0"/>
    <x v="0"/>
    <x v="0"/>
    <x v="5"/>
    <n v="920"/>
  </r>
  <r>
    <x v="0"/>
    <x v="1"/>
    <x v="1"/>
    <x v="1"/>
    <x v="0"/>
    <x v="5"/>
    <n v="750"/>
  </r>
  <r>
    <x v="0"/>
    <x v="1"/>
    <x v="2"/>
    <x v="2"/>
    <x v="0"/>
    <x v="5"/>
    <n v="750"/>
  </r>
  <r>
    <x v="0"/>
    <x v="1"/>
    <x v="3"/>
    <x v="3"/>
    <x v="0"/>
    <x v="5"/>
    <n v="770"/>
  </r>
  <r>
    <x v="0"/>
    <x v="1"/>
    <x v="4"/>
    <x v="4"/>
    <x v="0"/>
    <x v="5"/>
    <n v="920"/>
  </r>
  <r>
    <x v="0"/>
    <x v="1"/>
    <x v="5"/>
    <x v="5"/>
    <x v="0"/>
    <x v="5"/>
    <n v="750"/>
  </r>
  <r>
    <x v="0"/>
    <x v="1"/>
    <x v="6"/>
    <x v="6"/>
    <x v="0"/>
    <x v="5"/>
    <n v="940"/>
  </r>
  <r>
    <x v="0"/>
    <x v="1"/>
    <x v="7"/>
    <x v="7"/>
    <x v="0"/>
    <x v="5"/>
    <n v="750"/>
  </r>
  <r>
    <x v="0"/>
    <x v="1"/>
    <x v="8"/>
    <x v="8"/>
    <x v="0"/>
    <x v="5"/>
    <n v="940"/>
  </r>
  <r>
    <x v="0"/>
    <x v="1"/>
    <x v="9"/>
    <x v="9"/>
    <x v="0"/>
    <x v="5"/>
    <n v="750"/>
  </r>
  <r>
    <x v="0"/>
    <x v="1"/>
    <x v="10"/>
    <x v="10"/>
    <x v="0"/>
    <x v="5"/>
    <n v="770"/>
  </r>
  <r>
    <x v="0"/>
    <x v="1"/>
    <x v="11"/>
    <x v="11"/>
    <x v="0"/>
    <x v="5"/>
    <n v="1860"/>
  </r>
  <r>
    <x v="0"/>
    <x v="0"/>
    <x v="0"/>
    <x v="0"/>
    <x v="0"/>
    <x v="6"/>
    <n v="11150"/>
  </r>
  <r>
    <x v="0"/>
    <x v="0"/>
    <x v="1"/>
    <x v="1"/>
    <x v="0"/>
    <x v="6"/>
    <n v="10300"/>
  </r>
  <r>
    <x v="0"/>
    <x v="0"/>
    <x v="2"/>
    <x v="2"/>
    <x v="0"/>
    <x v="6"/>
    <n v="12270"/>
  </r>
  <r>
    <x v="0"/>
    <x v="0"/>
    <x v="3"/>
    <x v="3"/>
    <x v="0"/>
    <x v="6"/>
    <n v="15340"/>
  </r>
  <r>
    <x v="0"/>
    <x v="0"/>
    <x v="4"/>
    <x v="4"/>
    <x v="0"/>
    <x v="6"/>
    <n v="15340"/>
  </r>
  <r>
    <x v="0"/>
    <x v="0"/>
    <x v="5"/>
    <x v="5"/>
    <x v="0"/>
    <x v="6"/>
    <n v="12440"/>
  </r>
  <r>
    <x v="0"/>
    <x v="0"/>
    <x v="6"/>
    <x v="6"/>
    <x v="0"/>
    <x v="6"/>
    <n v="12170"/>
  </r>
  <r>
    <x v="0"/>
    <x v="0"/>
    <x v="7"/>
    <x v="7"/>
    <x v="0"/>
    <x v="6"/>
    <n v="10670"/>
  </r>
  <r>
    <x v="0"/>
    <x v="0"/>
    <x v="8"/>
    <x v="8"/>
    <x v="0"/>
    <x v="6"/>
    <n v="9820"/>
  </r>
  <r>
    <x v="0"/>
    <x v="0"/>
    <x v="9"/>
    <x v="9"/>
    <x v="0"/>
    <x v="6"/>
    <n v="12500"/>
  </r>
  <r>
    <x v="0"/>
    <x v="0"/>
    <x v="10"/>
    <x v="10"/>
    <x v="0"/>
    <x v="6"/>
    <n v="11920"/>
  </r>
  <r>
    <x v="0"/>
    <x v="0"/>
    <x v="11"/>
    <x v="11"/>
    <x v="0"/>
    <x v="6"/>
    <n v="10840"/>
  </r>
  <r>
    <x v="1"/>
    <x v="3"/>
    <x v="0"/>
    <x v="0"/>
    <x v="0"/>
    <x v="6"/>
    <n v="0"/>
  </r>
  <r>
    <x v="1"/>
    <x v="3"/>
    <x v="1"/>
    <x v="1"/>
    <x v="0"/>
    <x v="6"/>
    <n v="0"/>
  </r>
  <r>
    <x v="1"/>
    <x v="3"/>
    <x v="2"/>
    <x v="2"/>
    <x v="0"/>
    <x v="6"/>
    <n v="0"/>
  </r>
  <r>
    <x v="1"/>
    <x v="3"/>
    <x v="3"/>
    <x v="3"/>
    <x v="0"/>
    <x v="6"/>
    <n v="0"/>
  </r>
  <r>
    <x v="1"/>
    <x v="3"/>
    <x v="4"/>
    <x v="4"/>
    <x v="0"/>
    <x v="6"/>
    <n v="0"/>
  </r>
  <r>
    <x v="1"/>
    <x v="3"/>
    <x v="5"/>
    <x v="5"/>
    <x v="0"/>
    <x v="6"/>
    <n v="0"/>
  </r>
  <r>
    <x v="1"/>
    <x v="3"/>
    <x v="6"/>
    <x v="6"/>
    <x v="0"/>
    <x v="6"/>
    <n v="0"/>
  </r>
  <r>
    <x v="1"/>
    <x v="3"/>
    <x v="7"/>
    <x v="7"/>
    <x v="0"/>
    <x v="6"/>
    <n v="0"/>
  </r>
  <r>
    <x v="1"/>
    <x v="3"/>
    <x v="8"/>
    <x v="8"/>
    <x v="0"/>
    <x v="6"/>
    <n v="0"/>
  </r>
  <r>
    <x v="1"/>
    <x v="3"/>
    <x v="9"/>
    <x v="9"/>
    <x v="0"/>
    <x v="6"/>
    <n v="0"/>
  </r>
  <r>
    <x v="1"/>
    <x v="3"/>
    <x v="10"/>
    <x v="10"/>
    <x v="0"/>
    <x v="6"/>
    <n v="0"/>
  </r>
  <r>
    <x v="1"/>
    <x v="3"/>
    <x v="11"/>
    <x v="11"/>
    <x v="0"/>
    <x v="6"/>
    <n v="0"/>
  </r>
  <r>
    <x v="0"/>
    <x v="1"/>
    <x v="0"/>
    <x v="0"/>
    <x v="0"/>
    <x v="6"/>
    <n v="4080"/>
  </r>
  <r>
    <x v="0"/>
    <x v="1"/>
    <x v="1"/>
    <x v="1"/>
    <x v="0"/>
    <x v="6"/>
    <n v="3630"/>
  </r>
  <r>
    <x v="0"/>
    <x v="1"/>
    <x v="2"/>
    <x v="2"/>
    <x v="0"/>
    <x v="6"/>
    <n v="4080"/>
  </r>
  <r>
    <x v="0"/>
    <x v="1"/>
    <x v="3"/>
    <x v="3"/>
    <x v="0"/>
    <x v="6"/>
    <n v="4080"/>
  </r>
  <r>
    <x v="0"/>
    <x v="1"/>
    <x v="4"/>
    <x v="4"/>
    <x v="0"/>
    <x v="6"/>
    <n v="3630"/>
  </r>
  <r>
    <x v="0"/>
    <x v="1"/>
    <x v="5"/>
    <x v="5"/>
    <x v="0"/>
    <x v="6"/>
    <n v="4080"/>
  </r>
  <r>
    <x v="0"/>
    <x v="1"/>
    <x v="6"/>
    <x v="6"/>
    <x v="0"/>
    <x v="6"/>
    <n v="4080"/>
  </r>
  <r>
    <x v="0"/>
    <x v="1"/>
    <x v="7"/>
    <x v="7"/>
    <x v="0"/>
    <x v="6"/>
    <n v="4080"/>
  </r>
  <r>
    <x v="0"/>
    <x v="1"/>
    <x v="8"/>
    <x v="8"/>
    <x v="0"/>
    <x v="6"/>
    <n v="3630"/>
  </r>
  <r>
    <x v="0"/>
    <x v="1"/>
    <x v="9"/>
    <x v="9"/>
    <x v="0"/>
    <x v="6"/>
    <n v="4080"/>
  </r>
  <r>
    <x v="0"/>
    <x v="1"/>
    <x v="10"/>
    <x v="10"/>
    <x v="0"/>
    <x v="6"/>
    <n v="4080"/>
  </r>
  <r>
    <x v="0"/>
    <x v="1"/>
    <x v="11"/>
    <x v="11"/>
    <x v="0"/>
    <x v="6"/>
    <n v="4080"/>
  </r>
  <r>
    <x v="0"/>
    <x v="2"/>
    <x v="0"/>
    <x v="0"/>
    <x v="0"/>
    <x v="6"/>
    <n v="1550"/>
  </r>
  <r>
    <x v="0"/>
    <x v="2"/>
    <x v="1"/>
    <x v="1"/>
    <x v="0"/>
    <x v="6"/>
    <n v="1240"/>
  </r>
  <r>
    <x v="0"/>
    <x v="2"/>
    <x v="2"/>
    <x v="2"/>
    <x v="0"/>
    <x v="6"/>
    <n v="1240"/>
  </r>
  <r>
    <x v="0"/>
    <x v="2"/>
    <x v="3"/>
    <x v="3"/>
    <x v="0"/>
    <x v="6"/>
    <n v="1550"/>
  </r>
  <r>
    <x v="0"/>
    <x v="2"/>
    <x v="4"/>
    <x v="4"/>
    <x v="0"/>
    <x v="6"/>
    <n v="1240"/>
  </r>
  <r>
    <x v="0"/>
    <x v="2"/>
    <x v="5"/>
    <x v="5"/>
    <x v="0"/>
    <x v="6"/>
    <n v="1240"/>
  </r>
  <r>
    <x v="0"/>
    <x v="2"/>
    <x v="6"/>
    <x v="6"/>
    <x v="0"/>
    <x v="6"/>
    <n v="1550"/>
  </r>
  <r>
    <x v="0"/>
    <x v="2"/>
    <x v="7"/>
    <x v="7"/>
    <x v="0"/>
    <x v="6"/>
    <n v="1240"/>
  </r>
  <r>
    <x v="0"/>
    <x v="2"/>
    <x v="8"/>
    <x v="8"/>
    <x v="0"/>
    <x v="6"/>
    <n v="1240"/>
  </r>
  <r>
    <x v="0"/>
    <x v="2"/>
    <x v="9"/>
    <x v="9"/>
    <x v="0"/>
    <x v="6"/>
    <n v="1550"/>
  </r>
  <r>
    <x v="0"/>
    <x v="2"/>
    <x v="10"/>
    <x v="10"/>
    <x v="0"/>
    <x v="6"/>
    <n v="1240"/>
  </r>
  <r>
    <x v="0"/>
    <x v="2"/>
    <x v="11"/>
    <x v="11"/>
    <x v="0"/>
    <x v="6"/>
    <n v="1550"/>
  </r>
</pivotCacheRecords>
</file>

<file path=xl/pivotCache/pivotCacheRecords7.xml><?xml version="1.0" encoding="utf-8"?>
<pivotCacheRecords xmlns="http://schemas.openxmlformats.org/spreadsheetml/2006/main" xmlns:r="http://schemas.openxmlformats.org/officeDocument/2006/relationships" count="18">
  <r>
    <n v="3695"/>
    <d v="2015-11-02T00:00:00"/>
    <d v="2015-11-02T00:00:00"/>
    <x v="0"/>
    <x v="0"/>
    <d v="1899-12-30T15:00:00"/>
    <d v="1899-12-30T19:40:00"/>
    <x v="0"/>
    <x v="0"/>
    <s v="3680 Gilmore Way"/>
    <s v="SP2 on the Hematology line empties the waste blood into the drain in the floor behind the stainers.  At approx 1500 the line that drains into the master drain sprayed blood and diluent into the air and onto both SP units as well as on the floor. "/>
    <x v="0"/>
    <s v="The SP units were moved over about 2ft to make room for a new piece of equiptment on Sunday November 1st and presumably the tubing was not extended to match the new distance from the drain. _x000a_Supervisor: Sysmex FSR did install new longer waste tubing but assuming  didnt appear to be long enough."/>
    <x v="0"/>
    <s v="The spill kit was deployed to clean up and decontaminate the affected areas. Sysmex service tech called and arrived about 1530 to adress and correct the issue. _x000a_Supervisor: Sysmex FSR installed new waste tubing which was long enough to be inserted deep into the drain."/>
  </r>
  <r>
    <n v="3729"/>
    <d v="2015-11-07T00:00:00"/>
    <d v="2015-11-07T00:00:00"/>
    <x v="0"/>
    <x v="0"/>
    <m/>
    <d v="1899-12-30T15:23:00"/>
    <x v="0"/>
    <x v="1"/>
    <s v="405A Tranquille Road"/>
    <s v="Inverting tube slipped out of hand and fell on the floor, breaking and spilling blood on floor behind front desk."/>
    <x v="1"/>
    <s v="No remediable root cause determined, CTA was following correct protocol, the tube slipped from her hand."/>
    <x v="1"/>
    <s v="We spoke on that day, correct responses were taken by the CTA following our spill process, using the kit and other appropraite materials provided for clean up, hazard was reported and further action was not/is not required."/>
  </r>
  <r>
    <n v="3821"/>
    <d v="2015-11-25T00:00:00"/>
    <d v="2015-11-27T00:00:00"/>
    <x v="0"/>
    <x v="0"/>
    <m/>
    <m/>
    <x v="0"/>
    <x v="0"/>
    <s v="3680 Gilmore Way"/>
    <s v="Initial very slow drip reported from blue pipe installed by Omicron Oct. 25th which was immediatly reported to Pat and indicated would be dealt with. Second report and investigation determined leak increasing. "/>
    <x v="2"/>
    <s v="Clamp around pipe either needs tightening or replaced."/>
    <x v="0"/>
    <s v="Omicron to fix immediatly. Reported to Ops, Trevor to initiate spill kit clean up. "/>
  </r>
  <r>
    <n v="3783"/>
    <d v="2015-11-25T00:00:00"/>
    <d v="2015-11-25T00:00:00"/>
    <x v="0"/>
    <x v="0"/>
    <d v="1899-12-30T11:45:00"/>
    <d v="1899-12-30T13:02:00"/>
    <x v="1"/>
    <x v="2"/>
    <s v="1919 Riverside Drive"/>
    <s v="Carrying a 24 hour urine container to data sort ,container slipped and landed on the floor and some urine leaked out onto the floor, about 60 ml spilled out "/>
    <x v="3"/>
    <s v="Employee did not transport in proper container/bag"/>
    <x v="1"/>
    <s v="Spill contained and cleaned as per Spill response for biological spills. Employee to transport all 24 hour urines in transport bag, review proper transport protocol and discuss hazard at next closure meeting"/>
  </r>
  <r>
    <n v="3787"/>
    <d v="2015-11-30T00:00:00"/>
    <d v="2015-11-30T00:00:00"/>
    <x v="0"/>
    <x v="0"/>
    <d v="1899-12-30T15:55:00"/>
    <d v="1899-12-30T16:29:00"/>
    <x v="0"/>
    <x v="0"/>
    <s v="3680 Gilmore Way"/>
    <s v="I saw a puddle around the TEST1 ESR. When I opened the door of the TEST1 there was blood spilled all around and inside of the analyzer. Also around the cap of the waste bottle the blood became hard and thick. "/>
    <x v="3"/>
    <s v="The last person who change the waste did not do it properly, they forgot to remove the plastic shield before putting on the new bottle. For three days (since November 27, 2015) the waste was not being disposed properly and now there was blood spilled all around and inside of the analyzer. Also around the cap of the waste bottle the blood became hard and thick. "/>
    <x v="1"/>
    <s v="Supervisor: Two staff member cleaned up the small blood spill outside the analyzer and did their best for the inside of the analyzer.  They were very careful and used the proper spill clean up material and wore all the required PPE including a face sheild.  The analyzer hotline was called and the service tech is coming Tuesday Dec 1, 2015 to clean up all the dried blood from the interior of the analyzer.   I spoke to the team at the Staff Huddle on Tuesday Dec 1, 2015, we did a show and tell with the waste container and focused on the plastic sheild that needs to be removed.  I will be speaking to the involved employee when he is back to work on Dec 2, 2015.  We reviewed the Test1 ESR analyzer maintenance document and saw the plastic sheild wasn't mentioned so will update this procedure to include the removal of the plastic sheild."/>
  </r>
  <r>
    <n v="3878"/>
    <d v="2015-12-24T00:00:00"/>
    <d v="2015-12-24T00:00:00"/>
    <x v="1"/>
    <x v="0"/>
    <d v="1899-12-30T08:50:00"/>
    <d v="1899-12-30T14:50:00"/>
    <x v="1"/>
    <x v="2"/>
    <s v="1919 Riverside Drive"/>
    <s v="One of the biohazard boxes was leaking during removal from the laboratory by Stericycle"/>
    <x v="2"/>
    <m/>
    <x v="1"/>
    <s v="It was determined that the fluid was urine since it was the only liquid substance in the bag. The punctured bag was placed in another yellow biohazard bag, then placed in a new biohazard box. Area of floor cleaned and decontaminated, the lid and the broken box were decontaminated and placed in a yellow bag for removal and transport  by Stericycle. Biological Spill Response &lt;1L followed as per SOP"/>
  </r>
  <r>
    <n v="3854"/>
    <d v="2015-12-23T00:00:00"/>
    <d v="2015-12-23T00:00:00"/>
    <x v="1"/>
    <x v="0"/>
    <m/>
    <d v="1899-12-30T09:00:00"/>
    <x v="1"/>
    <x v="3"/>
    <s v="807 Broadview Avenue"/>
    <s v="Centrifuge was being loaded, and there was unawareness that one SST tube was not well closed, so it dropped on the counter and spilled all over the place. Some of the blood spilled on my clothes and skin. "/>
    <x v="3"/>
    <s v="SST Not Covered Probably"/>
    <x v="1"/>
    <s v="Cleaned the Site Using the Spill Kit "/>
  </r>
  <r>
    <n v="3818"/>
    <d v="2015-12-11T00:00:00"/>
    <d v="2015-12-11T00:00:00"/>
    <x v="1"/>
    <x v="0"/>
    <d v="1899-12-30T08:00:00"/>
    <d v="1899-12-30T09:07:00"/>
    <x v="1"/>
    <x v="3"/>
    <s v="100 International Boulevard"/>
    <s v="Decal Solution Bottle Spill in Cabinet"/>
    <x v="3"/>
    <s v="Lid not properly tightened"/>
    <x v="1"/>
    <s v="Tighten the lid"/>
  </r>
  <r>
    <n v="3946"/>
    <d v="2016-01-22T00:00:00"/>
    <d v="2016-01-22T00:00:00"/>
    <x v="2"/>
    <x v="1"/>
    <d v="1899-12-30T14:00:00"/>
    <d v="1899-12-30T14:49:00"/>
    <x v="1"/>
    <x v="2"/>
    <s v="1919 Riverside Drive"/>
    <s v="Employee was reaching for paper towels on the shelf above the sink and knocked over the flask and funnell that was filtering crystal violet. It spilled into one of the sinks, down the door of the cupboard and onto the mat on the floor.  Upon further investigation, no stain went to drain, as the sink was covered during the filtering process. The majority of the stain landed on the floor, in front of sink and on employee's clothing. "/>
    <x v="0"/>
    <s v="Reaching to get something off a shelf, and flask and funnell used in filtering stain not pushed back far enough."/>
    <x v="2"/>
    <s v="Use a stool to get items off shelves, ask someone else to get the item if cannot reach it safely. Push flask/funnel to the back near the wall when filtering away from any movement. Place flask/funnel in a bucket in the sink to help protect from knocking over and also having a secondary receptacle to capture stain if a spill occurs. "/>
  </r>
  <r>
    <n v="3951"/>
    <d v="2016-01-21T00:00:00"/>
    <d v="2016-01-22T00:00:00"/>
    <x v="2"/>
    <x v="1"/>
    <m/>
    <d v="1899-12-30T14:38:00"/>
    <x v="1"/>
    <x v="4"/>
    <s v="65 Larch Street"/>
    <s v="Histology sample that was received had leaked out of the bottle and into the bag on some of the other sample (inside bags). Absorbant pads helped keep smell and liquid to a minimum. Bag and samples were cleaned up and leaked sample cleaned up."/>
    <x v="1"/>
    <s v="Histo sample should be looked at before shipping and cleanups made then"/>
    <x v="3"/>
    <s v="Advised Data Sort to ensure look at specimens before packing up and shipping off to testing"/>
  </r>
  <r>
    <n v="3915"/>
    <d v="2016-01-18T00:00:00"/>
    <d v="2016-01-18T00:00:00"/>
    <x v="2"/>
    <x v="1"/>
    <d v="1899-12-30T14:00:00"/>
    <d v="1899-12-30T14:23:00"/>
    <x v="1"/>
    <x v="2"/>
    <s v="1919 Riverside Drive"/>
    <s v="&lt;1L waste fluid coming out at the back of Advia (Duke) from the waste tube. Fluid on the floor, no discharge to drain."/>
    <x v="2"/>
    <s v="Duke's Waste tube came out of it's waste container where it drains. There are two possible causes: the humidifier in that area was dripping and absorbent pads were placed beneath it (you need to go past this area to access the humidifier, and tube could have been dislodged at that point); and the analyzer (Duke) had service performed on Friday and the servce personal was behind the equipment and could have dislodged as well."/>
    <x v="1"/>
    <s v="Put the waste tube back in container and followed Spill Response to clean the area. Lead purchased Velcro ties to secure tube into waste drain more securely. Discussed at huddles to verify all tubing is sitting properly if there is activity behind the analyzer."/>
  </r>
  <r>
    <n v="3934"/>
    <d v="2016-01-15T00:00:00"/>
    <d v="2016-01-18T00:00:00"/>
    <x v="2"/>
    <x v="1"/>
    <d v="1899-12-30T12:00:00"/>
    <d v="1899-12-30T16:54:00"/>
    <x v="1"/>
    <x v="3"/>
    <s v="100 International Boulevard"/>
    <s v="Blood tube was accidentally dropped during sample opening/accessioning"/>
    <x v="4"/>
    <s v="Tech was facing away from counter when holding blood tube and it fell to the ground"/>
    <x v="2"/>
    <s v="Tech will put down blood tubes prior to turning around/interacting with colleagues"/>
  </r>
  <r>
    <n v="3917"/>
    <d v="2016-01-09T00:00:00"/>
    <d v="2016-01-09T00:00:00"/>
    <x v="2"/>
    <x v="1"/>
    <m/>
    <d v="1899-12-30T16:54:00"/>
    <x v="0"/>
    <x v="5"/>
    <s v="4464 Markham Street"/>
    <s v="A fresh bottle of virkon fell over while employee was reaching to get microscope cover and the pressure in the bottle made the virkon spray out onto employee's glasses"/>
    <x v="3"/>
    <s v="Virkon bottle was too full"/>
    <x v="4"/>
    <s v="Ensure bottles are not full over the fill line"/>
  </r>
  <r>
    <n v="3955"/>
    <d v="2016-02-01T00:00:00"/>
    <d v="2016-02-01T00:00:00"/>
    <x v="3"/>
    <x v="1"/>
    <d v="1899-12-30T09:30:00"/>
    <d v="1899-12-30T22:10:00"/>
    <x v="0"/>
    <x v="1"/>
    <s v="546 St Paul"/>
    <s v="Unknown clear liquid on floor of Analytical fridge.  Biohazardous waste bags placed in yellow bin that was brought to fridge.  Virkon was poured on liquid, left for 15 minutes, wiped up and disposed of in yellow bin."/>
    <x v="1"/>
    <s v="Root Cause undetermined. No leaks or reagent spills identified"/>
    <x v="1"/>
    <s v="Will need to check fridge floor again next day to see if there is another pool of liquid.  If so, will contact facilities to have fridge inspected.  "/>
  </r>
  <r>
    <n v="3967"/>
    <d v="2016-02-03T00:00:00"/>
    <d v="2016-02-03T00:00:00"/>
    <x v="3"/>
    <x v="1"/>
    <d v="1899-12-30T11:00:00"/>
    <d v="1899-12-30T15:09:00"/>
    <x v="1"/>
    <x v="6"/>
    <s v="6560 Kennedy Road"/>
    <s v="Spill was noticed under Hemoglobin Electrophoresis bench which was right behind the Flow  Cytometry Prep Plus instrument.  FLOW's waste container was beside the biohazard garbage."/>
    <x v="5"/>
    <s v="Unsecured tubing coming from the Prep Plus instrument pushed out of place and not noticed."/>
    <x v="1"/>
    <s v="Clean up the spill. informed management of the spill. _x000a_We need to secure the tubing of the waste into the waste container. please advise who can help us accomplish this. "/>
  </r>
  <r>
    <n v="3964"/>
    <d v="2016-02-03T00:00:00"/>
    <d v="2016-02-03T00:00:00"/>
    <x v="3"/>
    <x v="1"/>
    <d v="1899-12-30T17:00:00"/>
    <d v="1899-12-30T17:21:00"/>
    <x v="1"/>
    <x v="7"/>
    <m/>
    <s v="Cap came off of blood tube during labeling , spilling across desk and leaking between plexiglass divider and seal."/>
    <x v="6"/>
    <s v="Labels places on  tubes by physician's office are affixed like flags, sticking horizontally out from tube. This causes tubes to become stuck in racks, and makes labelers rip flags off before labeling with barcodes. During this process, caps can become dislodged."/>
    <x v="5"/>
    <s v="Disinfected entire area, getting inside plexiglass and seal as much as possible. Rejected affected test. Spokje with the physicians office today and requested that they use differant labels. The did not repsond as to whether or not they will change the labels that they are  currently  using. Reminded all staff to take extreme caution when &quot;pulling: the tubes out  of the racks at the labelling stations that they dont pull solely by the cap of the tube. "/>
  </r>
  <r>
    <n v="4003"/>
    <d v="2016-02-17T00:00:00"/>
    <d v="2016-02-17T00:00:00"/>
    <x v="3"/>
    <x v="1"/>
    <d v="1899-12-30T08:30:00"/>
    <d v="1899-12-30T09:38:00"/>
    <x v="1"/>
    <x v="8"/>
    <s v="95 Spring Street"/>
    <s v="I had just finished drawing this patients blood and was barcoding my labels when the lid sliped off a lavender tube._x000a_I grabed the vircon and cleaned up the immediate area.  I taped the patient upand cleaned the rest of the room.  lot # of lavender 5272675.  xy6280090.  Employee indicated that blood came out of the tube but droplets on the wall and table.  Virkon was used rather that a full spill kit.  "/>
    <x v="1"/>
    <s v="I can't say why this happened but the tube cap came off with no resistance.  "/>
    <x v="5"/>
    <s v="Document 9466 Supply Chain Incident form has been completed and sent to supply chain, manager and QRA.  _x000a_employees have been advised to check all tubes to ensure the lavender tube cap is secure prior to use."/>
  </r>
  <r>
    <n v="4011"/>
    <d v="2016-02-18T00:00:00"/>
    <d v="2016-02-18T00:00:00"/>
    <x v="3"/>
    <x v="1"/>
    <d v="1899-12-30T16:16:00"/>
    <d v="1899-12-30T04:16:00"/>
    <x v="1"/>
    <x v="6"/>
    <m/>
    <s v="Used reagent bottles with residual reagent found in transparent garbage disposal bags for paper and other stationary wastes .These bags are handled by house keeping staff who arent trained to handle reagent bottles."/>
    <x v="3"/>
    <s v="Disposal of waste reagent containers in plastic bags handled by housekeeping staff"/>
    <x v="6"/>
    <s v="Ongoing issue ,was reported previously also with corrective action ,have to collectively take decison of how to handle this issue regarding discarding of waste with involment of facilities and operation"/>
  </r>
</pivotCacheRecords>
</file>

<file path=xl/pivotCache/pivotCacheRecords8.xml><?xml version="1.0" encoding="utf-8"?>
<pivotCacheRecords xmlns="http://schemas.openxmlformats.org/spreadsheetml/2006/main" xmlns:r="http://schemas.openxmlformats.org/officeDocument/2006/relationships" count="312">
  <r>
    <x v="0"/>
    <x v="0"/>
    <x v="0"/>
    <n v="1"/>
    <n v="2.334361769331299"/>
    <x v="0"/>
    <x v="0"/>
    <m/>
    <m/>
    <m/>
    <m/>
    <m/>
    <m/>
    <m/>
  </r>
  <r>
    <x v="0"/>
    <x v="1"/>
    <x v="0"/>
    <n v="1"/>
    <n v="2.2400738879756279"/>
    <x v="1"/>
    <x v="0"/>
    <m/>
    <m/>
    <m/>
    <m/>
    <m/>
    <m/>
    <m/>
  </r>
  <r>
    <x v="0"/>
    <x v="2"/>
    <x v="0"/>
    <n v="2"/>
    <n v="2.242553170935683"/>
    <x v="2"/>
    <x v="0"/>
    <m/>
    <m/>
    <m/>
    <m/>
    <m/>
    <m/>
    <m/>
  </r>
  <r>
    <x v="0"/>
    <x v="3"/>
    <x v="0"/>
    <n v="1"/>
    <n v="2.4138896590346373"/>
    <x v="3"/>
    <x v="0"/>
    <m/>
    <m/>
    <m/>
    <m/>
    <m/>
    <m/>
    <m/>
  </r>
  <r>
    <x v="0"/>
    <x v="4"/>
    <x v="0"/>
    <n v="0"/>
    <n v="2.4073683354372011"/>
    <x v="4"/>
    <x v="0"/>
    <m/>
    <m/>
    <m/>
    <m/>
    <m/>
    <m/>
    <m/>
  </r>
  <r>
    <x v="0"/>
    <x v="5"/>
    <x v="0"/>
    <n v="1"/>
    <n v="2.3983522634706453"/>
    <x v="5"/>
    <x v="0"/>
    <m/>
    <m/>
    <m/>
    <m/>
    <m/>
    <m/>
    <m/>
  </r>
  <r>
    <x v="0"/>
    <x v="6"/>
    <x v="0"/>
    <n v="0"/>
    <n v="2.2292491203040012"/>
    <x v="6"/>
    <x v="0"/>
    <m/>
    <m/>
    <m/>
    <m/>
    <m/>
    <m/>
    <m/>
  </r>
  <r>
    <x v="0"/>
    <x v="7"/>
    <x v="0"/>
    <n v="1"/>
    <n v="2.0507323848923913"/>
    <x v="7"/>
    <x v="0"/>
    <m/>
    <m/>
    <m/>
    <m/>
    <m/>
    <m/>
    <m/>
  </r>
  <r>
    <x v="0"/>
    <x v="8"/>
    <x v="0"/>
    <n v="5"/>
    <n v="2.5616766344350821"/>
    <x v="8"/>
    <x v="0"/>
    <m/>
    <m/>
    <m/>
    <m/>
    <m/>
    <m/>
    <m/>
  </r>
  <r>
    <x v="0"/>
    <x v="9"/>
    <x v="0"/>
    <n v="1"/>
    <n v="2.5697300532842093"/>
    <x v="9"/>
    <x v="0"/>
    <m/>
    <m/>
    <m/>
    <m/>
    <m/>
    <m/>
    <m/>
  </r>
  <r>
    <x v="0"/>
    <x v="10"/>
    <x v="0"/>
    <n v="3"/>
    <n v="2.8966453098711882"/>
    <x v="10"/>
    <x v="0"/>
    <m/>
    <m/>
    <m/>
    <m/>
    <m/>
    <m/>
    <m/>
  </r>
  <r>
    <x v="0"/>
    <x v="11"/>
    <x v="0"/>
    <n v="2"/>
    <n v="3.0746625429748144"/>
    <x v="11"/>
    <x v="1"/>
    <m/>
    <m/>
    <m/>
    <m/>
    <m/>
    <m/>
    <m/>
  </r>
  <r>
    <x v="0"/>
    <x v="12"/>
    <x v="0"/>
    <n v="1"/>
    <n v="3.0660305448182976"/>
    <x v="0"/>
    <x v="1"/>
    <m/>
    <m/>
    <m/>
    <m/>
    <m/>
    <m/>
    <m/>
  </r>
  <r>
    <x v="0"/>
    <x v="13"/>
    <x v="0"/>
    <n v="1"/>
    <n v="3.0586672774938504"/>
    <x v="1"/>
    <x v="1"/>
    <m/>
    <m/>
    <m/>
    <m/>
    <m/>
    <m/>
    <m/>
  </r>
  <r>
    <x v="0"/>
    <x v="14"/>
    <x v="0"/>
    <n v="1"/>
    <n v="2.8918117103971914"/>
    <x v="2"/>
    <x v="1"/>
    <m/>
    <m/>
    <m/>
    <m/>
    <m/>
    <m/>
    <m/>
  </r>
  <r>
    <x v="0"/>
    <x v="15"/>
    <x v="0"/>
    <n v="0"/>
    <n v="2.731537184501053"/>
    <x v="3"/>
    <x v="1"/>
    <m/>
    <m/>
    <m/>
    <m/>
    <m/>
    <m/>
    <m/>
  </r>
  <r>
    <x v="0"/>
    <x v="16"/>
    <x v="0"/>
    <n v="2"/>
    <n v="3.0543399314051811"/>
    <x v="4"/>
    <x v="1"/>
    <m/>
    <m/>
    <m/>
    <m/>
    <m/>
    <m/>
    <m/>
  </r>
  <r>
    <x v="0"/>
    <x v="17"/>
    <x v="0"/>
    <n v="4"/>
    <n v="3.5691343302624237"/>
    <x v="5"/>
    <x v="1"/>
    <m/>
    <m/>
    <m/>
    <m/>
    <m/>
    <m/>
    <m/>
  </r>
  <r>
    <x v="0"/>
    <x v="18"/>
    <x v="0"/>
    <n v="2"/>
    <n v="3.9124358303821851"/>
    <x v="6"/>
    <x v="1"/>
    <m/>
    <m/>
    <m/>
    <m/>
    <m/>
    <m/>
    <m/>
  </r>
  <r>
    <x v="0"/>
    <x v="19"/>
    <x v="0"/>
    <n v="2"/>
    <n v="4.0801229613056442"/>
    <x v="7"/>
    <x v="1"/>
    <m/>
    <m/>
    <m/>
    <m/>
    <m/>
    <m/>
    <m/>
  </r>
  <r>
    <x v="0"/>
    <x v="20"/>
    <x v="0"/>
    <n v="2"/>
    <n v="3.5661117494891403"/>
    <x v="8"/>
    <x v="1"/>
    <m/>
    <m/>
    <m/>
    <m/>
    <m/>
    <m/>
    <m/>
  </r>
  <r>
    <x v="0"/>
    <x v="21"/>
    <x v="0"/>
    <n v="0"/>
    <n v="3.3851918393857372"/>
    <x v="9"/>
    <x v="1"/>
    <m/>
    <m/>
    <m/>
    <m/>
    <m/>
    <m/>
    <m/>
  </r>
  <r>
    <x v="0"/>
    <x v="22"/>
    <x v="0"/>
    <n v="1"/>
    <n v="3.0369912280445219"/>
    <x v="10"/>
    <x v="1"/>
    <m/>
    <m/>
    <m/>
    <m/>
    <m/>
    <m/>
    <m/>
  </r>
  <r>
    <x v="0"/>
    <x v="23"/>
    <x v="0"/>
    <n v="3"/>
    <n v="3.2291580508575399"/>
    <x v="11"/>
    <x v="2"/>
    <m/>
    <m/>
    <m/>
    <m/>
    <m/>
    <m/>
    <m/>
  </r>
  <r>
    <x v="0"/>
    <x v="0"/>
    <x v="1"/>
    <n v="0"/>
    <n v="0.67973308513106312"/>
    <x v="0"/>
    <x v="0"/>
    <m/>
    <m/>
    <m/>
    <m/>
    <m/>
    <m/>
    <m/>
  </r>
  <r>
    <x v="0"/>
    <x v="1"/>
    <x v="1"/>
    <n v="0"/>
    <n v="0.66695380298273266"/>
    <x v="1"/>
    <x v="0"/>
    <m/>
    <m/>
    <m/>
    <m/>
    <m/>
    <m/>
    <m/>
  </r>
  <r>
    <x v="0"/>
    <x v="2"/>
    <x v="1"/>
    <n v="0"/>
    <n v="0.5721371523939609"/>
    <x v="2"/>
    <x v="0"/>
    <m/>
    <m/>
    <m/>
    <m/>
    <m/>
    <m/>
    <m/>
  </r>
  <r>
    <x v="0"/>
    <x v="3"/>
    <x v="1"/>
    <n v="1"/>
    <n v="0.38293409773106185"/>
    <x v="3"/>
    <x v="0"/>
    <m/>
    <m/>
    <m/>
    <m/>
    <m/>
    <m/>
    <m/>
  </r>
  <r>
    <x v="0"/>
    <x v="4"/>
    <x v="1"/>
    <n v="0"/>
    <n v="0.38322752980109009"/>
    <x v="4"/>
    <x v="0"/>
    <m/>
    <m/>
    <m/>
    <m/>
    <m/>
    <m/>
    <m/>
  </r>
  <r>
    <x v="0"/>
    <x v="5"/>
    <x v="1"/>
    <n v="0"/>
    <n v="0.38391272465960791"/>
    <x v="5"/>
    <x v="0"/>
    <m/>
    <m/>
    <m/>
    <m/>
    <m/>
    <m/>
    <m/>
  </r>
  <r>
    <x v="0"/>
    <x v="6"/>
    <x v="1"/>
    <n v="0"/>
    <n v="0.3837953486527198"/>
    <x v="6"/>
    <x v="0"/>
    <m/>
    <m/>
    <m/>
    <m/>
    <m/>
    <m/>
    <m/>
  </r>
  <r>
    <x v="0"/>
    <x v="7"/>
    <x v="1"/>
    <n v="2"/>
    <n v="0.5751628849307564"/>
    <x v="7"/>
    <x v="0"/>
    <m/>
    <m/>
    <m/>
    <m/>
    <m/>
    <m/>
    <m/>
  </r>
  <r>
    <x v="0"/>
    <x v="8"/>
    <x v="1"/>
    <n v="1"/>
    <n v="0.57555352793376868"/>
    <x v="8"/>
    <x v="0"/>
    <m/>
    <m/>
    <m/>
    <m/>
    <m/>
    <m/>
    <m/>
  </r>
  <r>
    <x v="0"/>
    <x v="9"/>
    <x v="1"/>
    <n v="0"/>
    <n v="0.57659885372436182"/>
    <x v="9"/>
    <x v="0"/>
    <m/>
    <m/>
    <m/>
    <m/>
    <m/>
    <m/>
    <m/>
  </r>
  <r>
    <x v="0"/>
    <x v="10"/>
    <x v="1"/>
    <n v="0"/>
    <n v="0.48066984072509739"/>
    <x v="10"/>
    <x v="0"/>
    <m/>
    <m/>
    <m/>
    <m/>
    <m/>
    <m/>
    <m/>
  </r>
  <r>
    <x v="0"/>
    <x v="11"/>
    <x v="1"/>
    <n v="1"/>
    <n v="0.48343999502172835"/>
    <x v="11"/>
    <x v="1"/>
    <m/>
    <m/>
    <m/>
    <m/>
    <m/>
    <m/>
    <m/>
  </r>
  <r>
    <x v="0"/>
    <x v="12"/>
    <x v="1"/>
    <n v="3"/>
    <n v="0.77301071357580398"/>
    <x v="0"/>
    <x v="1"/>
    <m/>
    <m/>
    <m/>
    <m/>
    <m/>
    <m/>
    <m/>
  </r>
  <r>
    <x v="0"/>
    <x v="13"/>
    <x v="1"/>
    <n v="1"/>
    <n v="0.86905986118120582"/>
    <x v="1"/>
    <x v="1"/>
    <m/>
    <m/>
    <m/>
    <m/>
    <m/>
    <m/>
    <m/>
  </r>
  <r>
    <x v="0"/>
    <x v="14"/>
    <x v="1"/>
    <n v="1"/>
    <n v="0.96913033504856316"/>
    <x v="2"/>
    <x v="1"/>
    <m/>
    <m/>
    <m/>
    <m/>
    <m/>
    <m/>
    <m/>
  </r>
  <r>
    <x v="0"/>
    <x v="15"/>
    <x v="1"/>
    <n v="0"/>
    <n v="0.87117570141126544"/>
    <x v="3"/>
    <x v="1"/>
    <m/>
    <m/>
    <m/>
    <m/>
    <m/>
    <m/>
    <m/>
  </r>
  <r>
    <x v="0"/>
    <x v="16"/>
    <x v="1"/>
    <n v="1"/>
    <n v="0.96702281988186545"/>
    <x v="4"/>
    <x v="1"/>
    <m/>
    <m/>
    <m/>
    <m/>
    <m/>
    <m/>
    <m/>
  </r>
  <r>
    <x v="0"/>
    <x v="17"/>
    <x v="1"/>
    <n v="0"/>
    <n v="0.9262263963417503"/>
    <x v="5"/>
    <x v="1"/>
    <m/>
    <m/>
    <m/>
    <m/>
    <m/>
    <m/>
    <m/>
  </r>
  <r>
    <x v="0"/>
    <x v="18"/>
    <x v="1"/>
    <n v="2"/>
    <n v="1.1275821790466414"/>
    <x v="6"/>
    <x v="1"/>
    <m/>
    <m/>
    <m/>
    <m/>
    <m/>
    <m/>
    <m/>
  </r>
  <r>
    <x v="0"/>
    <x v="19"/>
    <x v="1"/>
    <n v="4"/>
    <n v="1.2821575766716264"/>
    <x v="7"/>
    <x v="1"/>
    <m/>
    <m/>
    <m/>
    <m/>
    <m/>
    <m/>
    <m/>
  </r>
  <r>
    <x v="0"/>
    <x v="20"/>
    <x v="1"/>
    <n v="4"/>
    <n v="1.5215051075785335"/>
    <x v="8"/>
    <x v="1"/>
    <m/>
    <m/>
    <m/>
    <m/>
    <m/>
    <m/>
    <m/>
  </r>
  <r>
    <x v="0"/>
    <x v="21"/>
    <x v="1"/>
    <n v="1"/>
    <n v="1.5405073015453457"/>
    <x v="9"/>
    <x v="1"/>
    <m/>
    <m/>
    <m/>
    <m/>
    <m/>
    <m/>
    <m/>
  </r>
  <r>
    <x v="0"/>
    <x v="22"/>
    <x v="1"/>
    <n v="1"/>
    <n v="1.469927580495723"/>
    <x v="10"/>
    <x v="1"/>
    <m/>
    <m/>
    <m/>
    <m/>
    <m/>
    <m/>
    <m/>
  </r>
  <r>
    <x v="0"/>
    <x v="23"/>
    <x v="1"/>
    <n v="1"/>
    <n v="1.3764595374960953"/>
    <x v="11"/>
    <x v="2"/>
    <m/>
    <m/>
    <m/>
    <m/>
    <m/>
    <m/>
    <m/>
  </r>
  <r>
    <x v="0"/>
    <x v="0"/>
    <x v="2"/>
    <n v="1"/>
    <n v="0.38841890578917887"/>
    <x v="0"/>
    <x v="0"/>
    <m/>
    <m/>
    <m/>
    <m/>
    <m/>
    <m/>
    <m/>
  </r>
  <r>
    <x v="0"/>
    <x v="1"/>
    <x v="2"/>
    <n v="0"/>
    <n v="0.3811164588472758"/>
    <x v="1"/>
    <x v="0"/>
    <m/>
    <m/>
    <m/>
    <m/>
    <m/>
    <m/>
    <m/>
  </r>
  <r>
    <x v="0"/>
    <x v="2"/>
    <x v="2"/>
    <n v="0"/>
    <n v="0.28606857619698045"/>
    <x v="2"/>
    <x v="0"/>
    <m/>
    <m/>
    <m/>
    <m/>
    <m/>
    <m/>
    <m/>
  </r>
  <r>
    <x v="0"/>
    <x v="3"/>
    <x v="2"/>
    <n v="0"/>
    <n v="0.2872005732982964"/>
    <x v="3"/>
    <x v="0"/>
    <m/>
    <m/>
    <m/>
    <m/>
    <m/>
    <m/>
    <m/>
  </r>
  <r>
    <x v="0"/>
    <x v="4"/>
    <x v="2"/>
    <n v="0"/>
    <n v="0.28742064735081757"/>
    <x v="4"/>
    <x v="0"/>
    <m/>
    <m/>
    <m/>
    <m/>
    <m/>
    <m/>
    <m/>
  </r>
  <r>
    <x v="0"/>
    <x v="5"/>
    <x v="2"/>
    <n v="1"/>
    <n v="0.28793454349470593"/>
    <x v="5"/>
    <x v="0"/>
    <m/>
    <m/>
    <m/>
    <m/>
    <m/>
    <m/>
    <m/>
  </r>
  <r>
    <x v="0"/>
    <x v="6"/>
    <x v="2"/>
    <n v="0"/>
    <n v="0.28784651148953982"/>
    <x v="6"/>
    <x v="0"/>
    <m/>
    <m/>
    <m/>
    <m/>
    <m/>
    <m/>
    <m/>
  </r>
  <r>
    <x v="0"/>
    <x v="7"/>
    <x v="2"/>
    <n v="0"/>
    <n v="0.19172096164358549"/>
    <x v="7"/>
    <x v="0"/>
    <m/>
    <m/>
    <m/>
    <m/>
    <m/>
    <m/>
    <m/>
  </r>
  <r>
    <x v="0"/>
    <x v="8"/>
    <x v="2"/>
    <n v="0"/>
    <n v="0.19185117597792287"/>
    <x v="8"/>
    <x v="0"/>
    <m/>
    <m/>
    <m/>
    <m/>
    <m/>
    <m/>
    <m/>
  </r>
  <r>
    <x v="0"/>
    <x v="9"/>
    <x v="2"/>
    <n v="0"/>
    <n v="0.1921996179081206"/>
    <x v="9"/>
    <x v="0"/>
    <m/>
    <m/>
    <m/>
    <m/>
    <m/>
    <m/>
    <m/>
  </r>
  <r>
    <x v="0"/>
    <x v="10"/>
    <x v="2"/>
    <n v="1"/>
    <n v="0.28840190443505842"/>
    <x v="10"/>
    <x v="0"/>
    <m/>
    <m/>
    <m/>
    <m/>
    <m/>
    <m/>
    <m/>
  </r>
  <r>
    <x v="0"/>
    <x v="11"/>
    <x v="2"/>
    <n v="1"/>
    <n v="0.38675199601738264"/>
    <x v="11"/>
    <x v="1"/>
    <m/>
    <m/>
    <m/>
    <m/>
    <m/>
    <m/>
    <m/>
  </r>
  <r>
    <x v="0"/>
    <x v="12"/>
    <x v="2"/>
    <n v="0"/>
    <n v="0.28987901759092649"/>
    <x v="0"/>
    <x v="1"/>
    <m/>
    <m/>
    <m/>
    <m/>
    <m/>
    <m/>
    <m/>
  </r>
  <r>
    <x v="0"/>
    <x v="13"/>
    <x v="2"/>
    <n v="0"/>
    <n v="0.28968662039373527"/>
    <x v="1"/>
    <x v="1"/>
    <m/>
    <m/>
    <m/>
    <m/>
    <m/>
    <m/>
    <m/>
  </r>
  <r>
    <x v="0"/>
    <x v="14"/>
    <x v="2"/>
    <n v="1"/>
    <n v="0.38765213401942528"/>
    <x v="2"/>
    <x v="1"/>
    <m/>
    <m/>
    <m/>
    <m/>
    <m/>
    <m/>
    <m/>
  </r>
  <r>
    <x v="0"/>
    <x v="15"/>
    <x v="2"/>
    <n v="2"/>
    <n v="0.58078380094084359"/>
    <x v="3"/>
    <x v="1"/>
    <m/>
    <m/>
    <m/>
    <m/>
    <m/>
    <m/>
    <m/>
  </r>
  <r>
    <x v="0"/>
    <x v="16"/>
    <x v="2"/>
    <n v="1"/>
    <n v="0.67691597391730574"/>
    <x v="4"/>
    <x v="1"/>
    <m/>
    <m/>
    <m/>
    <m/>
    <m/>
    <m/>
    <m/>
  </r>
  <r>
    <x v="0"/>
    <x v="17"/>
    <x v="2"/>
    <n v="1"/>
    <n v="0.64835847743922514"/>
    <x v="5"/>
    <x v="1"/>
    <m/>
    <m/>
    <m/>
    <m/>
    <m/>
    <m/>
    <m/>
  </r>
  <r>
    <x v="0"/>
    <x v="18"/>
    <x v="2"/>
    <n v="0"/>
    <n v="0.6577562711105408"/>
    <x v="6"/>
    <x v="1"/>
    <m/>
    <m/>
    <m/>
    <m/>
    <m/>
    <m/>
    <m/>
  </r>
  <r>
    <x v="0"/>
    <x v="19"/>
    <x v="2"/>
    <n v="2"/>
    <n v="0.82424415643175986"/>
    <x v="7"/>
    <x v="1"/>
    <m/>
    <m/>
    <m/>
    <m/>
    <m/>
    <m/>
    <m/>
  </r>
  <r>
    <x v="0"/>
    <x v="20"/>
    <x v="2"/>
    <n v="2"/>
    <n v="0.98450330490375704"/>
    <x v="8"/>
    <x v="1"/>
    <m/>
    <m/>
    <m/>
    <m/>
    <m/>
    <m/>
    <m/>
  </r>
  <r>
    <x v="0"/>
    <x v="21"/>
    <x v="2"/>
    <n v="0"/>
    <n v="0.94142112872215578"/>
    <x v="9"/>
    <x v="1"/>
    <m/>
    <m/>
    <m/>
    <m/>
    <m/>
    <m/>
    <m/>
  </r>
  <r>
    <x v="0"/>
    <x v="22"/>
    <x v="2"/>
    <n v="2"/>
    <n v="0.92837531399729878"/>
    <x v="10"/>
    <x v="1"/>
    <m/>
    <m/>
    <m/>
    <m/>
    <m/>
    <m/>
    <m/>
  </r>
  <r>
    <x v="0"/>
    <x v="23"/>
    <x v="2"/>
    <n v="0"/>
    <n v="0.79689762697142352"/>
    <x v="11"/>
    <x v="2"/>
    <m/>
    <m/>
    <m/>
    <m/>
    <m/>
    <m/>
    <m/>
  </r>
  <r>
    <x v="0"/>
    <x v="0"/>
    <x v="3"/>
    <n v="0"/>
    <n v="0.48552363223647366"/>
    <x v="0"/>
    <x v="0"/>
    <m/>
    <m/>
    <m/>
    <m/>
    <m/>
    <m/>
    <m/>
  </r>
  <r>
    <x v="0"/>
    <x v="1"/>
    <x v="3"/>
    <n v="0"/>
    <n v="0.47639557355909473"/>
    <x v="1"/>
    <x v="0"/>
    <m/>
    <m/>
    <m/>
    <m/>
    <m/>
    <m/>
    <m/>
  </r>
  <r>
    <x v="0"/>
    <x v="2"/>
    <x v="3"/>
    <n v="1"/>
    <n v="0.5721371523939609"/>
    <x v="2"/>
    <x v="0"/>
    <m/>
    <m/>
    <m/>
    <m/>
    <m/>
    <m/>
    <m/>
  </r>
  <r>
    <x v="0"/>
    <x v="3"/>
    <x v="3"/>
    <n v="0"/>
    <n v="0.5744011465965928"/>
    <x v="3"/>
    <x v="0"/>
    <m/>
    <m/>
    <m/>
    <m/>
    <m/>
    <m/>
    <m/>
  </r>
  <r>
    <x v="0"/>
    <x v="4"/>
    <x v="3"/>
    <n v="0"/>
    <n v="0.47903441225136267"/>
    <x v="4"/>
    <x v="0"/>
    <m/>
    <m/>
    <m/>
    <m/>
    <m/>
    <m/>
    <m/>
  </r>
  <r>
    <x v="0"/>
    <x v="5"/>
    <x v="3"/>
    <n v="0"/>
    <n v="0.47989090582450988"/>
    <x v="5"/>
    <x v="0"/>
    <m/>
    <m/>
    <m/>
    <m/>
    <m/>
    <m/>
    <m/>
  </r>
  <r>
    <x v="0"/>
    <x v="6"/>
    <x v="3"/>
    <n v="0"/>
    <n v="0.47974418581589973"/>
    <x v="6"/>
    <x v="0"/>
    <m/>
    <m/>
    <m/>
    <m/>
    <m/>
    <m/>
    <m/>
  </r>
  <r>
    <x v="0"/>
    <x v="7"/>
    <x v="3"/>
    <n v="1"/>
    <n v="0.47930240410896374"/>
    <x v="7"/>
    <x v="0"/>
    <m/>
    <m/>
    <m/>
    <m/>
    <m/>
    <m/>
    <m/>
  </r>
  <r>
    <x v="0"/>
    <x v="8"/>
    <x v="3"/>
    <n v="1"/>
    <n v="0.47962793994480724"/>
    <x v="8"/>
    <x v="0"/>
    <m/>
    <m/>
    <m/>
    <m/>
    <m/>
    <m/>
    <m/>
  </r>
  <r>
    <x v="0"/>
    <x v="9"/>
    <x v="3"/>
    <n v="2"/>
    <n v="0.57659885372436182"/>
    <x v="9"/>
    <x v="0"/>
    <m/>
    <m/>
    <m/>
    <m/>
    <m/>
    <m/>
    <m/>
  </r>
  <r>
    <x v="0"/>
    <x v="10"/>
    <x v="3"/>
    <n v="0"/>
    <n v="0.48066984072509739"/>
    <x v="10"/>
    <x v="0"/>
    <m/>
    <m/>
    <m/>
    <m/>
    <m/>
    <m/>
    <m/>
  </r>
  <r>
    <x v="0"/>
    <x v="11"/>
    <x v="3"/>
    <n v="0"/>
    <n v="0.48343999502172835"/>
    <x v="11"/>
    <x v="1"/>
    <m/>
    <m/>
    <m/>
    <m/>
    <m/>
    <m/>
    <m/>
  </r>
  <r>
    <x v="0"/>
    <x v="12"/>
    <x v="3"/>
    <n v="0"/>
    <n v="0.48313169598487754"/>
    <x v="0"/>
    <x v="1"/>
    <m/>
    <m/>
    <m/>
    <m/>
    <m/>
    <m/>
    <m/>
  </r>
  <r>
    <x v="0"/>
    <x v="13"/>
    <x v="3"/>
    <n v="0"/>
    <n v="0.48281103398955882"/>
    <x v="1"/>
    <x v="1"/>
    <m/>
    <m/>
    <m/>
    <m/>
    <m/>
    <m/>
    <m/>
  </r>
  <r>
    <x v="0"/>
    <x v="14"/>
    <x v="3"/>
    <n v="1"/>
    <n v="0.48456516752428158"/>
    <x v="2"/>
    <x v="1"/>
    <m/>
    <m/>
    <m/>
    <m/>
    <m/>
    <m/>
    <m/>
  </r>
  <r>
    <x v="0"/>
    <x v="15"/>
    <x v="3"/>
    <n v="1"/>
    <n v="0.58078380094084359"/>
    <x v="3"/>
    <x v="1"/>
    <m/>
    <m/>
    <m/>
    <m/>
    <m/>
    <m/>
    <m/>
  </r>
  <r>
    <x v="0"/>
    <x v="16"/>
    <x v="3"/>
    <n v="0"/>
    <n v="0.58021369192911931"/>
    <x v="4"/>
    <x v="1"/>
    <m/>
    <m/>
    <m/>
    <m/>
    <m/>
    <m/>
    <m/>
  </r>
  <r>
    <x v="0"/>
    <x v="17"/>
    <x v="3"/>
    <n v="7"/>
    <n v="1.2040943152442753"/>
    <x v="5"/>
    <x v="1"/>
    <m/>
    <m/>
    <m/>
    <m/>
    <m/>
    <m/>
    <m/>
  </r>
  <r>
    <x v="0"/>
    <x v="18"/>
    <x v="3"/>
    <n v="1"/>
    <n v="1.3155125422210816"/>
    <x v="6"/>
    <x v="1"/>
    <m/>
    <m/>
    <m/>
    <m/>
    <m/>
    <m/>
    <m/>
  </r>
  <r>
    <x v="0"/>
    <x v="19"/>
    <x v="3"/>
    <n v="1"/>
    <n v="1.2821575766716264"/>
    <x v="7"/>
    <x v="1"/>
    <m/>
    <m/>
    <m/>
    <m/>
    <m/>
    <m/>
    <m/>
  </r>
  <r>
    <x v="0"/>
    <x v="20"/>
    <x v="3"/>
    <n v="1"/>
    <n v="1.2530042062411453"/>
    <x v="8"/>
    <x v="1"/>
    <m/>
    <m/>
    <m/>
    <m/>
    <m/>
    <m/>
    <m/>
  </r>
  <r>
    <x v="0"/>
    <x v="21"/>
    <x v="3"/>
    <n v="1"/>
    <n v="1.1125886066716386"/>
    <x v="9"/>
    <x v="1"/>
    <m/>
    <m/>
    <m/>
    <m/>
    <m/>
    <m/>
    <m/>
  </r>
  <r>
    <x v="0"/>
    <x v="22"/>
    <x v="3"/>
    <n v="0"/>
    <n v="1.0057399234970736"/>
    <x v="10"/>
    <x v="1"/>
    <m/>
    <m/>
    <m/>
    <m/>
    <m/>
    <m/>
    <m/>
  </r>
  <r>
    <x v="0"/>
    <x v="23"/>
    <x v="3"/>
    <n v="0"/>
    <n v="0.94178810460259155"/>
    <x v="11"/>
    <x v="2"/>
    <m/>
    <m/>
    <m/>
    <m/>
    <m/>
    <m/>
    <m/>
  </r>
  <r>
    <x v="0"/>
    <x v="0"/>
    <x v="4"/>
    <n v="1"/>
    <n v="0.58262835868376839"/>
    <x v="0"/>
    <x v="0"/>
    <m/>
    <m/>
    <m/>
    <m/>
    <m/>
    <m/>
    <m/>
  </r>
  <r>
    <x v="0"/>
    <x v="1"/>
    <x v="4"/>
    <n v="1"/>
    <n v="0.66695380298273266"/>
    <x v="1"/>
    <x v="0"/>
    <m/>
    <m/>
    <m/>
    <m/>
    <m/>
    <m/>
    <m/>
  </r>
  <r>
    <x v="0"/>
    <x v="2"/>
    <x v="4"/>
    <n v="0"/>
    <n v="0.5721371523939609"/>
    <x v="2"/>
    <x v="0"/>
    <m/>
    <m/>
    <m/>
    <m/>
    <m/>
    <m/>
    <m/>
  </r>
  <r>
    <x v="0"/>
    <x v="3"/>
    <x v="4"/>
    <n v="0"/>
    <n v="0.5744011465965928"/>
    <x v="3"/>
    <x v="0"/>
    <m/>
    <m/>
    <m/>
    <m/>
    <m/>
    <m/>
    <m/>
  </r>
  <r>
    <x v="0"/>
    <x v="4"/>
    <x v="4"/>
    <n v="1"/>
    <n v="0.67064817715190772"/>
    <x v="4"/>
    <x v="0"/>
    <m/>
    <m/>
    <m/>
    <m/>
    <m/>
    <m/>
    <m/>
  </r>
  <r>
    <x v="0"/>
    <x v="5"/>
    <x v="4"/>
    <n v="0"/>
    <n v="0.67184726815431384"/>
    <x v="5"/>
    <x v="0"/>
    <m/>
    <m/>
    <m/>
    <m/>
    <m/>
    <m/>
    <m/>
  </r>
  <r>
    <x v="0"/>
    <x v="6"/>
    <x v="4"/>
    <n v="0"/>
    <n v="0.67164186014225968"/>
    <x v="6"/>
    <x v="0"/>
    <m/>
    <m/>
    <m/>
    <m/>
    <m/>
    <m/>
    <m/>
  </r>
  <r>
    <x v="0"/>
    <x v="7"/>
    <x v="4"/>
    <n v="1"/>
    <n v="0.67102336575254917"/>
    <x v="7"/>
    <x v="0"/>
    <m/>
    <m/>
    <m/>
    <m/>
    <m/>
    <m/>
    <m/>
  </r>
  <r>
    <x v="0"/>
    <x v="8"/>
    <x v="4"/>
    <n v="1"/>
    <n v="0.67147911592273002"/>
    <x v="8"/>
    <x v="0"/>
    <m/>
    <m/>
    <m/>
    <m/>
    <m/>
    <m/>
    <m/>
  </r>
  <r>
    <x v="0"/>
    <x v="9"/>
    <x v="4"/>
    <n v="1"/>
    <n v="0.76879847163248238"/>
    <x v="9"/>
    <x v="0"/>
    <m/>
    <m/>
    <m/>
    <m/>
    <m/>
    <m/>
    <m/>
  </r>
  <r>
    <x v="0"/>
    <x v="10"/>
    <x v="4"/>
    <n v="0"/>
    <n v="0.76907174516015597"/>
    <x v="10"/>
    <x v="0"/>
    <m/>
    <m/>
    <m/>
    <m/>
    <m/>
    <m/>
    <m/>
  </r>
  <r>
    <x v="0"/>
    <x v="11"/>
    <x v="4"/>
    <n v="0"/>
    <n v="0.58012799402607396"/>
    <x v="11"/>
    <x v="1"/>
    <m/>
    <m/>
    <m/>
    <m/>
    <m/>
    <m/>
    <m/>
  </r>
  <r>
    <x v="0"/>
    <x v="12"/>
    <x v="4"/>
    <n v="3"/>
    <n v="0.77301071357580398"/>
    <x v="0"/>
    <x v="1"/>
    <m/>
    <m/>
    <m/>
    <m/>
    <m/>
    <m/>
    <m/>
  </r>
  <r>
    <x v="0"/>
    <x v="13"/>
    <x v="4"/>
    <n v="0"/>
    <n v="0.67593544758538227"/>
    <x v="1"/>
    <x v="1"/>
    <m/>
    <m/>
    <m/>
    <m/>
    <m/>
    <m/>
    <m/>
  </r>
  <r>
    <x v="0"/>
    <x v="14"/>
    <x v="4"/>
    <n v="0"/>
    <n v="0.67839123453399419"/>
    <x v="2"/>
    <x v="1"/>
    <m/>
    <m/>
    <m/>
    <m/>
    <m/>
    <m/>
    <m/>
  </r>
  <r>
    <x v="0"/>
    <x v="15"/>
    <x v="4"/>
    <n v="1"/>
    <n v="0.77437840125445812"/>
    <x v="3"/>
    <x v="1"/>
    <m/>
    <m/>
    <m/>
    <m/>
    <m/>
    <m/>
    <m/>
  </r>
  <r>
    <x v="0"/>
    <x v="16"/>
    <x v="4"/>
    <n v="1"/>
    <n v="0.77361825590549227"/>
    <x v="4"/>
    <x v="1"/>
    <m/>
    <m/>
    <m/>
    <m/>
    <m/>
    <m/>
    <m/>
  </r>
  <r>
    <x v="0"/>
    <x v="17"/>
    <x v="4"/>
    <n v="0"/>
    <n v="0.74098111707340031"/>
    <x v="5"/>
    <x v="1"/>
    <m/>
    <m/>
    <m/>
    <m/>
    <m/>
    <m/>
    <m/>
  </r>
  <r>
    <x v="0"/>
    <x v="18"/>
    <x v="4"/>
    <n v="0"/>
    <n v="0.75172145269776092"/>
    <x v="6"/>
    <x v="1"/>
    <m/>
    <m/>
    <m/>
    <m/>
    <m/>
    <m/>
    <m/>
  </r>
  <r>
    <x v="0"/>
    <x v="19"/>
    <x v="4"/>
    <n v="1"/>
    <n v="0.73266147238378665"/>
    <x v="7"/>
    <x v="1"/>
    <m/>
    <m/>
    <m/>
    <m/>
    <m/>
    <m/>
    <m/>
  </r>
  <r>
    <x v="0"/>
    <x v="20"/>
    <x v="4"/>
    <n v="1"/>
    <n v="0.71600240356636868"/>
    <x v="8"/>
    <x v="1"/>
    <m/>
    <m/>
    <m/>
    <m/>
    <m/>
    <m/>
    <m/>
  </r>
  <r>
    <x v="0"/>
    <x v="21"/>
    <x v="4"/>
    <n v="0"/>
    <n v="0.5990861728231901"/>
    <x v="9"/>
    <x v="1"/>
    <m/>
    <m/>
    <m/>
    <m/>
    <m/>
    <m/>
    <m/>
  </r>
  <r>
    <x v="0"/>
    <x v="22"/>
    <x v="4"/>
    <n v="2"/>
    <n v="0.69628148549797408"/>
    <x v="10"/>
    <x v="1"/>
    <m/>
    <m/>
    <m/>
    <m/>
    <m/>
    <m/>
    <m/>
  </r>
  <r>
    <x v="0"/>
    <x v="23"/>
    <x v="4"/>
    <n v="0"/>
    <n v="0.65200714934025572"/>
    <x v="11"/>
    <x v="2"/>
    <m/>
    <m/>
    <m/>
    <m/>
    <m/>
    <m/>
    <m/>
  </r>
  <r>
    <x v="1"/>
    <x v="0"/>
    <x v="0"/>
    <n v="3"/>
    <n v="2.4166015694618892"/>
    <x v="0"/>
    <x v="0"/>
    <m/>
    <m/>
    <m/>
    <m/>
    <m/>
    <m/>
    <m/>
  </r>
  <r>
    <x v="1"/>
    <x v="1"/>
    <x v="0"/>
    <n v="1"/>
    <n v="2.3066704526817698"/>
    <x v="1"/>
    <x v="0"/>
    <m/>
    <m/>
    <m/>
    <m/>
    <m/>
    <m/>
    <m/>
  </r>
  <r>
    <x v="1"/>
    <x v="2"/>
    <x v="0"/>
    <n v="2"/>
    <n v="2.0999705340976638"/>
    <x v="2"/>
    <x v="0"/>
    <m/>
    <m/>
    <m/>
    <m/>
    <m/>
    <m/>
    <m/>
  </r>
  <r>
    <x v="1"/>
    <x v="3"/>
    <x v="0"/>
    <n v="2"/>
    <n v="2.2179937169518937"/>
    <x v="3"/>
    <x v="0"/>
    <m/>
    <m/>
    <m/>
    <m/>
    <m/>
    <m/>
    <m/>
  </r>
  <r>
    <x v="1"/>
    <x v="4"/>
    <x v="0"/>
    <n v="2"/>
    <n v="2.1151182305766931"/>
    <x v="4"/>
    <x v="0"/>
    <m/>
    <m/>
    <m/>
    <m/>
    <m/>
    <m/>
    <m/>
  </r>
  <r>
    <x v="1"/>
    <x v="5"/>
    <x v="0"/>
    <n v="1"/>
    <n v="2.1175669309967713"/>
    <x v="5"/>
    <x v="0"/>
    <m/>
    <m/>
    <m/>
    <m/>
    <m/>
    <m/>
    <m/>
  </r>
  <r>
    <x v="1"/>
    <x v="6"/>
    <x v="0"/>
    <n v="3"/>
    <n v="2.3231270926148069"/>
    <x v="6"/>
    <x v="0"/>
    <m/>
    <m/>
    <m/>
    <m/>
    <m/>
    <m/>
    <m/>
  </r>
  <r>
    <x v="1"/>
    <x v="7"/>
    <x v="0"/>
    <n v="2"/>
    <n v="2.045586154263344"/>
    <x v="7"/>
    <x v="0"/>
    <m/>
    <m/>
    <m/>
    <m/>
    <m/>
    <m/>
    <m/>
  </r>
  <r>
    <x v="1"/>
    <x v="8"/>
    <x v="0"/>
    <n v="2"/>
    <n v="1.9662868997246685"/>
    <x v="8"/>
    <x v="0"/>
    <m/>
    <m/>
    <m/>
    <m/>
    <m/>
    <m/>
    <m/>
  </r>
  <r>
    <x v="1"/>
    <x v="9"/>
    <x v="0"/>
    <n v="2"/>
    <n v="2.0620818613505647"/>
    <x v="9"/>
    <x v="0"/>
    <m/>
    <m/>
    <m/>
    <m/>
    <m/>
    <m/>
    <m/>
  </r>
  <r>
    <x v="1"/>
    <x v="10"/>
    <x v="0"/>
    <n v="1"/>
    <n v="1.74845877332901"/>
    <x v="10"/>
    <x v="0"/>
    <m/>
    <m/>
    <m/>
    <m/>
    <m/>
    <m/>
    <m/>
  </r>
  <r>
    <x v="1"/>
    <x v="11"/>
    <x v="0"/>
    <n v="0"/>
    <n v="1.6602427132540258"/>
    <x v="11"/>
    <x v="1"/>
    <m/>
    <m/>
    <m/>
    <m/>
    <m/>
    <m/>
    <m/>
  </r>
  <r>
    <x v="1"/>
    <x v="12"/>
    <x v="0"/>
    <n v="1"/>
    <n v="1.4947680757189716"/>
    <x v="0"/>
    <x v="1"/>
    <m/>
    <m/>
    <m/>
    <m/>
    <m/>
    <m/>
    <m/>
  </r>
  <r>
    <x v="1"/>
    <x v="13"/>
    <x v="0"/>
    <n v="3"/>
    <n v="1.630636839782321"/>
    <x v="1"/>
    <x v="1"/>
    <m/>
    <m/>
    <m/>
    <m/>
    <m/>
    <m/>
    <m/>
  </r>
  <r>
    <x v="1"/>
    <x v="14"/>
    <x v="0"/>
    <n v="4"/>
    <n v="1.7712411279109483"/>
    <x v="2"/>
    <x v="1"/>
    <m/>
    <m/>
    <m/>
    <m/>
    <m/>
    <m/>
    <m/>
  </r>
  <r>
    <x v="1"/>
    <x v="15"/>
    <x v="0"/>
    <n v="2"/>
    <n v="1.7685460698177389"/>
    <x v="3"/>
    <x v="1"/>
    <m/>
    <m/>
    <m/>
    <m/>
    <m/>
    <m/>
    <m/>
  </r>
  <r>
    <x v="1"/>
    <x v="16"/>
    <x v="0"/>
    <n v="1"/>
    <n v="1.6765680712547526"/>
    <x v="4"/>
    <x v="1"/>
    <m/>
    <m/>
    <m/>
    <m/>
    <m/>
    <m/>
    <m/>
  </r>
  <r>
    <x v="1"/>
    <x v="17"/>
    <x v="0"/>
    <n v="3"/>
    <n v="1.8262013323051818"/>
    <x v="5"/>
    <x v="1"/>
    <m/>
    <m/>
    <m/>
    <m/>
    <m/>
    <m/>
    <m/>
  </r>
  <r>
    <x v="1"/>
    <x v="18"/>
    <x v="0"/>
    <n v="1"/>
    <n v="1.6653805386961009"/>
    <x v="6"/>
    <x v="1"/>
    <m/>
    <m/>
    <m/>
    <m/>
    <m/>
    <m/>
    <m/>
  </r>
  <r>
    <x v="1"/>
    <x v="19"/>
    <x v="0"/>
    <n v="0"/>
    <n v="1.5101069571005039"/>
    <x v="7"/>
    <x v="1"/>
    <m/>
    <m/>
    <m/>
    <m/>
    <m/>
    <m/>
    <m/>
  </r>
  <r>
    <x v="1"/>
    <x v="20"/>
    <x v="0"/>
    <n v="2"/>
    <n v="1.5076874343826159"/>
    <x v="8"/>
    <x v="1"/>
    <m/>
    <m/>
    <m/>
    <m/>
    <m/>
    <m/>
    <m/>
  </r>
  <r>
    <x v="1"/>
    <x v="21"/>
    <x v="0"/>
    <n v="1"/>
    <n v="1.4220819234451387"/>
    <x v="9"/>
    <x v="1"/>
    <m/>
    <m/>
    <m/>
    <m/>
    <m/>
    <m/>
    <m/>
  </r>
  <r>
    <x v="1"/>
    <x v="22"/>
    <x v="0"/>
    <n v="1"/>
    <n v="1.4180638949737099"/>
    <x v="10"/>
    <x v="1"/>
    <m/>
    <m/>
    <m/>
    <m/>
    <m/>
    <m/>
    <m/>
  </r>
  <r>
    <x v="1"/>
    <x v="23"/>
    <x v="0"/>
    <n v="1"/>
    <n v="1.5016778246334628"/>
    <x v="11"/>
    <x v="2"/>
    <m/>
    <m/>
    <m/>
    <m/>
    <m/>
    <m/>
    <m/>
  </r>
  <r>
    <x v="1"/>
    <x v="0"/>
    <x v="1"/>
    <n v="1"/>
    <n v="0.88579521171174336"/>
    <x v="0"/>
    <x v="0"/>
    <m/>
    <m/>
    <m/>
    <m/>
    <m/>
    <m/>
    <m/>
  </r>
  <r>
    <x v="1"/>
    <x v="1"/>
    <x v="1"/>
    <n v="2"/>
    <n v="0.92394145153950757"/>
    <x v="1"/>
    <x v="0"/>
    <m/>
    <m/>
    <m/>
    <m/>
    <m/>
    <m/>
    <m/>
  </r>
  <r>
    <x v="1"/>
    <x v="2"/>
    <x v="1"/>
    <n v="0"/>
    <n v="0.81644810917761834"/>
    <x v="2"/>
    <x v="0"/>
    <m/>
    <m/>
    <m/>
    <m/>
    <m/>
    <m/>
    <m/>
  </r>
  <r>
    <x v="1"/>
    <x v="3"/>
    <x v="1"/>
    <n v="3"/>
    <n v="0.82337499656273105"/>
    <x v="3"/>
    <x v="0"/>
    <m/>
    <m/>
    <m/>
    <m/>
    <m/>
    <m/>
    <m/>
  </r>
  <r>
    <x v="1"/>
    <x v="4"/>
    <x v="1"/>
    <n v="1"/>
    <n v="0.73558444453396243"/>
    <x v="4"/>
    <x v="0"/>
    <m/>
    <m/>
    <m/>
    <m/>
    <m/>
    <m/>
    <m/>
  </r>
  <r>
    <x v="1"/>
    <x v="5"/>
    <x v="1"/>
    <n v="0"/>
    <n v="0.60398540232327169"/>
    <x v="5"/>
    <x v="0"/>
    <m/>
    <m/>
    <m/>
    <m/>
    <m/>
    <m/>
    <m/>
  </r>
  <r>
    <x v="1"/>
    <x v="6"/>
    <x v="1"/>
    <n v="1"/>
    <n v="0.62138501913909139"/>
    <x v="6"/>
    <x v="0"/>
    <m/>
    <m/>
    <m/>
    <m/>
    <m/>
    <m/>
    <m/>
  </r>
  <r>
    <x v="1"/>
    <x v="7"/>
    <x v="1"/>
    <n v="1"/>
    <n v="0.46722029553314715"/>
    <x v="7"/>
    <x v="0"/>
    <m/>
    <m/>
    <m/>
    <m/>
    <m/>
    <m/>
    <m/>
  </r>
  <r>
    <x v="1"/>
    <x v="8"/>
    <x v="1"/>
    <n v="0"/>
    <n v="0.4071545681151586"/>
    <x v="8"/>
    <x v="0"/>
    <m/>
    <m/>
    <m/>
    <m/>
    <m/>
    <m/>
    <m/>
  </r>
  <r>
    <x v="1"/>
    <x v="9"/>
    <x v="1"/>
    <n v="0"/>
    <n v="0.35296832527155964"/>
    <x v="9"/>
    <x v="0"/>
    <m/>
    <m/>
    <m/>
    <m/>
    <m/>
    <m/>
    <m/>
  </r>
  <r>
    <x v="1"/>
    <x v="10"/>
    <x v="1"/>
    <n v="2"/>
    <n v="0.41448660606597421"/>
    <x v="10"/>
    <x v="0"/>
    <m/>
    <m/>
    <m/>
    <m/>
    <m/>
    <m/>
    <m/>
  </r>
  <r>
    <x v="1"/>
    <x v="11"/>
    <x v="1"/>
    <n v="2"/>
    <n v="0.48752643733073925"/>
    <x v="11"/>
    <x v="1"/>
    <m/>
    <m/>
    <m/>
    <m/>
    <m/>
    <m/>
    <m/>
  </r>
  <r>
    <x v="1"/>
    <x v="12"/>
    <x v="1"/>
    <n v="0"/>
    <n v="0.44899012186843484"/>
    <x v="0"/>
    <x v="1"/>
    <m/>
    <m/>
    <m/>
    <m/>
    <m/>
    <m/>
    <m/>
  </r>
  <r>
    <x v="1"/>
    <x v="13"/>
    <x v="1"/>
    <n v="0"/>
    <n v="0.37313349715461391"/>
    <x v="1"/>
    <x v="1"/>
    <m/>
    <m/>
    <m/>
    <m/>
    <m/>
    <m/>
    <m/>
  </r>
  <r>
    <x v="1"/>
    <x v="14"/>
    <x v="1"/>
    <n v="2"/>
    <n v="0.44872749016134633"/>
    <x v="2"/>
    <x v="1"/>
    <m/>
    <m/>
    <m/>
    <m/>
    <m/>
    <m/>
    <m/>
  </r>
  <r>
    <x v="1"/>
    <x v="15"/>
    <x v="1"/>
    <n v="0"/>
    <n v="0.33728312294038815"/>
    <x v="3"/>
    <x v="1"/>
    <m/>
    <m/>
    <m/>
    <m/>
    <m/>
    <m/>
    <m/>
  </r>
  <r>
    <x v="1"/>
    <x v="16"/>
    <x v="1"/>
    <n v="0"/>
    <n v="0.29877509102619587"/>
    <x v="4"/>
    <x v="1"/>
    <m/>
    <m/>
    <m/>
    <m/>
    <m/>
    <m/>
    <m/>
  </r>
  <r>
    <x v="1"/>
    <x v="17"/>
    <x v="1"/>
    <n v="1"/>
    <n v="0.32415593494734685"/>
    <x v="5"/>
    <x v="1"/>
    <m/>
    <m/>
    <m/>
    <m/>
    <m/>
    <m/>
    <m/>
  </r>
  <r>
    <x v="1"/>
    <x v="18"/>
    <x v="1"/>
    <n v="2"/>
    <n v="0.36725286350009922"/>
    <x v="6"/>
    <x v="1"/>
    <m/>
    <m/>
    <m/>
    <m/>
    <m/>
    <m/>
    <m/>
  </r>
  <r>
    <x v="1"/>
    <x v="19"/>
    <x v="1"/>
    <n v="0"/>
    <n v="0.32998227835068855"/>
    <x v="7"/>
    <x v="1"/>
    <m/>
    <m/>
    <m/>
    <m/>
    <m/>
    <m/>
    <m/>
  </r>
  <r>
    <x v="1"/>
    <x v="20"/>
    <x v="1"/>
    <n v="1"/>
    <n v="0.36610959905345974"/>
    <x v="8"/>
    <x v="1"/>
    <m/>
    <m/>
    <m/>
    <m/>
    <m/>
    <m/>
    <m/>
  </r>
  <r>
    <x v="1"/>
    <x v="21"/>
    <x v="1"/>
    <n v="1"/>
    <n v="0.39773006436809288"/>
    <x v="9"/>
    <x v="1"/>
    <m/>
    <m/>
    <m/>
    <m/>
    <m/>
    <m/>
    <m/>
  </r>
  <r>
    <x v="1"/>
    <x v="22"/>
    <x v="1"/>
    <n v="0"/>
    <n v="0.3095086253741377"/>
    <x v="10"/>
    <x v="1"/>
    <m/>
    <m/>
    <m/>
    <m/>
    <m/>
    <m/>
    <m/>
  </r>
  <r>
    <x v="1"/>
    <x v="23"/>
    <x v="1"/>
    <n v="0"/>
    <n v="0.23509151674200338"/>
    <x v="11"/>
    <x v="2"/>
    <m/>
    <m/>
    <m/>
    <m/>
    <m/>
    <m/>
    <m/>
  </r>
  <r>
    <x v="1"/>
    <x v="0"/>
    <x v="2"/>
    <n v="3"/>
    <n v="0.70863616936939466"/>
    <x v="0"/>
    <x v="0"/>
    <m/>
    <m/>
    <m/>
    <m/>
    <m/>
    <m/>
    <m/>
  </r>
  <r>
    <x v="1"/>
    <x v="1"/>
    <x v="2"/>
    <n v="2"/>
    <n v="0.80844877009706928"/>
    <x v="1"/>
    <x v="0"/>
    <m/>
    <m/>
    <m/>
    <m/>
    <m/>
    <m/>
    <m/>
  </r>
  <r>
    <x v="1"/>
    <x v="2"/>
    <x v="2"/>
    <n v="1"/>
    <n v="0.76201823523244383"/>
    <x v="2"/>
    <x v="0"/>
    <m/>
    <m/>
    <m/>
    <m/>
    <m/>
    <m/>
    <m/>
  </r>
  <r>
    <x v="1"/>
    <x v="3"/>
    <x v="2"/>
    <n v="0"/>
    <n v="0.72045312199238976"/>
    <x v="3"/>
    <x v="0"/>
    <m/>
    <m/>
    <m/>
    <m/>
    <m/>
    <m/>
    <m/>
  </r>
  <r>
    <x v="1"/>
    <x v="4"/>
    <x v="2"/>
    <n v="1"/>
    <n v="0.73558444453396243"/>
    <x v="4"/>
    <x v="0"/>
    <m/>
    <m/>
    <m/>
    <m/>
    <m/>
    <m/>
    <m/>
  </r>
  <r>
    <x v="1"/>
    <x v="5"/>
    <x v="2"/>
    <n v="2"/>
    <n v="0.78982706457658602"/>
    <x v="5"/>
    <x v="0"/>
    <m/>
    <m/>
    <m/>
    <m/>
    <m/>
    <m/>
    <m/>
  </r>
  <r>
    <x v="1"/>
    <x v="6"/>
    <x v="2"/>
    <n v="0"/>
    <n v="0.75453895181175379"/>
    <x v="6"/>
    <x v="0"/>
    <m/>
    <m/>
    <m/>
    <m/>
    <m/>
    <m/>
    <m/>
  </r>
  <r>
    <x v="1"/>
    <x v="7"/>
    <x v="2"/>
    <n v="1"/>
    <n v="0.67959315713912316"/>
    <x v="7"/>
    <x v="0"/>
    <m/>
    <m/>
    <m/>
    <m/>
    <m/>
    <m/>
    <m/>
  </r>
  <r>
    <x v="1"/>
    <x v="8"/>
    <x v="2"/>
    <n v="0"/>
    <n v="0.65144730898425374"/>
    <x v="8"/>
    <x v="0"/>
    <m/>
    <m/>
    <m/>
    <m/>
    <m/>
    <m/>
    <m/>
  </r>
  <r>
    <x v="1"/>
    <x v="9"/>
    <x v="2"/>
    <n v="0"/>
    <n v="0.62749924492721709"/>
    <x v="9"/>
    <x v="0"/>
    <m/>
    <m/>
    <m/>
    <m/>
    <m/>
    <m/>
    <m/>
  </r>
  <r>
    <x v="1"/>
    <x v="10"/>
    <x v="2"/>
    <n v="0"/>
    <n v="0.48984780716887866"/>
    <x v="10"/>
    <x v="0"/>
    <m/>
    <m/>
    <m/>
    <m/>
    <m/>
    <m/>
    <m/>
  </r>
  <r>
    <x v="1"/>
    <x v="11"/>
    <x v="2"/>
    <n v="3"/>
    <n v="0.48752643733073925"/>
    <x v="11"/>
    <x v="1"/>
    <m/>
    <m/>
    <m/>
    <m/>
    <m/>
    <m/>
    <m/>
  </r>
  <r>
    <x v="1"/>
    <x v="12"/>
    <x v="2"/>
    <n v="1"/>
    <n v="0.41157427837939858"/>
    <x v="0"/>
    <x v="1"/>
    <m/>
    <m/>
    <m/>
    <m/>
    <m/>
    <m/>
    <m/>
  </r>
  <r>
    <x v="1"/>
    <x v="13"/>
    <x v="2"/>
    <n v="0"/>
    <n v="0.33582014743915251"/>
    <x v="1"/>
    <x v="1"/>
    <m/>
    <m/>
    <m/>
    <m/>
    <m/>
    <m/>
    <m/>
  </r>
  <r>
    <x v="1"/>
    <x v="14"/>
    <x v="2"/>
    <n v="0"/>
    <n v="0.29915166010756428"/>
    <x v="2"/>
    <x v="1"/>
    <m/>
    <m/>
    <m/>
    <m/>
    <m/>
    <m/>
    <m/>
  </r>
  <r>
    <x v="1"/>
    <x v="15"/>
    <x v="2"/>
    <n v="1"/>
    <n v="0.33728312294038815"/>
    <x v="3"/>
    <x v="1"/>
    <m/>
    <m/>
    <m/>
    <m/>
    <m/>
    <m/>
    <m/>
  </r>
  <r>
    <x v="1"/>
    <x v="16"/>
    <x v="2"/>
    <n v="3"/>
    <n v="0.41081575016101929"/>
    <x v="4"/>
    <x v="1"/>
    <m/>
    <m/>
    <m/>
    <m/>
    <m/>
    <m/>
    <m/>
  </r>
  <r>
    <x v="1"/>
    <x v="17"/>
    <x v="2"/>
    <n v="1"/>
    <n v="0.36017326105260761"/>
    <x v="5"/>
    <x v="1"/>
    <m/>
    <m/>
    <m/>
    <m/>
    <m/>
    <m/>
    <m/>
  </r>
  <r>
    <x v="1"/>
    <x v="18"/>
    <x v="2"/>
    <n v="0"/>
    <n v="0.36725286350009922"/>
    <x v="6"/>
    <x v="1"/>
    <m/>
    <m/>
    <m/>
    <m/>
    <m/>
    <m/>
    <m/>
  </r>
  <r>
    <x v="1"/>
    <x v="19"/>
    <x v="2"/>
    <n v="1"/>
    <n v="0.36664697594520956"/>
    <x v="7"/>
    <x v="1"/>
    <m/>
    <m/>
    <m/>
    <m/>
    <m/>
    <m/>
    <m/>
  </r>
  <r>
    <x v="1"/>
    <x v="20"/>
    <x v="2"/>
    <n v="0"/>
    <n v="0.36610959905345974"/>
    <x v="8"/>
    <x v="1"/>
    <m/>
    <m/>
    <m/>
    <m/>
    <m/>
    <m/>
    <m/>
  </r>
  <r>
    <x v="1"/>
    <x v="21"/>
    <x v="2"/>
    <n v="0"/>
    <n v="0.36157278578917534"/>
    <x v="9"/>
    <x v="1"/>
    <m/>
    <m/>
    <m/>
    <m/>
    <m/>
    <m/>
    <m/>
  </r>
  <r>
    <x v="1"/>
    <x v="22"/>
    <x v="2"/>
    <n v="1"/>
    <n v="0.3782883199017239"/>
    <x v="10"/>
    <x v="1"/>
    <m/>
    <m/>
    <m/>
    <m/>
    <m/>
    <m/>
    <m/>
  </r>
  <r>
    <x v="1"/>
    <x v="23"/>
    <x v="2"/>
    <n v="2"/>
    <n v="0.33584502391714766"/>
    <x v="11"/>
    <x v="2"/>
    <m/>
    <m/>
    <m/>
    <m/>
    <m/>
    <m/>
    <m/>
  </r>
  <r>
    <x v="1"/>
    <x v="0"/>
    <x v="3"/>
    <n v="0"/>
    <n v="0.2362120564564649"/>
    <x v="0"/>
    <x v="0"/>
    <m/>
    <m/>
    <m/>
    <m/>
    <m/>
    <m/>
    <m/>
  </r>
  <r>
    <x v="1"/>
    <x v="1"/>
    <x v="3"/>
    <n v="0"/>
    <n v="0.23098536288487689"/>
    <x v="1"/>
    <x v="0"/>
    <m/>
    <m/>
    <m/>
    <m/>
    <m/>
    <m/>
    <m/>
  </r>
  <r>
    <x v="1"/>
    <x v="2"/>
    <x v="3"/>
    <n v="0"/>
    <n v="0.16328962183552367"/>
    <x v="2"/>
    <x v="0"/>
    <m/>
    <m/>
    <m/>
    <m/>
    <m/>
    <m/>
    <m/>
  </r>
  <r>
    <x v="1"/>
    <x v="3"/>
    <x v="3"/>
    <n v="0"/>
    <n v="0.15438281185551206"/>
    <x v="3"/>
    <x v="0"/>
    <m/>
    <m/>
    <m/>
    <m/>
    <m/>
    <m/>
    <m/>
  </r>
  <r>
    <x v="1"/>
    <x v="4"/>
    <x v="3"/>
    <n v="0"/>
    <n v="0.1471168889067925"/>
    <x v="4"/>
    <x v="0"/>
    <m/>
    <m/>
    <m/>
    <m/>
    <m/>
    <m/>
    <m/>
  </r>
  <r>
    <x v="1"/>
    <x v="5"/>
    <x v="3"/>
    <n v="0"/>
    <n v="0.13938124668998578"/>
    <x v="5"/>
    <x v="0"/>
    <m/>
    <m/>
    <m/>
    <m/>
    <m/>
    <m/>
    <m/>
  </r>
  <r>
    <x v="1"/>
    <x v="6"/>
    <x v="3"/>
    <n v="0"/>
    <n v="0.13315393267266246"/>
    <x v="6"/>
    <x v="0"/>
    <m/>
    <m/>
    <m/>
    <m/>
    <m/>
    <m/>
    <m/>
  </r>
  <r>
    <x v="1"/>
    <x v="7"/>
    <x v="3"/>
    <n v="0"/>
    <n v="0.12742371696358559"/>
    <x v="7"/>
    <x v="0"/>
    <m/>
    <m/>
    <m/>
    <m/>
    <m/>
    <m/>
    <m/>
  </r>
  <r>
    <x v="1"/>
    <x v="8"/>
    <x v="3"/>
    <n v="0"/>
    <n v="8.1430913623031717E-2"/>
    <x v="8"/>
    <x v="0"/>
    <m/>
    <m/>
    <m/>
    <m/>
    <m/>
    <m/>
    <m/>
  </r>
  <r>
    <x v="1"/>
    <x v="9"/>
    <x v="3"/>
    <n v="1"/>
    <n v="0.11765610842385321"/>
    <x v="9"/>
    <x v="0"/>
    <m/>
    <m/>
    <m/>
    <m/>
    <m/>
    <m/>
    <m/>
  </r>
  <r>
    <x v="1"/>
    <x v="10"/>
    <x v="3"/>
    <n v="0"/>
    <n v="7.536120110290441E-2"/>
    <x v="10"/>
    <x v="0"/>
    <m/>
    <m/>
    <m/>
    <m/>
    <m/>
    <m/>
    <m/>
  </r>
  <r>
    <x v="1"/>
    <x v="11"/>
    <x v="3"/>
    <n v="0"/>
    <n v="3.7502033640826098E-2"/>
    <x v="11"/>
    <x v="1"/>
    <m/>
    <m/>
    <m/>
    <m/>
    <m/>
    <m/>
    <m/>
  </r>
  <r>
    <x v="1"/>
    <x v="12"/>
    <x v="3"/>
    <n v="2"/>
    <n v="0.11224753046710871"/>
    <x v="0"/>
    <x v="1"/>
    <m/>
    <m/>
    <m/>
    <m/>
    <m/>
    <m/>
    <m/>
  </r>
  <r>
    <x v="1"/>
    <x v="13"/>
    <x v="3"/>
    <n v="0"/>
    <n v="0.11194004914638418"/>
    <x v="1"/>
    <x v="1"/>
    <m/>
    <m/>
    <m/>
    <m/>
    <m/>
    <m/>
    <m/>
  </r>
  <r>
    <x v="1"/>
    <x v="14"/>
    <x v="3"/>
    <n v="0"/>
    <n v="0.11218187254033658"/>
    <x v="2"/>
    <x v="1"/>
    <m/>
    <m/>
    <m/>
    <m/>
    <m/>
    <m/>
    <m/>
  </r>
  <r>
    <x v="1"/>
    <x v="15"/>
    <x v="3"/>
    <n v="2"/>
    <n v="0.18737951274466008"/>
    <x v="3"/>
    <x v="1"/>
    <m/>
    <m/>
    <m/>
    <m/>
    <m/>
    <m/>
    <m/>
  </r>
  <r>
    <x v="1"/>
    <x v="16"/>
    <x v="3"/>
    <n v="1"/>
    <n v="0.22408131826964689"/>
    <x v="4"/>
    <x v="1"/>
    <m/>
    <m/>
    <m/>
    <m/>
    <m/>
    <m/>
    <m/>
  </r>
  <r>
    <x v="1"/>
    <x v="17"/>
    <x v="3"/>
    <n v="0"/>
    <n v="0.21610395663156454"/>
    <x v="5"/>
    <x v="1"/>
    <m/>
    <m/>
    <m/>
    <m/>
    <m/>
    <m/>
    <m/>
  </r>
  <r>
    <x v="1"/>
    <x v="18"/>
    <x v="3"/>
    <n v="1"/>
    <n v="0.25707700445006948"/>
    <x v="6"/>
    <x v="1"/>
    <m/>
    <m/>
    <m/>
    <m/>
    <m/>
    <m/>
    <m/>
  </r>
  <r>
    <x v="1"/>
    <x v="19"/>
    <x v="3"/>
    <n v="1"/>
    <n v="0.2933175807561676"/>
    <x v="7"/>
    <x v="1"/>
    <m/>
    <m/>
    <m/>
    <m/>
    <m/>
    <m/>
    <m/>
  </r>
  <r>
    <x v="1"/>
    <x v="20"/>
    <x v="3"/>
    <n v="1"/>
    <n v="0.32949863914811378"/>
    <x v="8"/>
    <x v="1"/>
    <m/>
    <m/>
    <m/>
    <m/>
    <m/>
    <m/>
    <m/>
  </r>
  <r>
    <x v="1"/>
    <x v="21"/>
    <x v="3"/>
    <n v="0"/>
    <n v="0.28925822863134032"/>
    <x v="9"/>
    <x v="1"/>
    <m/>
    <m/>
    <m/>
    <m/>
    <m/>
    <m/>
    <m/>
  </r>
  <r>
    <x v="1"/>
    <x v="22"/>
    <x v="3"/>
    <n v="0"/>
    <n v="0.27511877811034463"/>
    <x v="10"/>
    <x v="1"/>
    <m/>
    <m/>
    <m/>
    <m/>
    <m/>
    <m/>
    <m/>
  </r>
  <r>
    <x v="1"/>
    <x v="23"/>
    <x v="3"/>
    <n v="1"/>
    <n v="0.30226052152543287"/>
    <x v="11"/>
    <x v="2"/>
    <m/>
    <m/>
    <m/>
    <m/>
    <m/>
    <m/>
    <m/>
  </r>
  <r>
    <x v="1"/>
    <x v="0"/>
    <x v="4"/>
    <n v="0"/>
    <n v="0.53147712702704597"/>
    <x v="0"/>
    <x v="0"/>
    <m/>
    <m/>
    <m/>
    <m/>
    <m/>
    <m/>
    <m/>
  </r>
  <r>
    <x v="1"/>
    <x v="1"/>
    <x v="4"/>
    <n v="1"/>
    <n v="0.57746340721219225"/>
    <x v="1"/>
    <x v="0"/>
    <m/>
    <m/>
    <m/>
    <m/>
    <m/>
    <m/>
    <m/>
  </r>
  <r>
    <x v="1"/>
    <x v="2"/>
    <x v="4"/>
    <n v="0"/>
    <n v="0.38100911761622192"/>
    <x v="2"/>
    <x v="0"/>
    <m/>
    <m/>
    <m/>
    <m/>
    <m/>
    <m/>
    <m/>
  </r>
  <r>
    <x v="1"/>
    <x v="3"/>
    <x v="4"/>
    <n v="0"/>
    <n v="0.30876562371102412"/>
    <x v="3"/>
    <x v="0"/>
    <m/>
    <m/>
    <m/>
    <m/>
    <m/>
    <m/>
    <m/>
  </r>
  <r>
    <x v="1"/>
    <x v="4"/>
    <x v="4"/>
    <n v="1"/>
    <n v="0.3432727407825158"/>
    <x v="4"/>
    <x v="0"/>
    <m/>
    <m/>
    <m/>
    <m/>
    <m/>
    <m/>
    <m/>
  </r>
  <r>
    <x v="1"/>
    <x v="5"/>
    <x v="4"/>
    <n v="0"/>
    <n v="0.32522290894330014"/>
    <x v="5"/>
    <x v="0"/>
    <m/>
    <m/>
    <m/>
    <m/>
    <m/>
    <m/>
    <m/>
  </r>
  <r>
    <x v="1"/>
    <x v="6"/>
    <x v="4"/>
    <n v="0"/>
    <n v="0.31069250956954569"/>
    <x v="6"/>
    <x v="0"/>
    <m/>
    <m/>
    <m/>
    <m/>
    <m/>
    <m/>
    <m/>
  </r>
  <r>
    <x v="1"/>
    <x v="7"/>
    <x v="4"/>
    <n v="1"/>
    <n v="0.29732200624836641"/>
    <x v="7"/>
    <x v="0"/>
    <m/>
    <m/>
    <m/>
    <m/>
    <m/>
    <m/>
    <m/>
  </r>
  <r>
    <x v="1"/>
    <x v="8"/>
    <x v="4"/>
    <n v="1"/>
    <n v="0.28500819768061103"/>
    <x v="8"/>
    <x v="0"/>
    <m/>
    <m/>
    <m/>
    <m/>
    <m/>
    <m/>
    <m/>
  </r>
  <r>
    <x v="1"/>
    <x v="9"/>
    <x v="4"/>
    <n v="1"/>
    <n v="0.27453091965565751"/>
    <x v="9"/>
    <x v="0"/>
    <m/>
    <m/>
    <m/>
    <m/>
    <m/>
    <m/>
    <m/>
  </r>
  <r>
    <x v="1"/>
    <x v="10"/>
    <x v="4"/>
    <n v="1"/>
    <n v="0.22608360330871324"/>
    <x v="10"/>
    <x v="0"/>
    <m/>
    <m/>
    <m/>
    <m/>
    <m/>
    <m/>
    <m/>
  </r>
  <r>
    <x v="1"/>
    <x v="11"/>
    <x v="4"/>
    <n v="1"/>
    <n v="0.26251423548578262"/>
    <x v="11"/>
    <x v="1"/>
    <m/>
    <m/>
    <m/>
    <m/>
    <m/>
    <m/>
    <m/>
  </r>
  <r>
    <x v="1"/>
    <x v="12"/>
    <x v="4"/>
    <n v="1"/>
    <n v="0.29932674791228986"/>
    <x v="0"/>
    <x v="1"/>
    <m/>
    <m/>
    <m/>
    <m/>
    <m/>
    <m/>
    <m/>
  </r>
  <r>
    <x v="1"/>
    <x v="13"/>
    <x v="4"/>
    <n v="1"/>
    <n v="0.2985067977236911"/>
    <x v="1"/>
    <x v="1"/>
    <m/>
    <m/>
    <m/>
    <m/>
    <m/>
    <m/>
    <m/>
  </r>
  <r>
    <x v="1"/>
    <x v="14"/>
    <x v="4"/>
    <n v="1"/>
    <n v="0.33654561762100976"/>
    <x v="2"/>
    <x v="1"/>
    <m/>
    <m/>
    <m/>
    <m/>
    <m/>
    <m/>
    <m/>
  </r>
  <r>
    <x v="1"/>
    <x v="15"/>
    <x v="4"/>
    <n v="0"/>
    <n v="0.33728312294038815"/>
    <x v="3"/>
    <x v="1"/>
    <m/>
    <m/>
    <m/>
    <m/>
    <m/>
    <m/>
    <m/>
  </r>
  <r>
    <x v="1"/>
    <x v="16"/>
    <x v="4"/>
    <n v="0"/>
    <n v="0.29877509102619587"/>
    <x v="4"/>
    <x v="1"/>
    <m/>
    <m/>
    <m/>
    <m/>
    <m/>
    <m/>
    <m/>
  </r>
  <r>
    <x v="1"/>
    <x v="17"/>
    <x v="4"/>
    <n v="1"/>
    <n v="0.32415593494734685"/>
    <x v="5"/>
    <x v="1"/>
    <m/>
    <m/>
    <m/>
    <m/>
    <m/>
    <m/>
    <m/>
  </r>
  <r>
    <x v="1"/>
    <x v="18"/>
    <x v="4"/>
    <n v="3"/>
    <n v="0.44070343620011909"/>
    <x v="6"/>
    <x v="1"/>
    <m/>
    <m/>
    <m/>
    <m/>
    <m/>
    <m/>
    <m/>
  </r>
  <r>
    <x v="1"/>
    <x v="19"/>
    <x v="4"/>
    <n v="2"/>
    <n v="0.47664106872877238"/>
    <x v="7"/>
    <x v="1"/>
    <m/>
    <m/>
    <m/>
    <m/>
    <m/>
    <m/>
    <m/>
  </r>
  <r>
    <x v="1"/>
    <x v="20"/>
    <x v="4"/>
    <n v="1"/>
    <n v="0.47594247876949769"/>
    <x v="8"/>
    <x v="1"/>
    <m/>
    <m/>
    <m/>
    <m/>
    <m/>
    <m/>
    <m/>
  </r>
  <r>
    <x v="1"/>
    <x v="21"/>
    <x v="4"/>
    <n v="0"/>
    <n v="0.43388734294701042"/>
    <x v="9"/>
    <x v="1"/>
    <m/>
    <m/>
    <m/>
    <m/>
    <m/>
    <m/>
    <m/>
  </r>
  <r>
    <x v="1"/>
    <x v="22"/>
    <x v="4"/>
    <n v="2"/>
    <n v="0.44706801442931005"/>
    <x v="10"/>
    <x v="1"/>
    <m/>
    <m/>
    <m/>
    <m/>
    <m/>
    <m/>
    <m/>
  </r>
  <r>
    <x v="1"/>
    <x v="23"/>
    <x v="4"/>
    <n v="0"/>
    <n v="0.40301402870057718"/>
    <x v="11"/>
    <x v="2"/>
    <m/>
    <m/>
    <m/>
    <m/>
    <m/>
    <m/>
    <m/>
  </r>
  <r>
    <x v="1"/>
    <x v="0"/>
    <x v="5"/>
    <m/>
    <m/>
    <x v="0"/>
    <x v="0"/>
    <n v="1"/>
    <n v="29.96"/>
    <n v="0.49278166032234921"/>
    <n v="9"/>
    <n v="4.4350349429011429"/>
    <n v="3.7203398891893218"/>
    <n v="27.178571428571427"/>
  </r>
  <r>
    <x v="1"/>
    <x v="1"/>
    <x v="5"/>
    <m/>
    <m/>
    <x v="1"/>
    <x v="0"/>
    <n v="3"/>
    <n v="22.633333333333336"/>
    <n v="1.4588670963322039"/>
    <n v="6"/>
    <n v="2.9177341926644078"/>
    <n v="3.8112584876004689"/>
    <n v="26.576249999999998"/>
  </r>
  <r>
    <x v="1"/>
    <x v="2"/>
    <x v="5"/>
    <m/>
    <m/>
    <x v="2"/>
    <x v="0"/>
    <n v="1"/>
    <n v="86"/>
    <n v="0.46126008043545547"/>
    <n v="4"/>
    <n v="1.8450403217418219"/>
    <n v="3.3202223106556481"/>
    <n v="29.065882352941173"/>
  </r>
  <r>
    <x v="1"/>
    <x v="3"/>
    <x v="5"/>
    <m/>
    <m/>
    <x v="3"/>
    <x v="0"/>
    <n v="0"/>
    <n v="0"/>
    <n v="0"/>
    <n v="5"/>
    <n v="2.2367464107769126"/>
    <n v="3.2420390489657533"/>
    <n v="35.53125"/>
  </r>
  <r>
    <x v="1"/>
    <x v="4"/>
    <x v="5"/>
    <m/>
    <m/>
    <x v="4"/>
    <x v="0"/>
    <n v="2"/>
    <n v="45.6"/>
    <n v="0.96628193024285136"/>
    <n v="6"/>
    <n v="2.8988457907285539"/>
    <n v="3.1875325929805038"/>
    <n v="35.799999999999997"/>
  </r>
  <r>
    <x v="1"/>
    <x v="5"/>
    <x v="5"/>
    <m/>
    <m/>
    <x v="5"/>
    <x v="0"/>
    <n v="2"/>
    <n v="27.15"/>
    <n v="0.90308053866406113"/>
    <n v="6"/>
    <n v="2.7092416159921835"/>
    <n v="3.2057686738696725"/>
    <n v="35.057368421052637"/>
  </r>
  <r>
    <x v="1"/>
    <x v="6"/>
    <x v="5"/>
    <m/>
    <m/>
    <x v="6"/>
    <x v="0"/>
    <n v="0"/>
    <e v="#DIV/0!"/>
    <n v="0"/>
    <n v="4"/>
    <n v="1.5052729617771492"/>
    <n v="3.2400790283681196"/>
    <n v="36.457368421052635"/>
  </r>
  <r>
    <x v="1"/>
    <x v="7"/>
    <x v="5"/>
    <m/>
    <m/>
    <x v="7"/>
    <x v="0"/>
    <n v="1"/>
    <n v="40.700000000000003"/>
    <n v="0.47482770935919361"/>
    <n v="6"/>
    <n v="2.8489662561551619"/>
    <n v="2.9307454901624688"/>
    <n v="40.591764705882355"/>
  </r>
  <r>
    <x v="1"/>
    <x v="8"/>
    <x v="5"/>
    <m/>
    <m/>
    <x v="8"/>
    <x v="0"/>
    <n v="0"/>
    <e v="#DIV/0!"/>
    <n v="0"/>
    <n v="4"/>
    <n v="1.8285030947986283"/>
    <n v="2.7686510631830785"/>
    <n v="42.378749999999997"/>
  </r>
  <r>
    <x v="1"/>
    <x v="9"/>
    <x v="5"/>
    <m/>
    <m/>
    <x v="9"/>
    <x v="0"/>
    <n v="1"/>
    <n v="6.7"/>
    <n v="0.48371764095259961"/>
    <n v="4"/>
    <n v="1.9348705638103985"/>
    <n v="2.7453091965565752"/>
    <n v="42.077333333333328"/>
  </r>
  <r>
    <x v="1"/>
    <x v="10"/>
    <x v="5"/>
    <m/>
    <m/>
    <x v="10"/>
    <x v="0"/>
    <n v="2"/>
    <n v="5.95"/>
    <n v="0.90407601995539866"/>
    <n v="4"/>
    <n v="1.8081520399107973"/>
    <n v="2.3738778347414886"/>
    <n v="42.875714285714288"/>
  </r>
  <r>
    <x v="1"/>
    <x v="11"/>
    <x v="5"/>
    <m/>
    <m/>
    <x v="11"/>
    <x v="1"/>
    <n v="1"/>
    <n v="7.4"/>
    <n v="0.37575908965451082"/>
    <n v="6"/>
    <n v="2.2545545379270648"/>
    <n v="2.4001301530128702"/>
    <n v="40.882857142857141"/>
  </r>
  <r>
    <x v="1"/>
    <x v="12"/>
    <x v="5"/>
    <m/>
    <m/>
    <x v="0"/>
    <x v="1"/>
    <n v="1"/>
    <n v="4.8"/>
    <n v="0.47830375885531579"/>
    <n v="6"/>
    <n v="2.8698225531318942"/>
    <n v="2.2823664528312104"/>
    <n v="39.085714285714289"/>
  </r>
  <r>
    <x v="1"/>
    <x v="13"/>
    <x v="5"/>
    <m/>
    <m/>
    <x v="1"/>
    <x v="1"/>
    <n v="1"/>
    <n v="2.2999999999999998"/>
    <n v="0.46952677335567033"/>
    <n v="4"/>
    <n v="1.8781070934226813"/>
    <n v="2.201487633212222"/>
    <n v="40.133333333333333"/>
  </r>
  <r>
    <x v="1"/>
    <x v="14"/>
    <x v="5"/>
    <m/>
    <m/>
    <x v="2"/>
    <x v="1"/>
    <n v="2"/>
    <n v="2.98"/>
    <n v="0.94777606951672122"/>
    <n v="7"/>
    <n v="3.3172162433085237"/>
    <n v="2.3184253658336229"/>
    <n v="30.889230769230771"/>
  </r>
  <r>
    <x v="1"/>
    <x v="15"/>
    <x v="5"/>
    <m/>
    <m/>
    <x v="3"/>
    <x v="1"/>
    <n v="2"/>
    <n v="2.15"/>
    <n v="0.9187313661181703"/>
    <n v="8"/>
    <n v="3.6749254644726812"/>
    <n v="2.4359336656805812"/>
    <n v="20.663999999999998"/>
  </r>
  <r>
    <x v="1"/>
    <x v="16"/>
    <x v="5"/>
    <m/>
    <m/>
    <x v="4"/>
    <x v="1"/>
    <n v="2"/>
    <n v="4.8499999999999996"/>
    <n v="0.925082430626334"/>
    <n v="5"/>
    <n v="2.3127060765658349"/>
    <n v="2.390200728209567"/>
    <n v="15.230666666666668"/>
  </r>
  <r>
    <x v="1"/>
    <x v="17"/>
    <x v="5"/>
    <m/>
    <m/>
    <x v="5"/>
    <x v="1"/>
    <n v="1"/>
    <n v="1"/>
    <n v="0.31220113083308199"/>
    <n v="6"/>
    <n v="1.8732067849984921"/>
    <n v="2.3051088707366887"/>
    <n v="12.511428571428571"/>
  </r>
  <r>
    <x v="1"/>
    <x v="18"/>
    <x v="5"/>
    <m/>
    <m/>
    <x v="6"/>
    <x v="1"/>
    <n v="1"/>
    <n v="1.53"/>
    <n v="0.47123010613751298"/>
    <n v="7"/>
    <n v="3.298610742962591"/>
    <n v="2.460594185450665"/>
    <n v="8.8593333333333337"/>
  </r>
  <r>
    <x v="1"/>
    <x v="19"/>
    <x v="5"/>
    <m/>
    <m/>
    <x v="7"/>
    <x v="1"/>
    <n v="2"/>
    <n v="2.9"/>
    <n v="0.92978991327175375"/>
    <n v="4"/>
    <n v="1.8595798265435075"/>
    <n v="2.3832053436438621"/>
    <n v="6.1243750000000006"/>
  </r>
  <r>
    <x v="1"/>
    <x v="20"/>
    <x v="5"/>
    <m/>
    <m/>
    <x v="8"/>
    <x v="1"/>
    <n v="1"/>
    <n v="5"/>
    <n v="0.44891062633851125"/>
    <n v="5"/>
    <n v="2.2445531316925562"/>
    <n v="2.4163233537528344"/>
    <n v="3.9052941176470588"/>
  </r>
  <r>
    <x v="1"/>
    <x v="21"/>
    <x v="5"/>
    <m/>
    <m/>
    <x v="9"/>
    <x v="1"/>
    <n v="1"/>
    <n v="7.66"/>
    <n v="0.41492994574036202"/>
    <n v="2"/>
    <n v="0.82985989148072403"/>
    <n v="2.3140658290507226"/>
    <n v="3.9617647058823526"/>
  </r>
  <r>
    <x v="1"/>
    <x v="22"/>
    <x v="5"/>
    <m/>
    <m/>
    <x v="10"/>
    <x v="1"/>
    <n v="1"/>
    <n v="8.0599999999999987"/>
    <n v="0.27520884274633467"/>
    <n v="4"/>
    <n v="1.1008353709853387"/>
    <n v="2.200950224882757"/>
    <n v="3.9693749999999999"/>
  </r>
  <r>
    <x v="1"/>
    <x v="23"/>
    <x v="5"/>
    <m/>
    <m/>
    <x v="11"/>
    <x v="2"/>
    <n v="0"/>
    <e v="#DIV/0!"/>
    <n v="0"/>
    <n v="5"/>
    <n v="1.4887295121900552"/>
    <n v="2.1158236506780304"/>
    <n v="3.7406666666666664"/>
  </r>
  <r>
    <x v="0"/>
    <x v="0"/>
    <x v="5"/>
    <m/>
    <m/>
    <x v="0"/>
    <x v="0"/>
    <n v="1"/>
    <n v="12.6"/>
    <n v="1.2541542291146637"/>
    <n v="3"/>
    <n v="3.7624626873439913"/>
    <n v="4.0783985107863785"/>
    <n v="11.267058823529412"/>
  </r>
  <r>
    <x v="0"/>
    <x v="1"/>
    <x v="5"/>
    <m/>
    <m/>
    <x v="1"/>
    <x v="0"/>
    <n v="1"/>
    <n v="10.6"/>
    <n v="1.1728887928423288"/>
    <n v="3"/>
    <n v="3.5186663785269863"/>
    <n v="4.1922810473200336"/>
    <n v="10.40388888888889"/>
  </r>
  <r>
    <x v="0"/>
    <x v="2"/>
    <x v="5"/>
    <m/>
    <m/>
    <x v="2"/>
    <x v="0"/>
    <n v="0"/>
    <e v="#DIV/0!"/>
    <n v="0"/>
    <n v="3"/>
    <n v="3.6316572286956847"/>
    <n v="3.9096038746920656"/>
    <n v="10.811333333333332"/>
  </r>
  <r>
    <x v="0"/>
    <x v="3"/>
    <x v="5"/>
    <m/>
    <m/>
    <x v="3"/>
    <x v="0"/>
    <n v="1"/>
    <n v="4"/>
    <n v="1.1912495099497327"/>
    <n v="4"/>
    <n v="4.7649980397989307"/>
    <n v="3.9250745017433846"/>
    <n v="11.539166666666667"/>
  </r>
  <r>
    <x v="0"/>
    <x v="4"/>
    <x v="5"/>
    <m/>
    <m/>
    <x v="4"/>
    <x v="0"/>
    <n v="0"/>
    <e v="#DIV/0!"/>
    <n v="0"/>
    <n v="1"/>
    <n v="1.2104968720458205"/>
    <n v="3.9280821804611739"/>
    <n v="10.233636363636363"/>
  </r>
  <r>
    <x v="0"/>
    <x v="5"/>
    <x v="5"/>
    <m/>
    <m/>
    <x v="5"/>
    <x v="0"/>
    <n v="1"/>
    <n v="21.4"/>
    <n v="1.2073994752400401"/>
    <n v="2"/>
    <n v="2.4147989504800802"/>
    <n v="3.8391272465960791"/>
    <n v="10.555833333333332"/>
  </r>
  <r>
    <x v="0"/>
    <x v="6"/>
    <x v="5"/>
    <m/>
    <m/>
    <x v="6"/>
    <x v="0"/>
    <n v="0"/>
    <e v="#DIV/0!"/>
    <n v="0"/>
    <n v="0"/>
    <n v="0"/>
    <n v="3.5501069750376582"/>
    <n v="10.589166666666666"/>
  </r>
  <r>
    <x v="0"/>
    <x v="7"/>
    <x v="5"/>
    <m/>
    <m/>
    <x v="7"/>
    <x v="0"/>
    <n v="2"/>
    <n v="6.1000000000000005"/>
    <n v="2.4428720626982656"/>
    <n v="6"/>
    <n v="7.3286161880947969"/>
    <n v="3.6426982712281242"/>
    <n v="11.206363636363635"/>
  </r>
  <r>
    <x v="0"/>
    <x v="8"/>
    <x v="5"/>
    <m/>
    <m/>
    <x v="8"/>
    <x v="0"/>
    <n v="2"/>
    <n v="7.6"/>
    <n v="2.339277456845156"/>
    <n v="9"/>
    <n v="10.526748555803202"/>
    <n v="4.0288746955363806"/>
    <n v="9.65"/>
  </r>
  <r>
    <x v="0"/>
    <x v="9"/>
    <x v="5"/>
    <m/>
    <m/>
    <x v="9"/>
    <x v="0"/>
    <n v="2"/>
    <n v="11.15"/>
    <n v="2.4683686274050012"/>
    <n v="6"/>
    <n v="7.4051058822150049"/>
    <n v="4.3244914029327139"/>
    <n v="8.65"/>
  </r>
  <r>
    <x v="0"/>
    <x v="10"/>
    <x v="5"/>
    <m/>
    <m/>
    <x v="10"/>
    <x v="0"/>
    <n v="0"/>
    <e v="#DIV/0!"/>
    <n v="0"/>
    <n v="5"/>
    <n v="6.0216220792648993"/>
    <n v="4.5182965028159154"/>
    <n v="8.684615384615384"/>
  </r>
  <r>
    <x v="0"/>
    <x v="11"/>
    <x v="5"/>
    <m/>
    <m/>
    <x v="11"/>
    <x v="1"/>
    <n v="2"/>
    <n v="7.4"/>
    <n v="1.9539131482674723"/>
    <n v="4"/>
    <n v="3.9078262965349446"/>
    <n v="4.4476479541999003"/>
    <n v="9.8583333333333325"/>
  </r>
  <r>
    <x v="0"/>
    <x v="12"/>
    <x v="5"/>
    <m/>
    <m/>
    <x v="0"/>
    <x v="1"/>
    <n v="4"/>
    <n v="4.1499999999999995"/>
    <n v="4.9754341050708444"/>
    <n v="7"/>
    <n v="8.7070096838739772"/>
    <n v="4.8313169598487749"/>
    <n v="8.1533333333333324"/>
  </r>
  <r>
    <x v="0"/>
    <x v="13"/>
    <x v="5"/>
    <m/>
    <m/>
    <x v="1"/>
    <x v="1"/>
    <n v="1"/>
    <n v="11.1"/>
    <n v="1.1635088261452533"/>
    <n v="2"/>
    <n v="2.3270176522905066"/>
    <n v="4.7315481330976761"/>
    <n v="8.1866666666666639"/>
  </r>
  <r>
    <x v="0"/>
    <x v="14"/>
    <x v="5"/>
    <m/>
    <m/>
    <x v="2"/>
    <x v="1"/>
    <n v="2"/>
    <n v="30.049999999999997"/>
    <n v="2.5362036733866766"/>
    <n v="4"/>
    <n v="5.0724073467733533"/>
    <n v="4.8456516752428156"/>
    <n v="10.641176470588235"/>
  </r>
  <r>
    <x v="0"/>
    <x v="15"/>
    <x v="5"/>
    <m/>
    <m/>
    <x v="3"/>
    <x v="1"/>
    <n v="2"/>
    <n v="26.954999999999998"/>
    <n v="2.3479916101563791"/>
    <n v="4"/>
    <n v="4.6959832203127583"/>
    <n v="4.8398650078403627"/>
    <n v="12.822777777777777"/>
  </r>
  <r>
    <x v="0"/>
    <x v="16"/>
    <x v="5"/>
    <m/>
    <m/>
    <x v="4"/>
    <x v="1"/>
    <n v="1"/>
    <n v="29.56"/>
    <n v="1.1958032090574917"/>
    <n v="5"/>
    <n v="5.9790160452874588"/>
    <n v="5.2219232273620726"/>
    <n v="13.561578947368419"/>
  </r>
  <r>
    <x v="0"/>
    <x v="17"/>
    <x v="5"/>
    <m/>
    <m/>
    <x v="5"/>
    <x v="1"/>
    <n v="0"/>
    <e v="#DIV/0!"/>
    <n v="0"/>
    <n v="12"/>
    <n v="9.3479409971986165"/>
    <n v="5.9278489365872025"/>
    <n v="14.012222222222221"/>
  </r>
  <r>
    <x v="0"/>
    <x v="18"/>
    <x v="5"/>
    <m/>
    <m/>
    <x v="6"/>
    <x v="1"/>
    <n v="2"/>
    <n v="9.43"/>
    <n v="2.2710949232511859"/>
    <n v="4"/>
    <n v="4.5421898465023718"/>
    <n v="6.3896323479309673"/>
    <n v="13.533999999999997"/>
  </r>
  <r>
    <x v="0"/>
    <x v="19"/>
    <x v="5"/>
    <m/>
    <m/>
    <x v="7"/>
    <x v="1"/>
    <n v="6"/>
    <n v="4.9950000000000001"/>
    <n v="5.4766347138499434"/>
    <n v="10"/>
    <n v="9.1277245230832396"/>
    <n v="6.5939532514540788"/>
    <n v="12.018749999999999"/>
  </r>
  <r>
    <x v="0"/>
    <x v="20"/>
    <x v="5"/>
    <m/>
    <m/>
    <x v="8"/>
    <x v="1"/>
    <n v="7"/>
    <n v="5.580000000000001"/>
    <n v="6.3118960304485858"/>
    <n v="10"/>
    <n v="9.0169943292122667"/>
    <n v="6.5335219325431142"/>
    <n v="10.769310344827586"/>
  </r>
  <r>
    <x v="0"/>
    <x v="21"/>
    <x v="5"/>
    <m/>
    <m/>
    <x v="9"/>
    <x v="1"/>
    <n v="5"/>
    <n v="6.0659999999999998"/>
    <n v="3.7833859239425585"/>
    <n v="2"/>
    <n v="1.5133543695770233"/>
    <n v="5.9052779892571587"/>
    <n v="10.010624999999999"/>
  </r>
  <r>
    <x v="0"/>
    <x v="22"/>
    <x v="5"/>
    <m/>
    <m/>
    <x v="10"/>
    <x v="1"/>
    <n v="2"/>
    <n v="15.08"/>
    <n v="0.96539760364903882"/>
    <n v="6"/>
    <n v="2.8961928109471167"/>
    <n v="5.415522664984243"/>
    <n v="10.305882352941177"/>
  </r>
  <r>
    <x v="0"/>
    <x v="23"/>
    <x v="5"/>
    <m/>
    <m/>
    <x v="11"/>
    <x v="2"/>
    <n v="1"/>
    <n v="0"/>
    <n v="0.52595323745032252"/>
    <n v="4"/>
    <n v="2.1038129498012901"/>
    <n v="5.0711667170908781"/>
    <n v="10.16969696969697"/>
  </r>
  <r>
    <x v="2"/>
    <x v="0"/>
    <x v="5"/>
    <m/>
    <m/>
    <x v="0"/>
    <x v="0"/>
    <n v="2"/>
    <n v="21.280000000000005"/>
    <m/>
    <n v="12"/>
    <m/>
    <n v="3.8557442614531268"/>
    <n v="18.452903225806455"/>
  </r>
  <r>
    <x v="2"/>
    <x v="1"/>
    <x v="5"/>
    <m/>
    <m/>
    <x v="1"/>
    <x v="0"/>
    <n v="4"/>
    <n v="19.625"/>
    <m/>
    <n v="9"/>
    <m/>
    <n v="3.9550427912888519"/>
    <n v="18.014411764705883"/>
  </r>
  <r>
    <x v="2"/>
    <x v="2"/>
    <x v="5"/>
    <m/>
    <m/>
    <x v="2"/>
    <x v="0"/>
    <n v="1"/>
    <n v="88"/>
    <m/>
    <n v="7"/>
    <m/>
    <n v="3.5343941965358177"/>
    <n v="20.509062499999999"/>
  </r>
  <r>
    <x v="2"/>
    <x v="3"/>
    <x v="5"/>
    <m/>
    <m/>
    <x v="3"/>
    <x v="0"/>
    <n v="1"/>
    <n v="99.899999999999991"/>
    <m/>
    <n v="9"/>
    <m/>
    <n v="3.480836379984185"/>
    <n v="25.248928571428571"/>
  </r>
  <r>
    <x v="2"/>
    <x v="4"/>
    <x v="5"/>
    <m/>
    <m/>
    <x v="4"/>
    <x v="0"/>
    <n v="2"/>
    <n v="46.95"/>
    <m/>
    <n v="7"/>
    <m/>
    <n v="3.4382528238025807"/>
    <n v="26.102413793103445"/>
  </r>
  <r>
    <x v="2"/>
    <x v="5"/>
    <x v="5"/>
    <m/>
    <m/>
    <x v="5"/>
    <x v="0"/>
    <n v="3"/>
    <n v="25.233333333333334"/>
    <m/>
    <n v="8"/>
    <m/>
    <n v="3.4123566575017343"/>
    <n v="25.572903225806453"/>
  </r>
  <r>
    <x v="2"/>
    <x v="6"/>
    <x v="5"/>
    <m/>
    <m/>
    <x v="6"/>
    <x v="0"/>
    <n v="0"/>
    <e v="#DIV/0!"/>
    <m/>
    <n v="4"/>
    <m/>
    <n v="3.3381346026790455"/>
    <n v="26.44387096774194"/>
  </r>
  <r>
    <x v="2"/>
    <x v="7"/>
    <x v="5"/>
    <m/>
    <m/>
    <x v="7"/>
    <x v="0"/>
    <n v="3"/>
    <n v="17.633333333333333"/>
    <m/>
    <n v="12"/>
    <m/>
    <n v="3.1493443861154149"/>
    <n v="29.047500000000003"/>
  </r>
  <r>
    <x v="2"/>
    <x v="8"/>
    <x v="5"/>
    <m/>
    <m/>
    <x v="8"/>
    <x v="0"/>
    <n v="2"/>
    <n v="25.9"/>
    <m/>
    <n v="13"/>
    <m/>
    <n v="3.1441647380884188"/>
    <n v="28.352142857142859"/>
  </r>
  <r>
    <x v="2"/>
    <x v="9"/>
    <x v="5"/>
    <m/>
    <m/>
    <x v="9"/>
    <x v="0"/>
    <n v="3"/>
    <n v="9.6666666666666661"/>
    <m/>
    <n v="10"/>
    <m/>
    <n v="3.2029958561644971"/>
    <n v="25.94"/>
  </r>
  <r>
    <x v="2"/>
    <x v="10"/>
    <x v="5"/>
    <m/>
    <m/>
    <x v="10"/>
    <x v="0"/>
    <n v="2"/>
    <n v="6"/>
    <m/>
    <n v="9"/>
    <m/>
    <n v="2.9777207797505114"/>
    <n v="26.413333333333338"/>
  </r>
  <r>
    <x v="2"/>
    <x v="11"/>
    <x v="5"/>
    <m/>
    <m/>
    <x v="11"/>
    <x v="1"/>
    <n v="3"/>
    <n v="7.3999999999999995"/>
    <m/>
    <n v="10"/>
    <m/>
    <n v="2.9723491170200234"/>
    <n v="26.563846153846153"/>
  </r>
  <r>
    <x v="2"/>
    <x v="12"/>
    <x v="5"/>
    <m/>
    <m/>
    <x v="0"/>
    <x v="1"/>
    <n v="5"/>
    <n v="4.2799999999999994"/>
    <m/>
    <n v="13"/>
    <m/>
    <n v="2.9938673499426192"/>
    <n v="23.086206896551719"/>
  </r>
  <r>
    <x v="2"/>
    <x v="13"/>
    <x v="5"/>
    <m/>
    <m/>
    <x v="1"/>
    <x v="1"/>
    <n v="2"/>
    <n v="6.7"/>
    <m/>
    <n v="6"/>
    <m/>
    <n v="2.9066576783807792"/>
    <n v="22.385185185185179"/>
  </r>
  <r>
    <x v="2"/>
    <x v="14"/>
    <x v="5"/>
    <m/>
    <m/>
    <x v="2"/>
    <x v="1"/>
    <n v="4"/>
    <n v="16.514999999999997"/>
    <m/>
    <n v="11"/>
    <m/>
    <n v="3.0220595737359597"/>
    <n v="19.415333333333329"/>
  </r>
  <r>
    <x v="2"/>
    <x v="15"/>
    <x v="5"/>
    <m/>
    <m/>
    <x v="3"/>
    <x v="1"/>
    <n v="4"/>
    <n v="14.5525"/>
    <m/>
    <n v="12"/>
    <m/>
    <n v="3.1068754090642932"/>
    <n v="16.386969696969697"/>
  </r>
  <r>
    <x v="2"/>
    <x v="16"/>
    <x v="5"/>
    <m/>
    <m/>
    <x v="4"/>
    <x v="1"/>
    <n v="3"/>
    <n v="13.086666666666666"/>
    <m/>
    <n v="10"/>
    <m/>
    <n v="3.1791352640922397"/>
    <n v="14.297941176470587"/>
  </r>
  <r>
    <x v="2"/>
    <x v="17"/>
    <x v="5"/>
    <m/>
    <m/>
    <x v="5"/>
    <x v="1"/>
    <n v="1"/>
    <n v="16.95"/>
    <m/>
    <n v="18"/>
    <m/>
    <n v="3.3194235869783415"/>
    <n v="13.355624999999998"/>
  </r>
  <r>
    <x v="2"/>
    <x v="18"/>
    <x v="5"/>
    <m/>
    <m/>
    <x v="6"/>
    <x v="1"/>
    <n v="3"/>
    <n v="6.796666666666666"/>
    <m/>
    <n v="11"/>
    <m/>
    <n v="3.5646919354603299"/>
    <n v="11.530571428571427"/>
  </r>
  <r>
    <x v="2"/>
    <x v="19"/>
    <x v="5"/>
    <m/>
    <m/>
    <x v="7"/>
    <x v="1"/>
    <n v="8"/>
    <n v="4.4712499999999995"/>
    <m/>
    <n v="14"/>
    <m/>
    <n v="3.5870178247204207"/>
    <n v="9.6609999999999978"/>
  </r>
  <r>
    <x v="2"/>
    <x v="20"/>
    <x v="5"/>
    <m/>
    <m/>
    <x v="8"/>
    <x v="1"/>
    <n v="8"/>
    <n v="5.5075000000000012"/>
    <m/>
    <n v="15"/>
    <m/>
    <n v="3.6115742113743941"/>
    <n v="8.2326086956521731"/>
  </r>
  <r>
    <x v="2"/>
    <x v="21"/>
    <x v="5"/>
    <m/>
    <m/>
    <x v="9"/>
    <x v="1"/>
    <n v="6"/>
    <n v="6.331666666666667"/>
    <m/>
    <n v="4"/>
    <m/>
    <n v="3.3806616331752273"/>
    <n v="7.912040816326531"/>
  </r>
  <r>
    <x v="2"/>
    <x v="22"/>
    <x v="5"/>
    <m/>
    <m/>
    <x v="10"/>
    <x v="1"/>
    <n v="3"/>
    <n v="12.74"/>
    <m/>
    <n v="10"/>
    <m/>
    <n v="3.1901604849028091"/>
    <n v="8.2782"/>
  </r>
  <r>
    <x v="2"/>
    <x v="23"/>
    <x v="5"/>
    <m/>
    <m/>
    <x v="11"/>
    <x v="2"/>
    <n v="1"/>
    <n v="0"/>
    <m/>
    <n v="9"/>
    <m/>
    <n v="3.0519169123623056"/>
    <n v="8.16062499999999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7" cacheId="3" dataOnRows="1" dataPosition="0" applyNumberFormats="0" applyBorderFormats="0" applyFontFormats="0" applyPatternFormats="0" applyAlignmentFormats="0" applyWidthHeightFormats="1" dataCaption="Data" updatedVersion="4" showMemberPropertyTips="0" useAutoFormatting="1" rowGrandTotals="0" itemPrintTitles="1" createdVersion="1" indent="0" compact="0" compactData="0" gridDropZones="1">
  <location ref="B19:D24" firstHeaderRow="1" firstDataRow="1" firstDataCol="2"/>
  <pivotFields count="13">
    <pivotField axis="axisRow" compact="0" outline="0" subtotalTop="0" showAll="0" includeNewItemsInFilter="1">
      <items count="8">
        <item h="1" x="0"/>
        <item h="1" x="1"/>
        <item h="1" x="2"/>
        <item x="3"/>
        <item h="1" x="4"/>
        <item h="1" x="5"/>
        <item h="1" x="6"/>
        <item t="default"/>
      </items>
    </pivotField>
    <pivotField compact="0" outline="0" subtotalTop="0" showAll="0" includeNewItemsInFilter="1"/>
    <pivotField compact="0" numFmtId="17" outline="0" subtotalTop="0" showAll="0" includeNewItemsInFilter="1"/>
    <pivotField dataField="1" compact="0" outline="0" subtotalTop="0" showAll="0" includeNewItemsInFilter="1" defaultSubtotal="0"/>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s>
  <rowFields count="2">
    <field x="-2"/>
    <field x="0"/>
  </rowFields>
  <rowItems count="5">
    <i>
      <x/>
      <x v="3"/>
    </i>
    <i i="1">
      <x v="1"/>
      <x v="3"/>
    </i>
    <i i="2">
      <x v="2"/>
      <x v="3"/>
    </i>
    <i i="3">
      <x v="3"/>
      <x v="3"/>
    </i>
    <i i="4">
      <x v="4"/>
      <x v="3"/>
    </i>
  </rowItems>
  <colItems count="1">
    <i/>
  </colItems>
  <dataFields count="5">
    <dataField name="Sum of Solid Waste" fld="3" baseField="0" baseItem="0"/>
    <dataField name="Sum of Organics/Compost" fld="6" baseField="0" baseItem="0"/>
    <dataField name="Sum of Biohazardous Waste" fld="7" baseField="0" baseItem="0"/>
    <dataField name="Sum of Shred-IT" fld="8" baseField="0" baseItem="0"/>
    <dataField name="Sum of Total Recycling" fld="11" baseField="0" baseItem="0"/>
  </dataField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5" cacheId="3" dataOnRows="1" dataPosition="0" applyNumberFormats="0" applyBorderFormats="0" applyFontFormats="0" applyPatternFormats="0" applyAlignmentFormats="0" applyWidthHeightFormats="1" dataCaption="Data" updatedVersion="4" showMemberPropertyTips="0" useAutoFormatting="1" rowGrandTotals="0" itemPrintTitles="1" createdVersion="1" indent="0" compact="0" compactData="0" gridDropZones="1">
  <location ref="B3:D8" firstHeaderRow="1" firstDataRow="1" firstDataCol="2"/>
  <pivotFields count="13">
    <pivotField axis="axisRow" compact="0" outline="0" subtotalTop="0" showAll="0" includeNewItemsInFilter="1">
      <items count="8">
        <item h="1" x="0"/>
        <item h="1" x="1"/>
        <item h="1" x="2"/>
        <item h="1" x="3"/>
        <item h="1" x="4"/>
        <item h="1" x="5"/>
        <item x="6"/>
        <item t="default"/>
      </items>
    </pivotField>
    <pivotField compact="0" outline="0" subtotalTop="0" showAll="0" includeNewItemsInFilter="1"/>
    <pivotField compact="0" numFmtId="17" outline="0" subtotalTop="0" showAll="0" includeNewItemsInFilter="1"/>
    <pivotField dataField="1" compact="0" outline="0" subtotalTop="0" showAll="0" includeNewItemsInFilter="1" defaultSubtotal="0"/>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s>
  <rowFields count="2">
    <field x="-2"/>
    <field x="0"/>
  </rowFields>
  <rowItems count="5">
    <i>
      <x/>
      <x v="6"/>
    </i>
    <i i="1">
      <x v="1"/>
      <x v="6"/>
    </i>
    <i i="2">
      <x v="2"/>
      <x v="6"/>
    </i>
    <i i="3">
      <x v="3"/>
      <x v="6"/>
    </i>
    <i i="4">
      <x v="4"/>
      <x v="6"/>
    </i>
  </rowItems>
  <colItems count="1">
    <i/>
  </colItems>
  <dataFields count="5">
    <dataField name="Sum of Solid Waste" fld="3" baseField="0" baseItem="0"/>
    <dataField name="Sum of Organics/Compost" fld="6" baseField="0" baseItem="0"/>
    <dataField name="Sum of Biohazardous Waste" fld="7" baseField="0" baseItem="0"/>
    <dataField name="Sum of Shred-IT" fld="8" baseField="0" baseItem="0"/>
    <dataField name="Sum of Total Recycling" fld="11" baseField="0" baseItem="0"/>
  </dataField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3" cacheId="4" dataOnRows="1" applyNumberFormats="0" applyBorderFormats="0" applyFontFormats="0" applyPatternFormats="0" applyAlignmentFormats="0" applyWidthHeightFormats="1" dataCaption="Data" updatedVersion="4" showMemberPropertyTips="0" useAutoFormatting="1" rowGrandTotals="0" itemPrintTitles="1" createdVersion="1" indent="0" compact="0" compactData="0" gridDropZones="1">
  <location ref="A3:C23" firstHeaderRow="2" firstDataRow="2" firstDataCol="2"/>
  <pivotFields count="15">
    <pivotField compact="0" outline="0" subtotalTop="0" showAll="0" includeNewItemsInFilter="1"/>
    <pivotField compact="0" outline="0" subtotalTop="0" showAll="0" includeNewItemsInFilter="1"/>
    <pivotField axis="axisRow" compact="0" outline="0" subtotalTop="0" showAll="0" includeNewItemsInFilter="1">
      <items count="8">
        <item h="1" x="0"/>
        <item h="1" x="1"/>
        <item h="1" x="2"/>
        <item x="3"/>
        <item x="4"/>
        <item x="5"/>
        <item x="6"/>
        <item t="default"/>
      </items>
    </pivotField>
    <pivotField axis="axisRow" compact="0" outline="0" subtotalTop="0" showAll="0" includeNewItemsInFilter="1">
      <items count="5">
        <item x="3"/>
        <item x="0"/>
        <item x="1"/>
        <item x="2"/>
        <item t="default"/>
      </items>
    </pivotField>
    <pivotField compact="0" numFmtId="17"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2">
    <field x="2"/>
    <field x="3"/>
  </rowFields>
  <rowItems count="19">
    <i>
      <x v="3"/>
      <x/>
    </i>
    <i r="1">
      <x v="1"/>
    </i>
    <i r="1">
      <x v="2"/>
    </i>
    <i r="1">
      <x v="3"/>
    </i>
    <i t="default">
      <x v="3"/>
    </i>
    <i>
      <x v="4"/>
      <x/>
    </i>
    <i r="1">
      <x v="1"/>
    </i>
    <i r="1">
      <x v="2"/>
    </i>
    <i r="1">
      <x v="3"/>
    </i>
    <i t="default">
      <x v="4"/>
    </i>
    <i>
      <x v="5"/>
      <x/>
    </i>
    <i r="1">
      <x v="1"/>
    </i>
    <i r="1">
      <x v="2"/>
    </i>
    <i r="1">
      <x v="3"/>
    </i>
    <i t="default">
      <x v="5"/>
    </i>
    <i>
      <x v="6"/>
      <x/>
    </i>
    <i r="1">
      <x v="1"/>
    </i>
    <i r="1">
      <x v="2"/>
    </i>
    <i t="default">
      <x v="6"/>
    </i>
  </rowItems>
  <colItems count="1">
    <i/>
  </colItems>
  <dataFields count="1">
    <dataField name="Sum of Waste to Landfill" fld="14" baseField="0" baseItem="0"/>
  </dataField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2" cacheId="7" dataOnRows="1" applyNumberFormats="0" applyBorderFormats="0" applyFontFormats="0" applyPatternFormats="0" applyAlignmentFormats="0" applyWidthHeightFormats="1" dataCaption="Data" updatedVersion="4" showMemberPropertyTips="0" useAutoFormatting="1" itemPrintTitles="1" createdVersion="1" indent="0" compact="0" compactData="0" gridDropZones="1">
  <location ref="F42:I64" firstHeaderRow="2" firstDataRow="2" firstDataCol="3"/>
  <pivotFields count="16">
    <pivotField compact="0" outline="0" subtotalTop="0" showAll="0" includeNewItemsInFilter="1"/>
    <pivotField compact="0" outline="0" subtotalTop="0" showAll="0" includeNewItemsInFilter="1"/>
    <pivotField axis="axisRow" compact="0" outline="0" subtotalTop="0" showAll="0" includeNewItemsInFilter="1" defaultSubtotal="0">
      <items count="7">
        <item h="1" x="0"/>
        <item h="1" x="1"/>
        <item h="1" x="2"/>
        <item h="1" x="3"/>
        <item h="1" x="4"/>
        <item x="5"/>
        <item x="6"/>
      </items>
    </pivotField>
    <pivotField axis="axisRow" compact="0" outline="0" subtotalTop="0" showAll="0" includeNewItemsInFilter="1" defaultSubtotal="0">
      <items count="4">
        <item x="3"/>
        <item x="0"/>
        <item x="1"/>
        <item x="2"/>
      </items>
    </pivotField>
    <pivotField axis="axisRow" compact="0" numFmtId="17" outline="0" subtotalTop="0" showAll="0" includeNewItemsInFilter="1">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numFmtId="10" outline="0" subtotalTop="0" showAll="0" includeNewItemsInFilter="1"/>
  </pivotFields>
  <rowFields count="3">
    <field x="2"/>
    <field x="3"/>
    <field x="4"/>
  </rowFields>
  <rowItems count="21">
    <i>
      <x v="5"/>
      <x/>
      <x v="55"/>
    </i>
    <i r="2">
      <x v="56"/>
    </i>
    <i r="2">
      <x v="57"/>
    </i>
    <i r="1">
      <x v="1"/>
      <x v="58"/>
    </i>
    <i r="2">
      <x v="59"/>
    </i>
    <i r="2">
      <x v="60"/>
    </i>
    <i r="1">
      <x v="2"/>
      <x v="61"/>
    </i>
    <i r="2">
      <x v="62"/>
    </i>
    <i r="2">
      <x v="63"/>
    </i>
    <i r="1">
      <x v="3"/>
      <x v="64"/>
    </i>
    <i r="2">
      <x v="65"/>
    </i>
    <i r="2">
      <x v="66"/>
    </i>
    <i>
      <x v="6"/>
      <x/>
      <x v="67"/>
    </i>
    <i r="2">
      <x v="68"/>
    </i>
    <i r="2">
      <x v="69"/>
    </i>
    <i r="1">
      <x v="1"/>
      <x v="70"/>
    </i>
    <i r="2">
      <x v="71"/>
    </i>
    <i r="2">
      <x v="72"/>
    </i>
    <i r="1">
      <x v="2"/>
      <x v="73"/>
    </i>
    <i r="2">
      <x v="74"/>
    </i>
    <i t="grand">
      <x/>
    </i>
  </rowItems>
  <colItems count="1">
    <i/>
  </colItems>
  <dataFields count="1">
    <dataField name="Average of % of waste to landfill" fld="15" subtotal="average" baseField="3" baseItem="1"/>
  </dataField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1" cacheId="6" dataOnRows="1" applyNumberFormats="0" applyBorderFormats="0" applyFontFormats="0" applyPatternFormats="0" applyAlignmentFormats="0" applyWidthHeightFormats="1" dataCaption="Data" updatedVersion="4" showMemberPropertyTips="0" useAutoFormatting="1" itemPrintTitles="1" createdVersion="1" indent="0" compact="0" compactData="0" gridDropZones="1">
  <location ref="A42:D64" firstHeaderRow="2" firstDataRow="2" firstDataCol="3"/>
  <pivotFields count="16">
    <pivotField compact="0" outline="0" subtotalTop="0" showAll="0" includeNewItemsInFilter="1"/>
    <pivotField compact="0" outline="0" subtotalTop="0" showAll="0" includeNewItemsInFilter="1"/>
    <pivotField axis="axisRow" compact="0" outline="0" subtotalTop="0" showAll="0" includeNewItemsInFilter="1" defaultSubtotal="0">
      <items count="7">
        <item h="1" x="0"/>
        <item h="1" x="1"/>
        <item h="1" x="2"/>
        <item h="1" x="3"/>
        <item h="1" x="4"/>
        <item x="5"/>
        <item x="6"/>
      </items>
    </pivotField>
    <pivotField axis="axisRow" compact="0" outline="0" subtotalTop="0" showAll="0" includeNewItemsInFilter="1" defaultSubtotal="0">
      <items count="4">
        <item x="3"/>
        <item x="0"/>
        <item x="1"/>
        <item x="2"/>
      </items>
    </pivotField>
    <pivotField axis="axisRow" compact="0" numFmtId="17" outline="0" subtotalTop="0" showAll="0" includeNewItemsInFilter="1">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numFmtId="10" outline="0" subtotalTop="0" showAll="0" includeNewItemsInFilter="1"/>
  </pivotFields>
  <rowFields count="3">
    <field x="2"/>
    <field x="3"/>
    <field x="4"/>
  </rowFields>
  <rowItems count="21">
    <i>
      <x v="5"/>
      <x/>
      <x v="55"/>
    </i>
    <i r="2">
      <x v="56"/>
    </i>
    <i r="2">
      <x v="57"/>
    </i>
    <i r="1">
      <x v="1"/>
      <x v="58"/>
    </i>
    <i r="2">
      <x v="59"/>
    </i>
    <i r="2">
      <x v="60"/>
    </i>
    <i r="1">
      <x v="2"/>
      <x v="61"/>
    </i>
    <i r="2">
      <x v="62"/>
    </i>
    <i r="2">
      <x v="63"/>
    </i>
    <i r="1">
      <x v="3"/>
      <x v="64"/>
    </i>
    <i r="2">
      <x v="65"/>
    </i>
    <i r="2">
      <x v="66"/>
    </i>
    <i>
      <x v="6"/>
      <x/>
      <x v="67"/>
    </i>
    <i r="2">
      <x v="68"/>
    </i>
    <i r="2">
      <x v="69"/>
    </i>
    <i r="1">
      <x v="1"/>
      <x v="70"/>
    </i>
    <i r="2">
      <x v="71"/>
    </i>
    <i r="2">
      <x v="72"/>
    </i>
    <i r="1">
      <x v="2"/>
      <x v="73"/>
    </i>
    <i r="2">
      <x v="74"/>
    </i>
    <i t="grand">
      <x/>
    </i>
  </rowItems>
  <colItems count="1">
    <i/>
  </colItems>
  <dataFields count="1">
    <dataField name="Average of % of waste to landfill" fld="15" subtotal="average" baseField="3" baseItem="1"/>
  </dataField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4" cacheId="5" dataOnRows="1" applyNumberFormats="0" applyBorderFormats="0" applyFontFormats="0" applyPatternFormats="0" applyAlignmentFormats="0" applyWidthHeightFormats="1" dataCaption="Data" updatedVersion="4" showMemberPropertyTips="0" useAutoFormatting="1" rowGrandTotals="0" itemPrintTitles="1" createdVersion="1" indent="0" compact="0" compactData="0" gridDropZones="1">
  <location ref="F3:H23" firstHeaderRow="2" firstDataRow="2" firstDataCol="2"/>
  <pivotFields count="15">
    <pivotField compact="0" outline="0" subtotalTop="0" showAll="0" includeNewItemsInFilter="1"/>
    <pivotField compact="0" outline="0" subtotalTop="0" showAll="0" includeNewItemsInFilter="1"/>
    <pivotField axis="axisRow" compact="0" outline="0" subtotalTop="0" showAll="0" includeNewItemsInFilter="1">
      <items count="8">
        <item h="1" x="0"/>
        <item h="1" x="1"/>
        <item h="1" x="2"/>
        <item x="3"/>
        <item x="4"/>
        <item x="5"/>
        <item x="6"/>
        <item t="default"/>
      </items>
    </pivotField>
    <pivotField axis="axisRow" compact="0" outline="0" subtotalTop="0" showAll="0" includeNewItemsInFilter="1">
      <items count="5">
        <item x="3"/>
        <item x="0"/>
        <item x="1"/>
        <item x="2"/>
        <item t="default"/>
      </items>
    </pivotField>
    <pivotField compact="0" numFmtId="17"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2">
    <field x="2"/>
    <field x="3"/>
  </rowFields>
  <rowItems count="19">
    <i>
      <x v="3"/>
      <x/>
    </i>
    <i r="1">
      <x v="1"/>
    </i>
    <i r="1">
      <x v="2"/>
    </i>
    <i r="1">
      <x v="3"/>
    </i>
    <i t="default">
      <x v="3"/>
    </i>
    <i>
      <x v="4"/>
      <x/>
    </i>
    <i r="1">
      <x v="1"/>
    </i>
    <i r="1">
      <x v="2"/>
    </i>
    <i r="1">
      <x v="3"/>
    </i>
    <i t="default">
      <x v="4"/>
    </i>
    <i>
      <x v="5"/>
      <x/>
    </i>
    <i r="1">
      <x v="1"/>
    </i>
    <i r="1">
      <x v="2"/>
    </i>
    <i r="1">
      <x v="3"/>
    </i>
    <i t="default">
      <x v="5"/>
    </i>
    <i>
      <x v="6"/>
      <x/>
    </i>
    <i r="1">
      <x v="1"/>
    </i>
    <i r="1">
      <x v="2"/>
    </i>
    <i t="default">
      <x v="6"/>
    </i>
  </rowItems>
  <colItems count="1">
    <i/>
  </colItems>
  <dataFields count="1">
    <dataField name="Sum of Waste to Landfill" fld="14" baseField="0" baseItem="0"/>
  </dataFields>
  <pivotTableStyleInfo showRowHeaders="1" showColHeaders="1" showRowStripes="0" showColStripes="0" showLastColumn="1"/>
</pivotTableDefinition>
</file>

<file path=xl/pivotTables/pivotTable7.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6">
  <location ref="I17:J30" firstHeaderRow="1" firstDataRow="1" firstDataCol="1" rowPageCount="5" colPageCount="1"/>
  <pivotFields count="7">
    <pivotField axis="axisPage" multipleItemSelectionAllowed="1" showAll="0">
      <items count="4">
        <item x="1"/>
        <item x="0"/>
        <item m="1" x="2"/>
        <item t="default"/>
      </items>
    </pivotField>
    <pivotField axis="axisPage" showAll="0">
      <items count="5">
        <item x="2"/>
        <item x="3"/>
        <item x="0"/>
        <item x="1"/>
        <item t="default"/>
      </items>
    </pivotField>
    <pivotField axis="axisPage" numFmtId="17" showAll="0">
      <items count="13">
        <item x="0"/>
        <item x="1"/>
        <item x="2"/>
        <item x="3"/>
        <item x="4"/>
        <item x="5"/>
        <item x="6"/>
        <item x="7"/>
        <item x="8"/>
        <item x="9"/>
        <item x="10"/>
        <item x="11"/>
        <item t="default"/>
      </items>
    </pivotField>
    <pivotField axis="axisRow" showAll="0">
      <items count="13">
        <item x="0"/>
        <item x="1"/>
        <item x="2"/>
        <item x="3"/>
        <item x="4"/>
        <item x="5"/>
        <item x="6"/>
        <item x="7"/>
        <item x="8"/>
        <item x="9"/>
        <item x="10"/>
        <item x="11"/>
        <item t="default"/>
      </items>
    </pivotField>
    <pivotField axis="axisPage" showAll="0">
      <items count="2">
        <item x="0"/>
        <item t="default"/>
      </items>
    </pivotField>
    <pivotField axis="axisPage" showAll="0">
      <items count="8">
        <item x="4"/>
        <item x="1"/>
        <item x="0"/>
        <item x="2"/>
        <item x="3"/>
        <item x="5"/>
        <item x="6"/>
        <item t="default"/>
      </items>
    </pivotField>
    <pivotField dataField="1" showAll="0"/>
  </pivotFields>
  <rowFields count="1">
    <field x="3"/>
  </rowFields>
  <rowItems count="13">
    <i>
      <x/>
    </i>
    <i>
      <x v="1"/>
    </i>
    <i>
      <x v="2"/>
    </i>
    <i>
      <x v="3"/>
    </i>
    <i>
      <x v="4"/>
    </i>
    <i>
      <x v="5"/>
    </i>
    <i>
      <x v="6"/>
    </i>
    <i>
      <x v="7"/>
    </i>
    <i>
      <x v="8"/>
    </i>
    <i>
      <x v="9"/>
    </i>
    <i>
      <x v="10"/>
    </i>
    <i>
      <x v="11"/>
    </i>
    <i t="grand">
      <x/>
    </i>
  </rowItems>
  <colItems count="1">
    <i/>
  </colItems>
  <pageFields count="5">
    <pageField fld="0" hier="-1"/>
    <pageField fld="1" hier="-1"/>
    <pageField fld="5" hier="-1"/>
    <pageField fld="4" hier="-1"/>
    <pageField fld="2" hier="-1"/>
  </pageFields>
  <dataFields count="1">
    <dataField name="Sum of Weight" fld="6" baseField="0" baseItem="3927624"/>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2" cacheId="17"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DC91:DE116" firstHeaderRow="0" firstDataRow="1" firstDataCol="1" rowPageCount="3" colPageCount="1"/>
  <pivotFields count="14">
    <pivotField axis="axisPage" showAll="0">
      <items count="4">
        <item x="0"/>
        <item x="2"/>
        <item x="1"/>
        <item t="default"/>
      </items>
    </pivotField>
    <pivotField axis="axisRow" numFmtId="17"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axis="axisPage" showAll="0">
      <items count="13">
        <item x="11"/>
        <item x="0"/>
        <item x="1"/>
        <item x="2"/>
        <item x="3"/>
        <item x="4"/>
        <item x="5"/>
        <item x="6"/>
        <item x="7"/>
        <item x="8"/>
        <item x="9"/>
        <item x="10"/>
        <item t="default"/>
      </items>
    </pivotField>
    <pivotField axis="axisPage" showAll="0">
      <items count="4">
        <item x="0"/>
        <item x="1"/>
        <item x="2"/>
        <item t="default"/>
      </items>
    </pivotField>
    <pivotField dataField="1" showAll="0"/>
    <pivotField showAll="0"/>
    <pivotField showAll="0"/>
    <pivotField showAll="0"/>
    <pivotField showAll="0"/>
    <pivotField showAll="0"/>
    <pivotField dataField="1" showAll="0"/>
  </pivotFields>
  <rowFields count="1">
    <field x="1"/>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pageFields count="3">
    <pageField fld="0" hier="-1"/>
    <pageField fld="5" hier="-1"/>
    <pageField fld="6" hier="-1"/>
  </pageFields>
  <dataFields count="2">
    <dataField name="Number of Lost Time Incidents " fld="7" baseField="1" baseItem="0"/>
    <dataField name="Rolling Days Lost/Lost Time Incident " fld="13" baseField="1" baseItem="0"/>
  </dataFields>
  <chartFormats count="6">
    <chartFormat chart="0" format="1"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1" cacheId="17"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DG57:DI82" firstHeaderRow="0" firstDataRow="1" firstDataCol="1" rowPageCount="3" colPageCount="1"/>
  <pivotFields count="14">
    <pivotField axis="axisPage" showAll="0">
      <items count="4">
        <item x="0"/>
        <item x="2"/>
        <item x="1"/>
        <item t="default"/>
      </items>
    </pivotField>
    <pivotField axis="axisRow" numFmtId="17"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axis="axisPage" showAll="0">
      <items count="13">
        <item x="11"/>
        <item x="0"/>
        <item x="1"/>
        <item x="2"/>
        <item x="3"/>
        <item x="4"/>
        <item x="5"/>
        <item x="6"/>
        <item x="7"/>
        <item x="8"/>
        <item x="9"/>
        <item x="10"/>
        <item t="default"/>
      </items>
    </pivotField>
    <pivotField axis="axisPage" showAll="0">
      <items count="4">
        <item x="0"/>
        <item x="1"/>
        <item x="2"/>
        <item t="default"/>
      </items>
    </pivotField>
    <pivotField dataField="1" showAll="0"/>
    <pivotField showAll="0"/>
    <pivotField dataField="1" showAll="0"/>
    <pivotField showAll="0"/>
    <pivotField showAll="0"/>
    <pivotField showAll="0"/>
    <pivotField showAll="0"/>
  </pivotFields>
  <rowFields count="1">
    <field x="1"/>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pageFields count="3">
    <pageField fld="0" hier="-1"/>
    <pageField fld="5" hier="-1"/>
    <pageField fld="6" hier="-1"/>
  </pageFields>
  <dataFields count="2">
    <dataField name="Number of Lost Time Incidents " fld="7" baseField="1" baseItem="0"/>
    <dataField name="Lost Time Rate " fld="9" baseField="1" baseItem="0"/>
  </dataFields>
  <chartFormats count="4">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1"/>
          </reference>
        </references>
      </pivotArea>
    </chartFormat>
    <chartFormat chart="2" format="3"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DC57:DE82" firstHeaderRow="0" firstDataRow="1" firstDataCol="1" rowPageCount="3" colPageCount="1"/>
  <pivotFields count="14">
    <pivotField axis="axisPage" showAll="0">
      <items count="4">
        <item x="0"/>
        <item x="2"/>
        <item x="1"/>
        <item t="default"/>
      </items>
    </pivotField>
    <pivotField axis="axisRow" numFmtId="17"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axis="axisPage" showAll="0">
      <items count="13">
        <item x="11"/>
        <item x="0"/>
        <item x="1"/>
        <item x="2"/>
        <item x="3"/>
        <item x="4"/>
        <item x="5"/>
        <item x="6"/>
        <item x="7"/>
        <item x="8"/>
        <item x="9"/>
        <item x="10"/>
        <item t="default"/>
      </items>
    </pivotField>
    <pivotField axis="axisPage" showAll="0">
      <items count="4">
        <item x="0"/>
        <item x="1"/>
        <item x="2"/>
        <item t="default"/>
      </items>
    </pivotField>
    <pivotField showAll="0"/>
    <pivotField showAll="0"/>
    <pivotField showAll="0"/>
    <pivotField dataField="1" showAll="0"/>
    <pivotField showAll="0"/>
    <pivotField dataField="1" showAll="0"/>
    <pivotField showAll="0"/>
  </pivotFields>
  <rowFields count="1">
    <field x="1"/>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pageFields count="3">
    <pageField fld="0" hier="-1"/>
    <pageField fld="5" hier="-1"/>
    <pageField fld="6" hier="-1"/>
  </pageFields>
  <dataFields count="2">
    <dataField name="Number of Incidents " fld="10" baseField="1" baseItem="0"/>
    <dataField name="Rolling Incident Rate " fld="12" baseField="1" baseItem="0"/>
  </dataFields>
  <chartFormats count="2">
    <chartFormat chart="2" format="5"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8" cacheId="17"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DG21:DI46" firstHeaderRow="0" firstDataRow="1" firstDataCol="1" rowPageCount="3" colPageCount="1"/>
  <pivotFields count="14">
    <pivotField axis="axisPage" showAll="0">
      <items count="4">
        <item x="0"/>
        <item x="2"/>
        <item x="1"/>
        <item t="default"/>
      </items>
    </pivotField>
    <pivotField axis="axisRow" numFmtId="17"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axis="axisPage" showAll="0">
      <items count="13">
        <item x="11"/>
        <item x="0"/>
        <item x="1"/>
        <item x="2"/>
        <item x="3"/>
        <item x="4"/>
        <item x="5"/>
        <item x="6"/>
        <item x="7"/>
        <item x="8"/>
        <item x="9"/>
        <item x="10"/>
        <item t="default"/>
      </items>
    </pivotField>
    <pivotField axis="axisPage" showAll="0">
      <items count="4">
        <item x="0"/>
        <item x="1"/>
        <item x="2"/>
        <item t="default"/>
      </items>
    </pivotField>
    <pivotField showAll="0"/>
    <pivotField showAll="0"/>
    <pivotField showAll="0"/>
    <pivotField dataField="1" showAll="0"/>
    <pivotField dataField="1" showAll="0"/>
    <pivotField showAll="0"/>
    <pivotField showAll="0"/>
  </pivotFields>
  <rowFields count="1">
    <field x="1"/>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pageFields count="3">
    <pageField fld="0" hier="-1"/>
    <pageField fld="5" hier="-1"/>
    <pageField fld="6" hier="-1"/>
  </pageFields>
  <dataFields count="2">
    <dataField name="Number of Incidents " fld="10" baseField="1" baseItem="0"/>
    <dataField name="Incident Rate " fld="11" baseField="1" baseItem="0"/>
  </dataFields>
  <chartFormats count="4">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DC21:DE46" firstHeaderRow="0" firstDataRow="1" firstDataCol="1" rowPageCount="4" colPageCount="1"/>
  <pivotFields count="14">
    <pivotField axis="axisPage" showAll="0">
      <items count="4">
        <item x="0"/>
        <item x="2"/>
        <item x="1"/>
        <item t="default"/>
      </items>
    </pivotField>
    <pivotField axis="axisRow" numFmtId="17" showAll="0">
      <items count="25">
        <item x="0"/>
        <item x="1"/>
        <item x="2"/>
        <item x="3"/>
        <item x="4"/>
        <item x="5"/>
        <item x="6"/>
        <item x="7"/>
        <item x="8"/>
        <item x="9"/>
        <item x="10"/>
        <item x="11"/>
        <item x="12"/>
        <item x="13"/>
        <item x="14"/>
        <item x="15"/>
        <item x="16"/>
        <item x="17"/>
        <item x="18"/>
        <item x="19"/>
        <item x="20"/>
        <item x="21"/>
        <item x="22"/>
        <item x="23"/>
        <item t="default"/>
      </items>
    </pivotField>
    <pivotField axis="axisPage" multipleItemSelectionAllowed="1" showAll="0">
      <items count="7">
        <item h="1" x="3"/>
        <item h="1" x="4"/>
        <item h="1" x="1"/>
        <item x="0"/>
        <item h="1" x="2"/>
        <item h="1" x="5"/>
        <item t="default"/>
      </items>
    </pivotField>
    <pivotField dataField="1" showAll="0"/>
    <pivotField dataField="1" showAll="0"/>
    <pivotField axis="axisPage" showAll="0">
      <items count="13">
        <item x="11"/>
        <item x="0"/>
        <item x="1"/>
        <item x="2"/>
        <item x="3"/>
        <item x="4"/>
        <item x="5"/>
        <item x="6"/>
        <item x="7"/>
        <item x="8"/>
        <item x="9"/>
        <item x="10"/>
        <item t="default"/>
      </items>
    </pivotField>
    <pivotField axis="axisPage" showAll="0">
      <items count="4">
        <item x="0"/>
        <item x="1"/>
        <item x="2"/>
        <item t="default"/>
      </items>
    </pivotField>
    <pivotField showAll="0"/>
    <pivotField showAll="0"/>
    <pivotField showAll="0"/>
    <pivotField showAll="0"/>
    <pivotField showAll="0"/>
    <pivotField showAll="0"/>
    <pivotField showAll="0"/>
  </pivotFields>
  <rowFields count="1">
    <field x="1"/>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pageFields count="4">
    <pageField fld="0" hier="-1"/>
    <pageField fld="5" hier="-1"/>
    <pageField fld="6" hier="-1"/>
    <pageField fld="2" hier="-1"/>
  </pageFields>
  <dataFields count="2">
    <dataField name="Number of Incidents " fld="3" baseField="1" baseItem="0"/>
    <dataField name="Rolling Incident Rate " fld="4" baseField="1" baseItem="0"/>
  </dataFields>
  <chartFormats count="4">
    <chartFormat chart="2"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1"/>
          </reference>
        </references>
      </pivotArea>
    </chartFormat>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4" minRefreshableVersion="3" showDrill="0" useAutoFormatting="1" itemPrintTitles="1" createdVersion="4" indent="0" showHeaders="0" outline="1" outlineData="1" multipleFieldFilters="0" chartFormat="10">
  <location ref="A7:D13" firstHeaderRow="1" firstDataRow="2" firstDataCol="1" rowPageCount="4" colPageCount="1"/>
  <pivotFields count="16">
    <pivotField dataField="1" showAll="0"/>
    <pivotField numFmtId="14" showAll="0"/>
    <pivotField numFmtId="14" showAll="0"/>
    <pivotField axis="axisRow" showAll="0">
      <items count="8">
        <item m="1" x="4"/>
        <item m="1" x="5"/>
        <item m="1" x="6"/>
        <item x="0"/>
        <item x="1"/>
        <item x="2"/>
        <item x="3"/>
        <item t="default"/>
      </items>
    </pivotField>
    <pivotField axis="axisPage" numFmtId="1" showAll="0" defaultSubtotal="0">
      <items count="3">
        <item m="1" x="2"/>
        <item x="0"/>
        <item x="1"/>
      </items>
    </pivotField>
    <pivotField showAll="0"/>
    <pivotField numFmtId="18" showAll="0"/>
    <pivotField axis="axisCol" showAll="0">
      <items count="4">
        <item x="1"/>
        <item x="0"/>
        <item m="1" x="2"/>
        <item t="default"/>
      </items>
    </pivotField>
    <pivotField axis="axisPage" showAll="0">
      <items count="11">
        <item x="6"/>
        <item x="2"/>
        <item x="3"/>
        <item m="1" x="9"/>
        <item x="0"/>
        <item x="1"/>
        <item x="4"/>
        <item x="5"/>
        <item x="7"/>
        <item x="8"/>
        <item t="default"/>
      </items>
    </pivotField>
    <pivotField showAll="0"/>
    <pivotField showAll="0"/>
    <pivotField axis="axisPage" showAll="0">
      <items count="9">
        <item x="2"/>
        <item x="3"/>
        <item m="1" x="7"/>
        <item x="0"/>
        <item x="1"/>
        <item x="4"/>
        <item x="5"/>
        <item x="6"/>
        <item t="default"/>
      </items>
    </pivotField>
    <pivotField showAll="0"/>
    <pivotField axis="axisPage" showAll="0">
      <items count="9">
        <item x="1"/>
        <item m="1" x="7"/>
        <item x="0"/>
        <item x="6"/>
        <item x="2"/>
        <item x="3"/>
        <item x="4"/>
        <item x="5"/>
        <item t="default"/>
      </items>
    </pivotField>
    <pivotField showAll="0"/>
    <pivotField dragToRow="0" dragToCol="0" dragToPage="0" showAll="0" defaultSubtotal="0"/>
  </pivotFields>
  <rowFields count="1">
    <field x="3"/>
  </rowFields>
  <rowItems count="5">
    <i>
      <x v="3"/>
    </i>
    <i>
      <x v="4"/>
    </i>
    <i>
      <x v="5"/>
    </i>
    <i>
      <x v="6"/>
    </i>
    <i t="grand">
      <x/>
    </i>
  </rowItems>
  <colFields count="1">
    <field x="7"/>
  </colFields>
  <colItems count="3">
    <i>
      <x/>
    </i>
    <i>
      <x v="1"/>
    </i>
    <i t="grand">
      <x/>
    </i>
  </colItems>
  <pageFields count="4">
    <pageField fld="8" hier="-1"/>
    <pageField fld="13" hier="-1"/>
    <pageField fld="4" hier="-1"/>
    <pageField fld="11" hier="-1"/>
  </pageFields>
  <dataFields count="1">
    <dataField name="Count of Hazard Number" fld="0" subtotal="count" baseField="6" baseItem="0"/>
  </dataFields>
  <chartFormats count="3">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7" count="1" selected="0">
            <x v="0"/>
          </reference>
        </references>
      </pivotArea>
    </chartFormat>
    <chartFormat chart="0" format="3" series="1">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vince1" sourceName="Province">
  <pivotTables>
    <pivotTable tabId="23" name="PivotTable6"/>
    <pivotTable tabId="23" name="PivotTable8"/>
    <pivotTable tabId="23" name="PivotTable10"/>
    <pivotTable tabId="23" name="PivotTable11"/>
    <pivotTable tabId="23" name="PivotTable12"/>
  </pivotTables>
  <data>
    <tabular pivotCacheId="6">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Incident_Classification" sourceName="Incident Classification">
  <pivotTables>
    <pivotTable tabId="23" name="PivotTable6"/>
  </pivotTables>
  <data>
    <tabular pivotCacheId="6">
      <items count="6">
        <i x="3"/>
        <i x="4"/>
        <i x="1"/>
        <i x="0" s="1"/>
        <i x="2"/>
        <i x="5"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1" sourceName="Month">
  <pivotTables>
    <pivotTable tabId="23" name="PivotTable6"/>
    <pivotTable tabId="23" name="PivotTable8"/>
    <pivotTable tabId="23" name="PivotTable10"/>
    <pivotTable tabId="23" name="PivotTable11"/>
    <pivotTable tabId="23" name="PivotTable12"/>
  </pivotTables>
  <data>
    <tabular pivotCacheId="6">
      <items count="12">
        <i x="11" s="1"/>
        <i x="0" s="1"/>
        <i x="1" s="1"/>
        <i x="2" s="1"/>
        <i x="3" s="1"/>
        <i x="4" s="1"/>
        <i x="5" s="1"/>
        <i x="6" s="1"/>
        <i x="7" s="1"/>
        <i x="8" s="1"/>
        <i x="9" s="1"/>
        <i x="1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Year1" sourceName="Year">
  <pivotTables>
    <pivotTable tabId="23" name="PivotTable6"/>
    <pivotTable tabId="23" name="PivotTable8"/>
    <pivotTable tabId="23" name="PivotTable10"/>
    <pivotTable tabId="23" name="PivotTable11"/>
    <pivotTable tabId="23" name="PivotTable12"/>
  </pivotTables>
  <data>
    <tabular pivotCacheId="6">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vince" sourceName="Province">
  <pivotTables>
    <pivotTable tabId="15" name="PivotTable1"/>
  </pivotTables>
  <data>
    <tabular pivotCacheId="7" showMissing="0">
      <items count="3">
        <i x="1" s="1"/>
        <i x="0" s="1"/>
        <i x="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Location" sourceName="Location">
  <pivotTables>
    <pivotTable tabId="15" name="PivotTable1"/>
  </pivotTables>
  <data>
    <tabular pivotCacheId="7">
      <items count="4">
        <i x="2" s="1"/>
        <i x="3" s="1"/>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5" name="PivotTable1"/>
  </pivotTables>
  <data>
    <tabular pivotCacheId="7">
      <items count="12">
        <i x="0" s="1"/>
        <i x="1" s="1"/>
        <i x="2" s="1"/>
        <i x="3" s="1"/>
        <i x="4" s="1"/>
        <i x="5" s="1"/>
        <i x="6" s="1"/>
        <i x="7" s="1"/>
        <i x="8" s="1"/>
        <i x="9" s="1"/>
        <i x="10" s="1"/>
        <i x="1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15" name="PivotTable1"/>
  </pivotTables>
  <data>
    <tabular pivotCacheId="7">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15" name="PivotTable1"/>
  </pivotTables>
  <data>
    <tabular pivotCacheId="7">
      <items count="7">
        <i x="4" s="1"/>
        <i x="1" s="1"/>
        <i x="0" s="1"/>
        <i x="2" s="1"/>
        <i x="3" s="1"/>
        <i x="5" s="1"/>
        <i x="6"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vince2" sourceName="Province">
  <pivotTables>
    <pivotTable tabId="27" name="PivotTable1"/>
  </pivotTables>
  <data>
    <tabular pivotCacheId="8" showMissing="0">
      <items count="3">
        <i x="0" s="1"/>
        <i x="1" s="1"/>
        <i x="2"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City" sourceName="City">
  <pivotTables>
    <pivotTable tabId="27" name="PivotTable1"/>
  </pivotTables>
  <data>
    <tabular pivotCacheId="8" showMissing="0">
      <items count="10">
        <i x="8" s="1"/>
        <i x="7" s="1"/>
        <i x="0" s="1"/>
        <i x="1" s="1"/>
        <i x="6" s="1"/>
        <i x="2" s="1"/>
        <i x="4" s="1"/>
        <i x="3" s="1"/>
        <i x="5" s="1"/>
        <i x="9"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Root_Cause" sourceName="Root Cause">
  <pivotTables>
    <pivotTable tabId="27" name="PivotTable1"/>
  </pivotTables>
  <data>
    <tabular pivotCacheId="8" showMissing="0">
      <items count="8">
        <i x="5" s="1"/>
        <i x="2" s="1"/>
        <i x="6" s="1"/>
        <i x="1" s="1"/>
        <i x="4" s="1"/>
        <i x="3" s="1"/>
        <i x="0" s="1"/>
        <i x="7"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Corrective_Actions" sourceName="Corrective Actions">
  <pivotTables>
    <pivotTable tabId="27" name="PivotTable1"/>
  </pivotTables>
  <data>
    <tabular pivotCacheId="8" showMissing="0">
      <items count="8">
        <i x="5" s="1"/>
        <i x="2" s="1"/>
        <i x="4" s="1"/>
        <i x="3" s="1"/>
        <i x="6" s="1"/>
        <i x="1" s="1"/>
        <i x="0" s="1"/>
        <i x="7"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Year2" sourceName="Year">
  <pivotTables>
    <pivotTable tabId="27" name="PivotTable1"/>
  </pivotTables>
  <data>
    <tabular pivotCacheId="8" showMissing="0">
      <items count="3">
        <i x="0" s="1"/>
        <i x="1" s="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Month2" sourceName="Month">
  <pivotTables>
    <pivotTable tabId="27" name="PivotTable1"/>
  </pivotTables>
  <data>
    <tabular pivotCacheId="8" showMissing="0">
      <items count="7">
        <i x="2" s="1"/>
        <i x="3" s="1"/>
        <i x="0" s="1"/>
        <i x="1" s="1"/>
        <i x="6" s="1" nd="1"/>
        <i x="4"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vince 2" cache="Slicer_Province" caption="Province" columnCount="2" rowHeight="241300"/>
  <slicer name="Location" cache="Slicer_Location" caption="Location" columnCount="4" rowHeight="241300"/>
  <slicer name="Month" cache="Slicer_Month" caption="Month" rowHeight="241300"/>
  <slicer name="Year" cache="Slicer_Year" caption="Year" rowHeight="241300"/>
  <slicer name="Category" cache="Slicer_Category" caption="Category" style="SlicerStyleLight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vince 1" cache="Slicer_Province1" caption="Province" style="SlicerStyleDark1" rowHeight="241300"/>
  <slicer name="Incident Classification" cache="Slicer_Incident_Classification" caption="Incident Classification" columnCount="5" showCaption="0" style="SlicerStyleLight2 2" rowHeight="274320"/>
  <slicer name="Month 1" cache="Slicer_Month1" caption="Month" style="SlicerStyleDark1" rowHeight="241300"/>
  <slicer name="Year 1" cache="Slicer_Year1" caption="Year" style="SlicerStyleDark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vince" cache="Slicer_Province2" caption="Province" columnCount="2" showCaption="0" style="SlicerStyleLight2 2" rowHeight="241300"/>
  <slicer name="City" cache="Slicer_City" caption="City" startItem="2" columnCount="2" style="SlicerStyleLight4" rowHeight="241300"/>
  <slicer name="Root Cause" cache="Slicer_Root_Cause" caption="Root Cause" style="SlicerStyleLight4" rowHeight="241300"/>
  <slicer name="Corrective Actions" cache="Slicer_Corrective_Actions" caption="Corrective Actions" style="SlicerStyleLight4" rowHeight="241300"/>
  <slicer name="Year 2" cache="Slicer_Year2" caption="Year" columnCount="2" style="SlicerStyleLight4" rowHeight="241300"/>
  <slicer name="Month 2" cache="Slicer_Month2" caption="Month" columnCount="2" style="SlicerStyleLight4" rowHeight="241300"/>
</slicers>
</file>

<file path=xl/tables/table1.xml><?xml version="1.0" encoding="utf-8"?>
<table xmlns="http://schemas.openxmlformats.org/spreadsheetml/2006/main" id="3" name="Table3" displayName="Table3" ref="A10:C29" totalsRowShown="0">
  <autoFilter ref="A10:C29"/>
  <tableColumns count="3">
    <tableColumn id="1" name="Disclosure"/>
    <tableColumn id="2" name="Description "/>
    <tableColumn id="3" name="Requirements"/>
  </tableColumns>
  <tableStyleInfo name="TableStyleDark2" showFirstColumn="0" showLastColumn="0" showRowStripes="1" showColumnStripes="0"/>
</table>
</file>

<file path=xl/tables/table2.xml><?xml version="1.0" encoding="utf-8"?>
<table xmlns="http://schemas.openxmlformats.org/spreadsheetml/2006/main" id="1" name="Table1" displayName="Table1" ref="A13:G265" totalsRowShown="0" headerRowDxfId="39" dataDxfId="38" headerRowCellStyle="Normal 3">
  <autoFilter ref="A13:G265"/>
  <tableColumns count="7">
    <tableColumn id="1" name="Province" dataDxfId="37" dataCellStyle="Normal 3"/>
    <tableColumn id="2" name="Location"/>
    <tableColumn id="3" name="Date" dataDxfId="36"/>
    <tableColumn id="4" name="Month" dataDxfId="35">
      <calculatedColumnFormula>CHOOSE(MONTH(C14),"January","February","March","April","May","June","July","August","September","October","November","December")</calculatedColumnFormula>
    </tableColumn>
    <tableColumn id="5" name="Year" dataDxfId="34"/>
    <tableColumn id="6" name="Category" dataDxfId="33" dataCellStyle="Normal 3"/>
    <tableColumn id="7" name="Weight"/>
  </tableColumns>
  <tableStyleInfo name="TableStyleMedium2" showFirstColumn="0" showLastColumn="0" showRowStripes="1" showColumnStripes="0"/>
</table>
</file>

<file path=xl/tables/table3.xml><?xml version="1.0" encoding="utf-8"?>
<table xmlns="http://schemas.openxmlformats.org/spreadsheetml/2006/main" id="6" name="WasteTable" displayName="WasteTable" ref="A3:N15" totalsRowShown="0" headerRowDxfId="32" dataDxfId="31" headerRowCellStyle="Percent" dataCellStyle="Percent">
  <autoFilter ref="A3:N15"/>
  <tableColumns count="14">
    <tableColumn id="1" name="Column1" dataDxfId="30"/>
    <tableColumn id="2" name="Column2" dataDxfId="29"/>
    <tableColumn id="3" name="Column3" dataDxfId="28" dataCellStyle="Percent"/>
    <tableColumn id="4" name="Column4" dataDxfId="27" dataCellStyle="Percent"/>
    <tableColumn id="5" name="Column5" dataDxfId="26" dataCellStyle="Percent"/>
    <tableColumn id="6" name="Column6" dataDxfId="25" dataCellStyle="Percent"/>
    <tableColumn id="7" name="Column7" dataDxfId="24" dataCellStyle="Percent"/>
    <tableColumn id="8" name="Column8" dataDxfId="23"/>
    <tableColumn id="9" name="Column9" dataDxfId="22" dataCellStyle="Percent"/>
    <tableColumn id="10" name="Column10" dataDxfId="21" dataCellStyle="Percent"/>
    <tableColumn id="11" name="Column11" dataDxfId="20"/>
    <tableColumn id="12" name="Column12" dataDxfId="19" dataCellStyle="Percent"/>
    <tableColumn id="13" name="Column13" dataDxfId="18" dataCellStyle="Percent"/>
    <tableColumn id="14" name="Column14" dataDxfId="17"/>
  </tableColumns>
  <tableStyleInfo name="TableStyleMedium2" showFirstColumn="0" showLastColumn="0" showRowStripes="1" showColumnStripes="0"/>
</table>
</file>

<file path=xl/tables/table4.xml><?xml version="1.0" encoding="utf-8"?>
<table xmlns="http://schemas.openxmlformats.org/spreadsheetml/2006/main" id="2" name="Spills" displayName="Spills" ref="A1:O19" totalsRowShown="0" headerRowDxfId="16" dataDxfId="15">
  <autoFilter ref="A1:O19"/>
  <tableColumns count="15">
    <tableColumn id="1" name="Hazard Number" dataDxfId="14"/>
    <tableColumn id="5" name="Hazard Date" dataDxfId="13"/>
    <tableColumn id="17" name="Reported Date" dataDxfId="12"/>
    <tableColumn id="6" name="Month" dataDxfId="11">
      <calculatedColumnFormula>CHOOSE(MONTH(Spills[[#This Row],[Hazard Date]]),"Jan","Feb","Mar","Apr","May","Jun","Jul","Aug","Sept","Oct","Nov","Dec")</calculatedColumnFormula>
    </tableColumn>
    <tableColumn id="18" name="Year" dataDxfId="10">
      <calculatedColumnFormula>TEXT(Spills[[#This Row],[Hazard Date]],"YYYY")</calculatedColumnFormula>
    </tableColumn>
    <tableColumn id="9" name="Hazard Time" dataDxfId="9"/>
    <tableColumn id="10" name="Reported Time" dataDxfId="8"/>
    <tableColumn id="7" name="Province" dataDxfId="7"/>
    <tableColumn id="14" name="City" dataDxfId="6"/>
    <tableColumn id="15" name="Address" dataDxfId="5"/>
    <tableColumn id="8" name="What happened?" dataDxfId="4"/>
    <tableColumn id="11" name="Root Cause" dataDxfId="3"/>
    <tableColumn id="16" name="Root Cause Description" dataDxfId="2"/>
    <tableColumn id="12" name="Corrective Actions" dataDxfId="1"/>
    <tableColumn id="13" name="Corrective A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drawing" Target="../drawings/drawing3.xml"/><Relationship Id="rId5" Type="http://schemas.openxmlformats.org/officeDocument/2006/relationships/printerSettings" Target="../printerSettings/printerSettings2.bin"/><Relationship Id="rId4"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6.bin"/><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ivotTable" Target="../pivotTables/pivotTable10.xml"/><Relationship Id="rId7" Type="http://schemas.openxmlformats.org/officeDocument/2006/relationships/vmlDrawing" Target="../drawings/vmlDrawing2.v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rinterSettings" Target="../printerSettings/printerSettings8.bin"/><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1.bin"/><Relationship Id="rId1" Type="http://schemas.openxmlformats.org/officeDocument/2006/relationships/pivotTable" Target="../pivotTables/pivotTable13.xml"/><Relationship Id="rId4" Type="http://schemas.microsoft.com/office/2007/relationships/slicer" Target="../slicers/slicer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83"/>
  <sheetViews>
    <sheetView zoomScale="90" zoomScaleNormal="90" workbookViewId="0">
      <pane xSplit="3" ySplit="2" topLeftCell="D60" activePane="bottomRight" state="frozen"/>
      <selection pane="topRight" activeCell="D1" sqref="D1"/>
      <selection pane="bottomLeft" activeCell="A3" sqref="A3"/>
      <selection pane="bottomRight" activeCell="O75" sqref="O75"/>
    </sheetView>
  </sheetViews>
  <sheetFormatPr defaultRowHeight="15" x14ac:dyDescent="0.25"/>
  <cols>
    <col min="1" max="2" width="9.140625" style="1"/>
    <col min="3" max="3" width="9.140625" style="3"/>
    <col min="4" max="4" width="11.42578125" style="1" customWidth="1"/>
    <col min="5" max="5" width="11.140625" style="1" customWidth="1"/>
    <col min="6" max="6" width="9.28515625" style="1" customWidth="1"/>
    <col min="7" max="7" width="9.140625" style="1"/>
    <col min="8" max="8" width="12.85546875" style="1" bestFit="1" customWidth="1"/>
    <col min="9" max="9" width="9.140625" style="1"/>
    <col min="10" max="10" width="12.7109375" style="1" customWidth="1"/>
    <col min="11" max="13" width="9.140625" style="5"/>
    <col min="14" max="18" width="9.140625" style="1"/>
    <col min="19" max="19" width="13.28515625" style="1" bestFit="1" customWidth="1"/>
    <col min="20" max="22" width="13.28515625" style="1" customWidth="1"/>
    <col min="23" max="23" width="11.85546875" style="1" customWidth="1"/>
    <col min="24" max="16384" width="9.140625" style="1"/>
  </cols>
  <sheetData>
    <row r="1" spans="1:23" x14ac:dyDescent="0.25">
      <c r="D1" s="337" t="s">
        <v>28</v>
      </c>
      <c r="E1" s="337"/>
      <c r="F1" s="337"/>
      <c r="G1" s="337"/>
      <c r="H1" s="337"/>
      <c r="I1" s="337"/>
      <c r="J1" s="337"/>
      <c r="K1" s="337"/>
      <c r="L1" s="337"/>
      <c r="M1" s="337"/>
      <c r="N1" s="6"/>
      <c r="O1" s="6"/>
    </row>
    <row r="2" spans="1:23" s="2" customFormat="1" ht="60" x14ac:dyDescent="0.25">
      <c r="A2" s="1" t="s">
        <v>0</v>
      </c>
      <c r="B2" s="1" t="s">
        <v>1</v>
      </c>
      <c r="C2" s="3" t="s">
        <v>2</v>
      </c>
      <c r="D2" s="2" t="s">
        <v>45</v>
      </c>
      <c r="E2" s="2" t="s">
        <v>6</v>
      </c>
      <c r="F2" s="2" t="s">
        <v>7</v>
      </c>
      <c r="G2" s="2" t="s">
        <v>25</v>
      </c>
      <c r="H2" s="2" t="s">
        <v>8</v>
      </c>
      <c r="I2" s="2" t="s">
        <v>65</v>
      </c>
      <c r="J2" s="2" t="s">
        <v>10</v>
      </c>
      <c r="K2" s="4" t="s">
        <v>29</v>
      </c>
      <c r="L2" s="4" t="s">
        <v>26</v>
      </c>
      <c r="M2" s="2" t="s">
        <v>11</v>
      </c>
      <c r="N2" s="2" t="s">
        <v>52</v>
      </c>
      <c r="O2" s="2" t="s">
        <v>22</v>
      </c>
      <c r="P2" s="2" t="s">
        <v>23</v>
      </c>
      <c r="Q2" s="2" t="s">
        <v>59</v>
      </c>
      <c r="S2" s="2" t="s">
        <v>60</v>
      </c>
      <c r="T2" s="2" t="s">
        <v>62</v>
      </c>
      <c r="U2" s="2" t="s">
        <v>63</v>
      </c>
      <c r="V2" s="2" t="s">
        <v>64</v>
      </c>
      <c r="W2" s="2" t="s">
        <v>61</v>
      </c>
    </row>
    <row r="3" spans="1:23" x14ac:dyDescent="0.25">
      <c r="A3" s="8" t="s">
        <v>4</v>
      </c>
      <c r="B3" s="8" t="s">
        <v>12</v>
      </c>
      <c r="C3" s="9">
        <v>38808</v>
      </c>
      <c r="D3" s="8" t="e">
        <f>#REF!+#REF!</f>
        <v>#REF!</v>
      </c>
      <c r="E3" s="8" t="e">
        <f>#REF!+#REF!</f>
        <v>#REF!</v>
      </c>
      <c r="F3" s="8" t="e">
        <f>#REF!+#REF!</f>
        <v>#REF!</v>
      </c>
      <c r="G3" s="8" t="e">
        <f>#REF!+#REF!</f>
        <v>#REF!</v>
      </c>
      <c r="H3" s="8" t="e">
        <f>#REF!+#REF!</f>
        <v>#REF!</v>
      </c>
      <c r="I3" s="8" t="e">
        <f>#REF!+#REF!</f>
        <v>#REF!</v>
      </c>
      <c r="J3" s="8" t="e">
        <f>#REF!+#REF!</f>
        <v>#REF!</v>
      </c>
      <c r="K3" s="23" t="e">
        <f>SUM(D3:J3)</f>
        <v>#REF!</v>
      </c>
      <c r="L3" s="23" t="e">
        <f>E3+F3</f>
        <v>#REF!</v>
      </c>
      <c r="M3" s="23" t="e">
        <f>D3+J3</f>
        <v>#REF!</v>
      </c>
      <c r="N3" s="24" t="e">
        <f>M3/K3</f>
        <v>#REF!</v>
      </c>
      <c r="O3" s="8"/>
      <c r="P3" s="8"/>
      <c r="Q3" s="1" t="e">
        <f>#REF!+#REF!</f>
        <v>#REF!</v>
      </c>
    </row>
    <row r="4" spans="1:23" x14ac:dyDescent="0.25">
      <c r="A4" s="8" t="s">
        <v>4</v>
      </c>
      <c r="B4" s="8" t="s">
        <v>13</v>
      </c>
      <c r="C4" s="9">
        <v>38838</v>
      </c>
      <c r="D4" s="8" t="e">
        <f>#REF!+#REF!</f>
        <v>#REF!</v>
      </c>
      <c r="E4" s="8" t="e">
        <f>#REF!+#REF!</f>
        <v>#REF!</v>
      </c>
      <c r="F4" s="8" t="e">
        <f>#REF!+#REF!</f>
        <v>#REF!</v>
      </c>
      <c r="G4" s="8" t="e">
        <f>#REF!+#REF!</f>
        <v>#REF!</v>
      </c>
      <c r="H4" s="8" t="e">
        <f>#REF!+#REF!</f>
        <v>#REF!</v>
      </c>
      <c r="I4" s="8" t="e">
        <f>#REF!+#REF!</f>
        <v>#REF!</v>
      </c>
      <c r="J4" s="8" t="e">
        <f>#REF!+#REF!</f>
        <v>#REF!</v>
      </c>
      <c r="K4" s="23" t="e">
        <f t="shared" ref="K4:K67" si="0">SUM(D4:J4)</f>
        <v>#REF!</v>
      </c>
      <c r="L4" s="23" t="e">
        <f t="shared" ref="L4:L67" si="1">E4+F4</f>
        <v>#REF!</v>
      </c>
      <c r="M4" s="23" t="e">
        <f t="shared" ref="M4:M67" si="2">D4+J4</f>
        <v>#REF!</v>
      </c>
      <c r="N4" s="24" t="e">
        <f t="shared" ref="N4:N67" si="3">M4/K4</f>
        <v>#REF!</v>
      </c>
      <c r="O4" s="8"/>
      <c r="P4" s="8"/>
      <c r="Q4" s="1" t="e">
        <f>#REF!+#REF!</f>
        <v>#REF!</v>
      </c>
    </row>
    <row r="5" spans="1:23" x14ac:dyDescent="0.25">
      <c r="A5" s="8" t="s">
        <v>4</v>
      </c>
      <c r="B5" s="8" t="s">
        <v>13</v>
      </c>
      <c r="C5" s="9">
        <v>38869</v>
      </c>
      <c r="D5" s="8" t="e">
        <f>#REF!+#REF!</f>
        <v>#REF!</v>
      </c>
      <c r="E5" s="8" t="e">
        <f>#REF!+#REF!</f>
        <v>#REF!</v>
      </c>
      <c r="F5" s="8" t="e">
        <f>#REF!+#REF!</f>
        <v>#REF!</v>
      </c>
      <c r="G5" s="8" t="e">
        <f>#REF!+#REF!</f>
        <v>#REF!</v>
      </c>
      <c r="H5" s="8" t="e">
        <f>#REF!+#REF!</f>
        <v>#REF!</v>
      </c>
      <c r="I5" s="8" t="e">
        <f>#REF!+#REF!</f>
        <v>#REF!</v>
      </c>
      <c r="J5" s="8" t="e">
        <f>#REF!+#REF!</f>
        <v>#REF!</v>
      </c>
      <c r="K5" s="23" t="e">
        <f t="shared" si="0"/>
        <v>#REF!</v>
      </c>
      <c r="L5" s="23" t="e">
        <f t="shared" si="1"/>
        <v>#REF!</v>
      </c>
      <c r="M5" s="23" t="e">
        <f t="shared" si="2"/>
        <v>#REF!</v>
      </c>
      <c r="N5" s="24" t="e">
        <f t="shared" si="3"/>
        <v>#REF!</v>
      </c>
      <c r="O5" s="8"/>
      <c r="P5" s="8"/>
      <c r="Q5" s="1" t="e">
        <f>#REF!+#REF!</f>
        <v>#REF!</v>
      </c>
    </row>
    <row r="6" spans="1:23" x14ac:dyDescent="0.25">
      <c r="A6" s="8" t="s">
        <v>4</v>
      </c>
      <c r="B6" s="8" t="s">
        <v>13</v>
      </c>
      <c r="C6" s="9">
        <v>38899</v>
      </c>
      <c r="D6" s="8" t="e">
        <f>#REF!+#REF!</f>
        <v>#REF!</v>
      </c>
      <c r="E6" s="8" t="e">
        <f>#REF!+#REF!</f>
        <v>#REF!</v>
      </c>
      <c r="F6" s="8" t="e">
        <f>#REF!+#REF!</f>
        <v>#REF!</v>
      </c>
      <c r="G6" s="8" t="e">
        <f>#REF!+#REF!</f>
        <v>#REF!</v>
      </c>
      <c r="H6" s="8" t="e">
        <f>#REF!+#REF!</f>
        <v>#REF!</v>
      </c>
      <c r="I6" s="8" t="e">
        <f>#REF!+#REF!</f>
        <v>#REF!</v>
      </c>
      <c r="J6" s="8" t="e">
        <f>#REF!+#REF!</f>
        <v>#REF!</v>
      </c>
      <c r="K6" s="23" t="e">
        <f t="shared" si="0"/>
        <v>#REF!</v>
      </c>
      <c r="L6" s="23" t="e">
        <f t="shared" si="1"/>
        <v>#REF!</v>
      </c>
      <c r="M6" s="23" t="e">
        <f t="shared" si="2"/>
        <v>#REF!</v>
      </c>
      <c r="N6" s="24" t="e">
        <f t="shared" si="3"/>
        <v>#REF!</v>
      </c>
      <c r="O6" s="8"/>
      <c r="P6" s="8"/>
      <c r="Q6" s="1" t="e">
        <f>#REF!+#REF!</f>
        <v>#REF!</v>
      </c>
    </row>
    <row r="7" spans="1:23" x14ac:dyDescent="0.25">
      <c r="A7" s="8" t="s">
        <v>4</v>
      </c>
      <c r="B7" s="8" t="s">
        <v>14</v>
      </c>
      <c r="C7" s="9">
        <v>38930</v>
      </c>
      <c r="D7" s="8" t="e">
        <f>#REF!+#REF!</f>
        <v>#REF!</v>
      </c>
      <c r="E7" s="8" t="e">
        <f>#REF!+#REF!</f>
        <v>#REF!</v>
      </c>
      <c r="F7" s="8" t="e">
        <f>#REF!+#REF!</f>
        <v>#REF!</v>
      </c>
      <c r="G7" s="8" t="e">
        <f>#REF!+#REF!</f>
        <v>#REF!</v>
      </c>
      <c r="H7" s="8" t="e">
        <f>#REF!+#REF!</f>
        <v>#REF!</v>
      </c>
      <c r="I7" s="8" t="e">
        <f>#REF!+#REF!</f>
        <v>#REF!</v>
      </c>
      <c r="J7" s="8" t="e">
        <f>#REF!+#REF!</f>
        <v>#REF!</v>
      </c>
      <c r="K7" s="23" t="e">
        <f t="shared" si="0"/>
        <v>#REF!</v>
      </c>
      <c r="L7" s="23" t="e">
        <f t="shared" si="1"/>
        <v>#REF!</v>
      </c>
      <c r="M7" s="23" t="e">
        <f t="shared" si="2"/>
        <v>#REF!</v>
      </c>
      <c r="N7" s="24" t="e">
        <f t="shared" si="3"/>
        <v>#REF!</v>
      </c>
      <c r="O7" s="8"/>
      <c r="P7" s="8"/>
      <c r="Q7" s="1" t="e">
        <f>#REF!+#REF!</f>
        <v>#REF!</v>
      </c>
    </row>
    <row r="8" spans="1:23" x14ac:dyDescent="0.25">
      <c r="A8" s="8" t="s">
        <v>4</v>
      </c>
      <c r="B8" s="8" t="s">
        <v>14</v>
      </c>
      <c r="C8" s="9">
        <v>38961</v>
      </c>
      <c r="D8" s="8" t="e">
        <f>#REF!+#REF!</f>
        <v>#REF!</v>
      </c>
      <c r="E8" s="8" t="e">
        <f>#REF!+#REF!</f>
        <v>#REF!</v>
      </c>
      <c r="F8" s="8" t="e">
        <f>#REF!+#REF!</f>
        <v>#REF!</v>
      </c>
      <c r="G8" s="8" t="e">
        <f>#REF!+#REF!</f>
        <v>#REF!</v>
      </c>
      <c r="H8" s="8" t="e">
        <f>#REF!+#REF!</f>
        <v>#REF!</v>
      </c>
      <c r="I8" s="8" t="e">
        <f>#REF!+#REF!</f>
        <v>#REF!</v>
      </c>
      <c r="J8" s="8" t="e">
        <f>#REF!+#REF!</f>
        <v>#REF!</v>
      </c>
      <c r="K8" s="23" t="e">
        <f t="shared" si="0"/>
        <v>#REF!</v>
      </c>
      <c r="L8" s="23" t="e">
        <f t="shared" si="1"/>
        <v>#REF!</v>
      </c>
      <c r="M8" s="23" t="e">
        <f t="shared" si="2"/>
        <v>#REF!</v>
      </c>
      <c r="N8" s="24" t="e">
        <f t="shared" si="3"/>
        <v>#REF!</v>
      </c>
      <c r="O8" s="8"/>
      <c r="P8" s="8"/>
      <c r="Q8" s="1" t="e">
        <f>#REF!+#REF!</f>
        <v>#REF!</v>
      </c>
    </row>
    <row r="9" spans="1:23" x14ac:dyDescent="0.25">
      <c r="A9" s="8" t="s">
        <v>4</v>
      </c>
      <c r="B9" s="8" t="s">
        <v>14</v>
      </c>
      <c r="C9" s="9">
        <v>38991</v>
      </c>
      <c r="D9" s="8" t="e">
        <f>#REF!+#REF!</f>
        <v>#REF!</v>
      </c>
      <c r="E9" s="8" t="e">
        <f>#REF!+#REF!</f>
        <v>#REF!</v>
      </c>
      <c r="F9" s="8" t="e">
        <f>#REF!+#REF!</f>
        <v>#REF!</v>
      </c>
      <c r="G9" s="8" t="e">
        <f>#REF!+#REF!</f>
        <v>#REF!</v>
      </c>
      <c r="H9" s="8" t="e">
        <f>#REF!+#REF!</f>
        <v>#REF!</v>
      </c>
      <c r="I9" s="8" t="e">
        <f>#REF!+#REF!</f>
        <v>#REF!</v>
      </c>
      <c r="J9" s="8" t="e">
        <f>#REF!+#REF!</f>
        <v>#REF!</v>
      </c>
      <c r="K9" s="23" t="e">
        <f t="shared" si="0"/>
        <v>#REF!</v>
      </c>
      <c r="L9" s="23" t="e">
        <f t="shared" si="1"/>
        <v>#REF!</v>
      </c>
      <c r="M9" s="23" t="e">
        <f t="shared" si="2"/>
        <v>#REF!</v>
      </c>
      <c r="N9" s="24" t="e">
        <f t="shared" si="3"/>
        <v>#REF!</v>
      </c>
      <c r="O9" s="8"/>
      <c r="P9" s="8"/>
      <c r="Q9" s="1" t="e">
        <f>#REF!+#REF!</f>
        <v>#REF!</v>
      </c>
    </row>
    <row r="10" spans="1:23" x14ac:dyDescent="0.25">
      <c r="A10" s="8" t="s">
        <v>16</v>
      </c>
      <c r="B10" s="8" t="s">
        <v>15</v>
      </c>
      <c r="C10" s="9">
        <v>39022</v>
      </c>
      <c r="D10" s="8" t="e">
        <f>#REF!+#REF!</f>
        <v>#REF!</v>
      </c>
      <c r="E10" s="8" t="e">
        <f>#REF!+#REF!</f>
        <v>#REF!</v>
      </c>
      <c r="F10" s="8" t="e">
        <f>#REF!+#REF!</f>
        <v>#REF!</v>
      </c>
      <c r="G10" s="8" t="e">
        <f>#REF!+#REF!</f>
        <v>#REF!</v>
      </c>
      <c r="H10" s="8" t="e">
        <f>#REF!+#REF!</f>
        <v>#REF!</v>
      </c>
      <c r="I10" s="8" t="e">
        <f>#REF!+#REF!</f>
        <v>#REF!</v>
      </c>
      <c r="J10" s="8" t="e">
        <f>#REF!+#REF!</f>
        <v>#REF!</v>
      </c>
      <c r="K10" s="23" t="e">
        <f t="shared" si="0"/>
        <v>#REF!</v>
      </c>
      <c r="L10" s="23" t="e">
        <f t="shared" si="1"/>
        <v>#REF!</v>
      </c>
      <c r="M10" s="23" t="e">
        <f t="shared" si="2"/>
        <v>#REF!</v>
      </c>
      <c r="N10" s="24" t="e">
        <f t="shared" si="3"/>
        <v>#REF!</v>
      </c>
      <c r="O10" s="8"/>
      <c r="P10" s="8"/>
      <c r="Q10" s="1" t="e">
        <f>#REF!+#REF!</f>
        <v>#REF!</v>
      </c>
    </row>
    <row r="11" spans="1:23" x14ac:dyDescent="0.25">
      <c r="A11" s="8" t="s">
        <v>16</v>
      </c>
      <c r="B11" s="8" t="s">
        <v>15</v>
      </c>
      <c r="C11" s="9">
        <v>39052</v>
      </c>
      <c r="D11" s="8" t="e">
        <f>#REF!+#REF!</f>
        <v>#REF!</v>
      </c>
      <c r="E11" s="8" t="e">
        <f>#REF!+#REF!</f>
        <v>#REF!</v>
      </c>
      <c r="F11" s="8" t="e">
        <f>#REF!+#REF!</f>
        <v>#REF!</v>
      </c>
      <c r="G11" s="8" t="e">
        <f>#REF!+#REF!</f>
        <v>#REF!</v>
      </c>
      <c r="H11" s="8" t="e">
        <f>#REF!+#REF!</f>
        <v>#REF!</v>
      </c>
      <c r="I11" s="8" t="e">
        <f>#REF!+#REF!</f>
        <v>#REF!</v>
      </c>
      <c r="J11" s="8" t="e">
        <f>#REF!+#REF!</f>
        <v>#REF!</v>
      </c>
      <c r="K11" s="23" t="e">
        <f t="shared" si="0"/>
        <v>#REF!</v>
      </c>
      <c r="L11" s="23" t="e">
        <f t="shared" si="1"/>
        <v>#REF!</v>
      </c>
      <c r="M11" s="23" t="e">
        <f t="shared" si="2"/>
        <v>#REF!</v>
      </c>
      <c r="N11" s="24" t="e">
        <f t="shared" si="3"/>
        <v>#REF!</v>
      </c>
      <c r="O11" s="8"/>
      <c r="P11" s="8"/>
      <c r="Q11" s="1" t="e">
        <f>#REF!+#REF!</f>
        <v>#REF!</v>
      </c>
    </row>
    <row r="12" spans="1:23" x14ac:dyDescent="0.25">
      <c r="A12" s="8" t="s">
        <v>16</v>
      </c>
      <c r="B12" s="8" t="s">
        <v>15</v>
      </c>
      <c r="C12" s="9">
        <v>39083</v>
      </c>
      <c r="D12" s="8" t="e">
        <f>#REF!+#REF!</f>
        <v>#REF!</v>
      </c>
      <c r="E12" s="8" t="e">
        <f>#REF!+#REF!</f>
        <v>#REF!</v>
      </c>
      <c r="F12" s="8" t="e">
        <f>#REF!+#REF!</f>
        <v>#REF!</v>
      </c>
      <c r="G12" s="8" t="e">
        <f>#REF!+#REF!</f>
        <v>#REF!</v>
      </c>
      <c r="H12" s="8" t="e">
        <f>#REF!+#REF!</f>
        <v>#REF!</v>
      </c>
      <c r="I12" s="8" t="e">
        <f>#REF!+#REF!</f>
        <v>#REF!</v>
      </c>
      <c r="J12" s="8" t="e">
        <f>#REF!+#REF!</f>
        <v>#REF!</v>
      </c>
      <c r="K12" s="23" t="e">
        <f t="shared" si="0"/>
        <v>#REF!</v>
      </c>
      <c r="L12" s="23" t="e">
        <f t="shared" si="1"/>
        <v>#REF!</v>
      </c>
      <c r="M12" s="23" t="e">
        <f t="shared" si="2"/>
        <v>#REF!</v>
      </c>
      <c r="N12" s="24" t="e">
        <f t="shared" si="3"/>
        <v>#REF!</v>
      </c>
      <c r="O12" s="8"/>
      <c r="P12" s="8"/>
      <c r="Q12" s="1" t="e">
        <f>#REF!+#REF!</f>
        <v>#REF!</v>
      </c>
    </row>
    <row r="13" spans="1:23" x14ac:dyDescent="0.25">
      <c r="A13" s="8" t="s">
        <v>16</v>
      </c>
      <c r="B13" s="8" t="s">
        <v>12</v>
      </c>
      <c r="C13" s="9">
        <v>39114</v>
      </c>
      <c r="D13" s="8" t="e">
        <f>#REF!+#REF!</f>
        <v>#REF!</v>
      </c>
      <c r="E13" s="8" t="e">
        <f>#REF!+#REF!</f>
        <v>#REF!</v>
      </c>
      <c r="F13" s="8" t="e">
        <f>#REF!+#REF!</f>
        <v>#REF!</v>
      </c>
      <c r="G13" s="8" t="e">
        <f>#REF!+#REF!</f>
        <v>#REF!</v>
      </c>
      <c r="H13" s="8" t="e">
        <f>#REF!+#REF!</f>
        <v>#REF!</v>
      </c>
      <c r="I13" s="8" t="e">
        <f>#REF!+#REF!</f>
        <v>#REF!</v>
      </c>
      <c r="J13" s="8" t="e">
        <f>#REF!+#REF!</f>
        <v>#REF!</v>
      </c>
      <c r="K13" s="23" t="e">
        <f t="shared" si="0"/>
        <v>#REF!</v>
      </c>
      <c r="L13" s="23" t="e">
        <f t="shared" si="1"/>
        <v>#REF!</v>
      </c>
      <c r="M13" s="23" t="e">
        <f t="shared" si="2"/>
        <v>#REF!</v>
      </c>
      <c r="N13" s="24" t="e">
        <f t="shared" si="3"/>
        <v>#REF!</v>
      </c>
      <c r="O13" s="8"/>
      <c r="P13" s="8"/>
      <c r="Q13" s="1" t="e">
        <f>#REF!+#REF!</f>
        <v>#REF!</v>
      </c>
    </row>
    <row r="14" spans="1:23" x14ac:dyDescent="0.25">
      <c r="A14" s="8" t="s">
        <v>16</v>
      </c>
      <c r="B14" s="8" t="s">
        <v>12</v>
      </c>
      <c r="C14" s="9">
        <v>39142</v>
      </c>
      <c r="D14" s="8" t="e">
        <f>#REF!+#REF!</f>
        <v>#REF!</v>
      </c>
      <c r="E14" s="8" t="e">
        <f>#REF!+#REF!</f>
        <v>#REF!</v>
      </c>
      <c r="F14" s="8" t="e">
        <f>#REF!+#REF!</f>
        <v>#REF!</v>
      </c>
      <c r="G14" s="8" t="e">
        <f>#REF!+#REF!</f>
        <v>#REF!</v>
      </c>
      <c r="H14" s="8" t="e">
        <f>#REF!+#REF!</f>
        <v>#REF!</v>
      </c>
      <c r="I14" s="8" t="e">
        <f>#REF!+#REF!</f>
        <v>#REF!</v>
      </c>
      <c r="J14" s="8" t="e">
        <f>#REF!+#REF!</f>
        <v>#REF!</v>
      </c>
      <c r="K14" s="23" t="e">
        <f t="shared" si="0"/>
        <v>#REF!</v>
      </c>
      <c r="L14" s="23" t="e">
        <f t="shared" si="1"/>
        <v>#REF!</v>
      </c>
      <c r="M14" s="23" t="e">
        <f t="shared" si="2"/>
        <v>#REF!</v>
      </c>
      <c r="N14" s="24" t="e">
        <f t="shared" si="3"/>
        <v>#REF!</v>
      </c>
      <c r="O14" s="8"/>
      <c r="P14" s="8"/>
      <c r="Q14" s="1" t="e">
        <f>#REF!+#REF!</f>
        <v>#REF!</v>
      </c>
      <c r="S14" s="1" t="e">
        <f>AVERAGE(D3:D14)</f>
        <v>#REF!</v>
      </c>
      <c r="T14" s="1" t="e">
        <f>AVERAGE(E3:E14)</f>
        <v>#REF!</v>
      </c>
      <c r="U14" s="1" t="e">
        <f>AVERAGE(F3:F14)</f>
        <v>#REF!</v>
      </c>
      <c r="V14" s="1" t="e">
        <f>AVERAGE(G3:G14)</f>
        <v>#REF!</v>
      </c>
    </row>
    <row r="15" spans="1:23" x14ac:dyDescent="0.25">
      <c r="A15" s="8" t="s">
        <v>16</v>
      </c>
      <c r="B15" s="8" t="s">
        <v>12</v>
      </c>
      <c r="C15" s="9">
        <v>39173</v>
      </c>
      <c r="D15" s="8" t="e">
        <f>#REF!+#REF!</f>
        <v>#REF!</v>
      </c>
      <c r="E15" s="8" t="e">
        <f>#REF!+#REF!</f>
        <v>#REF!</v>
      </c>
      <c r="F15" s="8" t="e">
        <f>#REF!+#REF!</f>
        <v>#REF!</v>
      </c>
      <c r="G15" s="8" t="e">
        <f>#REF!+#REF!</f>
        <v>#REF!</v>
      </c>
      <c r="H15" s="8" t="e">
        <f>#REF!+#REF!</f>
        <v>#REF!</v>
      </c>
      <c r="I15" s="8" t="e">
        <f>#REF!+#REF!</f>
        <v>#REF!</v>
      </c>
      <c r="J15" s="8" t="e">
        <f>#REF!+#REF!</f>
        <v>#REF!</v>
      </c>
      <c r="K15" s="23" t="e">
        <f t="shared" si="0"/>
        <v>#REF!</v>
      </c>
      <c r="L15" s="23" t="e">
        <f t="shared" si="1"/>
        <v>#REF!</v>
      </c>
      <c r="M15" s="23" t="e">
        <f t="shared" si="2"/>
        <v>#REF!</v>
      </c>
      <c r="N15" s="24" t="e">
        <f t="shared" si="3"/>
        <v>#REF!</v>
      </c>
      <c r="O15" s="8"/>
      <c r="P15" s="8"/>
      <c r="Q15" s="1" t="e">
        <f>#REF!+#REF!</f>
        <v>#REF!</v>
      </c>
      <c r="S15" s="1" t="e">
        <f t="shared" ref="S15:S75" si="4">AVERAGE(D4:D15)</f>
        <v>#REF!</v>
      </c>
      <c r="T15" s="1" t="e">
        <f t="shared" ref="T15:T78" si="5">AVERAGE(E4:E15)</f>
        <v>#REF!</v>
      </c>
      <c r="U15" s="1" t="e">
        <f t="shared" ref="U15:U78" si="6">AVERAGE(F4:F15)</f>
        <v>#REF!</v>
      </c>
      <c r="V15" s="1" t="e">
        <f t="shared" ref="V15:V78" si="7">AVERAGE(G4:G15)</f>
        <v>#REF!</v>
      </c>
    </row>
    <row r="16" spans="1:23" x14ac:dyDescent="0.25">
      <c r="A16" s="8" t="s">
        <v>16</v>
      </c>
      <c r="B16" s="8" t="s">
        <v>13</v>
      </c>
      <c r="C16" s="9">
        <v>39203</v>
      </c>
      <c r="D16" s="8" t="e">
        <f>#REF!+#REF!</f>
        <v>#REF!</v>
      </c>
      <c r="E16" s="8" t="e">
        <f>#REF!+#REF!</f>
        <v>#REF!</v>
      </c>
      <c r="F16" s="8" t="e">
        <f>#REF!+#REF!</f>
        <v>#REF!</v>
      </c>
      <c r="G16" s="8" t="e">
        <f>#REF!+#REF!</f>
        <v>#REF!</v>
      </c>
      <c r="H16" s="8" t="e">
        <f>#REF!+#REF!</f>
        <v>#REF!</v>
      </c>
      <c r="I16" s="8" t="e">
        <f>#REF!+#REF!</f>
        <v>#REF!</v>
      </c>
      <c r="J16" s="8" t="e">
        <f>#REF!+#REF!</f>
        <v>#REF!</v>
      </c>
      <c r="K16" s="23" t="e">
        <f t="shared" si="0"/>
        <v>#REF!</v>
      </c>
      <c r="L16" s="23" t="e">
        <f t="shared" si="1"/>
        <v>#REF!</v>
      </c>
      <c r="M16" s="23" t="e">
        <f t="shared" si="2"/>
        <v>#REF!</v>
      </c>
      <c r="N16" s="24" t="e">
        <f t="shared" si="3"/>
        <v>#REF!</v>
      </c>
      <c r="O16" s="8"/>
      <c r="P16" s="8"/>
      <c r="Q16" s="1" t="e">
        <f>#REF!+#REF!</f>
        <v>#REF!</v>
      </c>
      <c r="S16" s="1" t="e">
        <f t="shared" si="4"/>
        <v>#REF!</v>
      </c>
      <c r="T16" s="1" t="e">
        <f t="shared" si="5"/>
        <v>#REF!</v>
      </c>
      <c r="U16" s="1" t="e">
        <f t="shared" si="6"/>
        <v>#REF!</v>
      </c>
      <c r="V16" s="1" t="e">
        <f t="shared" si="7"/>
        <v>#REF!</v>
      </c>
    </row>
    <row r="17" spans="1:22" x14ac:dyDescent="0.25">
      <c r="A17" s="8" t="s">
        <v>16</v>
      </c>
      <c r="B17" s="8" t="s">
        <v>13</v>
      </c>
      <c r="C17" s="9">
        <v>39234</v>
      </c>
      <c r="D17" s="8" t="e">
        <f>#REF!+#REF!</f>
        <v>#REF!</v>
      </c>
      <c r="E17" s="8" t="e">
        <f>#REF!+#REF!</f>
        <v>#REF!</v>
      </c>
      <c r="F17" s="8" t="e">
        <f>#REF!+#REF!</f>
        <v>#REF!</v>
      </c>
      <c r="G17" s="8" t="e">
        <f>#REF!+#REF!</f>
        <v>#REF!</v>
      </c>
      <c r="H17" s="8" t="e">
        <f>#REF!+#REF!</f>
        <v>#REF!</v>
      </c>
      <c r="I17" s="8" t="e">
        <f>#REF!+#REF!</f>
        <v>#REF!</v>
      </c>
      <c r="J17" s="8" t="e">
        <f>#REF!+#REF!</f>
        <v>#REF!</v>
      </c>
      <c r="K17" s="23" t="e">
        <f t="shared" si="0"/>
        <v>#REF!</v>
      </c>
      <c r="L17" s="23" t="e">
        <f t="shared" si="1"/>
        <v>#REF!</v>
      </c>
      <c r="M17" s="23" t="e">
        <f t="shared" si="2"/>
        <v>#REF!</v>
      </c>
      <c r="N17" s="24" t="e">
        <f t="shared" si="3"/>
        <v>#REF!</v>
      </c>
      <c r="O17" s="8"/>
      <c r="P17" s="8"/>
      <c r="Q17" s="1" t="e">
        <f>#REF!+#REF!</f>
        <v>#REF!</v>
      </c>
      <c r="S17" s="1" t="e">
        <f t="shared" si="4"/>
        <v>#REF!</v>
      </c>
      <c r="T17" s="1" t="e">
        <f t="shared" si="5"/>
        <v>#REF!</v>
      </c>
      <c r="U17" s="1" t="e">
        <f t="shared" si="6"/>
        <v>#REF!</v>
      </c>
      <c r="V17" s="1" t="e">
        <f t="shared" si="7"/>
        <v>#REF!</v>
      </c>
    </row>
    <row r="18" spans="1:22" x14ac:dyDescent="0.25">
      <c r="A18" s="8" t="s">
        <v>16</v>
      </c>
      <c r="B18" s="8" t="s">
        <v>13</v>
      </c>
      <c r="C18" s="9">
        <v>39264</v>
      </c>
      <c r="D18" s="8" t="e">
        <f>#REF!+#REF!</f>
        <v>#REF!</v>
      </c>
      <c r="E18" s="8" t="e">
        <f>#REF!+#REF!</f>
        <v>#REF!</v>
      </c>
      <c r="F18" s="8" t="e">
        <f>#REF!+#REF!</f>
        <v>#REF!</v>
      </c>
      <c r="G18" s="8" t="e">
        <f>#REF!+#REF!</f>
        <v>#REF!</v>
      </c>
      <c r="H18" s="8" t="e">
        <f>#REF!+#REF!</f>
        <v>#REF!</v>
      </c>
      <c r="I18" s="8" t="e">
        <f>#REF!+#REF!</f>
        <v>#REF!</v>
      </c>
      <c r="J18" s="8" t="e">
        <f>#REF!+#REF!</f>
        <v>#REF!</v>
      </c>
      <c r="K18" s="23" t="e">
        <f t="shared" si="0"/>
        <v>#REF!</v>
      </c>
      <c r="L18" s="23" t="e">
        <f t="shared" si="1"/>
        <v>#REF!</v>
      </c>
      <c r="M18" s="23" t="e">
        <f t="shared" si="2"/>
        <v>#REF!</v>
      </c>
      <c r="N18" s="24" t="e">
        <f t="shared" si="3"/>
        <v>#REF!</v>
      </c>
      <c r="O18" s="8"/>
      <c r="P18" s="8"/>
      <c r="Q18" s="1" t="e">
        <f>#REF!+#REF!</f>
        <v>#REF!</v>
      </c>
      <c r="S18" s="1" t="e">
        <f t="shared" si="4"/>
        <v>#REF!</v>
      </c>
      <c r="T18" s="1" t="e">
        <f t="shared" si="5"/>
        <v>#REF!</v>
      </c>
      <c r="U18" s="1" t="e">
        <f t="shared" si="6"/>
        <v>#REF!</v>
      </c>
      <c r="V18" s="1" t="e">
        <f t="shared" si="7"/>
        <v>#REF!</v>
      </c>
    </row>
    <row r="19" spans="1:22" x14ac:dyDescent="0.25">
      <c r="A19" s="8" t="s">
        <v>16</v>
      </c>
      <c r="B19" s="8" t="s">
        <v>14</v>
      </c>
      <c r="C19" s="9">
        <v>39295</v>
      </c>
      <c r="D19" s="8" t="e">
        <f>#REF!+#REF!</f>
        <v>#REF!</v>
      </c>
      <c r="E19" s="8" t="e">
        <f>#REF!+#REF!</f>
        <v>#REF!</v>
      </c>
      <c r="F19" s="8" t="e">
        <f>#REF!+#REF!</f>
        <v>#REF!</v>
      </c>
      <c r="G19" s="8" t="e">
        <f>#REF!+#REF!</f>
        <v>#REF!</v>
      </c>
      <c r="H19" s="8" t="e">
        <f>#REF!+#REF!</f>
        <v>#REF!</v>
      </c>
      <c r="I19" s="8" t="e">
        <f>#REF!+#REF!</f>
        <v>#REF!</v>
      </c>
      <c r="J19" s="8" t="e">
        <f>#REF!+#REF!</f>
        <v>#REF!</v>
      </c>
      <c r="K19" s="23" t="e">
        <f t="shared" si="0"/>
        <v>#REF!</v>
      </c>
      <c r="L19" s="23" t="e">
        <f t="shared" si="1"/>
        <v>#REF!</v>
      </c>
      <c r="M19" s="23" t="e">
        <f t="shared" si="2"/>
        <v>#REF!</v>
      </c>
      <c r="N19" s="24" t="e">
        <f t="shared" si="3"/>
        <v>#REF!</v>
      </c>
      <c r="O19" s="8"/>
      <c r="P19" s="8"/>
      <c r="Q19" s="1" t="e">
        <f>#REF!+#REF!</f>
        <v>#REF!</v>
      </c>
      <c r="S19" s="1" t="e">
        <f t="shared" si="4"/>
        <v>#REF!</v>
      </c>
      <c r="T19" s="1" t="e">
        <f t="shared" si="5"/>
        <v>#REF!</v>
      </c>
      <c r="U19" s="1" t="e">
        <f t="shared" si="6"/>
        <v>#REF!</v>
      </c>
      <c r="V19" s="1" t="e">
        <f t="shared" si="7"/>
        <v>#REF!</v>
      </c>
    </row>
    <row r="20" spans="1:22" x14ac:dyDescent="0.25">
      <c r="A20" s="8" t="s">
        <v>16</v>
      </c>
      <c r="B20" s="8" t="s">
        <v>14</v>
      </c>
      <c r="C20" s="9">
        <v>39326</v>
      </c>
      <c r="D20" s="8" t="e">
        <f>#REF!+#REF!</f>
        <v>#REF!</v>
      </c>
      <c r="E20" s="8" t="e">
        <f>#REF!+#REF!</f>
        <v>#REF!</v>
      </c>
      <c r="F20" s="8" t="e">
        <f>#REF!+#REF!</f>
        <v>#REF!</v>
      </c>
      <c r="G20" s="8" t="e">
        <f>#REF!+#REF!</f>
        <v>#REF!</v>
      </c>
      <c r="H20" s="8" t="e">
        <f>#REF!+#REF!</f>
        <v>#REF!</v>
      </c>
      <c r="I20" s="8" t="e">
        <f>#REF!+#REF!</f>
        <v>#REF!</v>
      </c>
      <c r="J20" s="8" t="e">
        <f>#REF!+#REF!</f>
        <v>#REF!</v>
      </c>
      <c r="K20" s="23" t="e">
        <f t="shared" si="0"/>
        <v>#REF!</v>
      </c>
      <c r="L20" s="23" t="e">
        <f t="shared" si="1"/>
        <v>#REF!</v>
      </c>
      <c r="M20" s="23" t="e">
        <f t="shared" si="2"/>
        <v>#REF!</v>
      </c>
      <c r="N20" s="24" t="e">
        <f t="shared" si="3"/>
        <v>#REF!</v>
      </c>
      <c r="O20" s="8"/>
      <c r="P20" s="8"/>
      <c r="Q20" s="1" t="e">
        <f>#REF!+#REF!</f>
        <v>#REF!</v>
      </c>
      <c r="S20" s="1" t="e">
        <f t="shared" si="4"/>
        <v>#REF!</v>
      </c>
      <c r="T20" s="1" t="e">
        <f t="shared" si="5"/>
        <v>#REF!</v>
      </c>
      <c r="U20" s="1" t="e">
        <f t="shared" si="6"/>
        <v>#REF!</v>
      </c>
      <c r="V20" s="1" t="e">
        <f t="shared" si="7"/>
        <v>#REF!</v>
      </c>
    </row>
    <row r="21" spans="1:22" x14ac:dyDescent="0.25">
      <c r="A21" s="8" t="s">
        <v>16</v>
      </c>
      <c r="B21" s="8" t="s">
        <v>14</v>
      </c>
      <c r="C21" s="9">
        <v>39356</v>
      </c>
      <c r="D21" s="8" t="e">
        <f>#REF!+#REF!</f>
        <v>#REF!</v>
      </c>
      <c r="E21" s="8" t="e">
        <f>#REF!+#REF!</f>
        <v>#REF!</v>
      </c>
      <c r="F21" s="8" t="e">
        <f>#REF!+#REF!</f>
        <v>#REF!</v>
      </c>
      <c r="G21" s="8" t="e">
        <f>#REF!+#REF!</f>
        <v>#REF!</v>
      </c>
      <c r="H21" s="8" t="e">
        <f>#REF!+#REF!</f>
        <v>#REF!</v>
      </c>
      <c r="I21" s="8" t="e">
        <f>#REF!+#REF!</f>
        <v>#REF!</v>
      </c>
      <c r="J21" s="8" t="e">
        <f>#REF!+#REF!</f>
        <v>#REF!</v>
      </c>
      <c r="K21" s="23" t="e">
        <f t="shared" si="0"/>
        <v>#REF!</v>
      </c>
      <c r="L21" s="23" t="e">
        <f t="shared" si="1"/>
        <v>#REF!</v>
      </c>
      <c r="M21" s="23" t="e">
        <f t="shared" si="2"/>
        <v>#REF!</v>
      </c>
      <c r="N21" s="24" t="e">
        <f t="shared" si="3"/>
        <v>#REF!</v>
      </c>
      <c r="O21" s="8"/>
      <c r="P21" s="8"/>
      <c r="Q21" s="1" t="e">
        <f>#REF!+#REF!</f>
        <v>#REF!</v>
      </c>
      <c r="S21" s="1" t="e">
        <f t="shared" si="4"/>
        <v>#REF!</v>
      </c>
      <c r="T21" s="1" t="e">
        <f t="shared" si="5"/>
        <v>#REF!</v>
      </c>
      <c r="U21" s="1" t="e">
        <f t="shared" si="6"/>
        <v>#REF!</v>
      </c>
      <c r="V21" s="1" t="e">
        <f t="shared" si="7"/>
        <v>#REF!</v>
      </c>
    </row>
    <row r="22" spans="1:22" x14ac:dyDescent="0.25">
      <c r="A22" s="8" t="s">
        <v>17</v>
      </c>
      <c r="B22" s="8" t="s">
        <v>15</v>
      </c>
      <c r="C22" s="9">
        <v>39387</v>
      </c>
      <c r="D22" s="8" t="e">
        <f>#REF!+#REF!</f>
        <v>#REF!</v>
      </c>
      <c r="E22" s="8" t="e">
        <f>#REF!+#REF!</f>
        <v>#REF!</v>
      </c>
      <c r="F22" s="8" t="e">
        <f>#REF!+#REF!</f>
        <v>#REF!</v>
      </c>
      <c r="G22" s="8" t="e">
        <f>#REF!+#REF!</f>
        <v>#REF!</v>
      </c>
      <c r="H22" s="8" t="e">
        <f>#REF!+#REF!</f>
        <v>#REF!</v>
      </c>
      <c r="I22" s="8" t="e">
        <f>#REF!+#REF!</f>
        <v>#REF!</v>
      </c>
      <c r="J22" s="8" t="e">
        <f>#REF!+#REF!</f>
        <v>#REF!</v>
      </c>
      <c r="K22" s="23" t="e">
        <f t="shared" si="0"/>
        <v>#REF!</v>
      </c>
      <c r="L22" s="23" t="e">
        <f t="shared" si="1"/>
        <v>#REF!</v>
      </c>
      <c r="M22" s="23" t="e">
        <f t="shared" si="2"/>
        <v>#REF!</v>
      </c>
      <c r="N22" s="24" t="e">
        <f t="shared" si="3"/>
        <v>#REF!</v>
      </c>
      <c r="O22" s="8"/>
      <c r="P22" s="8"/>
      <c r="Q22" s="1" t="e">
        <f>#REF!+#REF!</f>
        <v>#REF!</v>
      </c>
      <c r="S22" s="1" t="e">
        <f t="shared" si="4"/>
        <v>#REF!</v>
      </c>
      <c r="T22" s="1" t="e">
        <f t="shared" si="5"/>
        <v>#REF!</v>
      </c>
      <c r="U22" s="1" t="e">
        <f t="shared" si="6"/>
        <v>#REF!</v>
      </c>
      <c r="V22" s="1" t="e">
        <f t="shared" si="7"/>
        <v>#REF!</v>
      </c>
    </row>
    <row r="23" spans="1:22" x14ac:dyDescent="0.25">
      <c r="A23" s="8" t="s">
        <v>17</v>
      </c>
      <c r="B23" s="8" t="s">
        <v>15</v>
      </c>
      <c r="C23" s="9">
        <v>39417</v>
      </c>
      <c r="D23" s="8" t="e">
        <f>#REF!+#REF!</f>
        <v>#REF!</v>
      </c>
      <c r="E23" s="8" t="e">
        <f>#REF!+#REF!</f>
        <v>#REF!</v>
      </c>
      <c r="F23" s="8" t="e">
        <f>#REF!+#REF!</f>
        <v>#REF!</v>
      </c>
      <c r="G23" s="8" t="e">
        <f>#REF!+#REF!</f>
        <v>#REF!</v>
      </c>
      <c r="H23" s="8" t="e">
        <f>#REF!+#REF!</f>
        <v>#REF!</v>
      </c>
      <c r="I23" s="8" t="e">
        <f>#REF!+#REF!</f>
        <v>#REF!</v>
      </c>
      <c r="J23" s="8" t="e">
        <f>#REF!+#REF!</f>
        <v>#REF!</v>
      </c>
      <c r="K23" s="23" t="e">
        <f t="shared" si="0"/>
        <v>#REF!</v>
      </c>
      <c r="L23" s="23" t="e">
        <f t="shared" si="1"/>
        <v>#REF!</v>
      </c>
      <c r="M23" s="23" t="e">
        <f t="shared" si="2"/>
        <v>#REF!</v>
      </c>
      <c r="N23" s="24" t="e">
        <f t="shared" si="3"/>
        <v>#REF!</v>
      </c>
      <c r="O23" s="8"/>
      <c r="P23" s="8"/>
      <c r="Q23" s="1" t="e">
        <f>#REF!+#REF!</f>
        <v>#REF!</v>
      </c>
      <c r="S23" s="1" t="e">
        <f t="shared" si="4"/>
        <v>#REF!</v>
      </c>
      <c r="T23" s="1" t="e">
        <f t="shared" si="5"/>
        <v>#REF!</v>
      </c>
      <c r="U23" s="1" t="e">
        <f t="shared" si="6"/>
        <v>#REF!</v>
      </c>
      <c r="V23" s="1" t="e">
        <f t="shared" si="7"/>
        <v>#REF!</v>
      </c>
    </row>
    <row r="24" spans="1:22" x14ac:dyDescent="0.25">
      <c r="A24" s="8" t="s">
        <v>17</v>
      </c>
      <c r="B24" s="8" t="s">
        <v>15</v>
      </c>
      <c r="C24" s="9">
        <v>39448</v>
      </c>
      <c r="D24" s="8" t="e">
        <f>#REF!+#REF!</f>
        <v>#REF!</v>
      </c>
      <c r="E24" s="8" t="e">
        <f>#REF!+#REF!</f>
        <v>#REF!</v>
      </c>
      <c r="F24" s="8" t="e">
        <f>#REF!+#REF!</f>
        <v>#REF!</v>
      </c>
      <c r="G24" s="8" t="e">
        <f>#REF!+#REF!</f>
        <v>#REF!</v>
      </c>
      <c r="H24" s="8" t="e">
        <f>#REF!+#REF!</f>
        <v>#REF!</v>
      </c>
      <c r="I24" s="8" t="e">
        <f>#REF!+#REF!</f>
        <v>#REF!</v>
      </c>
      <c r="J24" s="8" t="e">
        <f>#REF!+#REF!</f>
        <v>#REF!</v>
      </c>
      <c r="K24" s="23" t="e">
        <f t="shared" si="0"/>
        <v>#REF!</v>
      </c>
      <c r="L24" s="23" t="e">
        <f t="shared" si="1"/>
        <v>#REF!</v>
      </c>
      <c r="M24" s="23" t="e">
        <f t="shared" si="2"/>
        <v>#REF!</v>
      </c>
      <c r="N24" s="24" t="e">
        <f t="shared" si="3"/>
        <v>#REF!</v>
      </c>
      <c r="O24" s="8"/>
      <c r="P24" s="8"/>
      <c r="Q24" s="1" t="e">
        <f>#REF!+#REF!</f>
        <v>#REF!</v>
      </c>
      <c r="S24" s="1" t="e">
        <f t="shared" si="4"/>
        <v>#REF!</v>
      </c>
      <c r="T24" s="1" t="e">
        <f t="shared" si="5"/>
        <v>#REF!</v>
      </c>
      <c r="U24" s="1" t="e">
        <f t="shared" si="6"/>
        <v>#REF!</v>
      </c>
      <c r="V24" s="1" t="e">
        <f t="shared" si="7"/>
        <v>#REF!</v>
      </c>
    </row>
    <row r="25" spans="1:22" x14ac:dyDescent="0.25">
      <c r="A25" s="8" t="s">
        <v>17</v>
      </c>
      <c r="B25" s="8" t="s">
        <v>12</v>
      </c>
      <c r="C25" s="9">
        <v>39479</v>
      </c>
      <c r="D25" s="8" t="e">
        <f>#REF!+#REF!</f>
        <v>#REF!</v>
      </c>
      <c r="E25" s="8" t="e">
        <f>#REF!+#REF!</f>
        <v>#REF!</v>
      </c>
      <c r="F25" s="8" t="e">
        <f>#REF!+#REF!</f>
        <v>#REF!</v>
      </c>
      <c r="G25" s="8" t="e">
        <f>#REF!+#REF!</f>
        <v>#REF!</v>
      </c>
      <c r="H25" s="8" t="e">
        <f>#REF!+#REF!</f>
        <v>#REF!</v>
      </c>
      <c r="I25" s="8" t="e">
        <f>#REF!+#REF!</f>
        <v>#REF!</v>
      </c>
      <c r="J25" s="8" t="e">
        <f>#REF!+#REF!</f>
        <v>#REF!</v>
      </c>
      <c r="K25" s="23" t="e">
        <f t="shared" si="0"/>
        <v>#REF!</v>
      </c>
      <c r="L25" s="23" t="e">
        <f t="shared" si="1"/>
        <v>#REF!</v>
      </c>
      <c r="M25" s="23" t="e">
        <f t="shared" si="2"/>
        <v>#REF!</v>
      </c>
      <c r="N25" s="24" t="e">
        <f t="shared" si="3"/>
        <v>#REF!</v>
      </c>
      <c r="O25" s="8"/>
      <c r="P25" s="8"/>
      <c r="Q25" s="1" t="e">
        <f>#REF!+#REF!</f>
        <v>#REF!</v>
      </c>
      <c r="S25" s="1" t="e">
        <f t="shared" si="4"/>
        <v>#REF!</v>
      </c>
      <c r="T25" s="1" t="e">
        <f t="shared" si="5"/>
        <v>#REF!</v>
      </c>
      <c r="U25" s="1" t="e">
        <f t="shared" si="6"/>
        <v>#REF!</v>
      </c>
      <c r="V25" s="1" t="e">
        <f t="shared" si="7"/>
        <v>#REF!</v>
      </c>
    </row>
    <row r="26" spans="1:22" x14ac:dyDescent="0.25">
      <c r="A26" s="8" t="s">
        <v>17</v>
      </c>
      <c r="B26" s="8" t="s">
        <v>12</v>
      </c>
      <c r="C26" s="9">
        <v>39508</v>
      </c>
      <c r="D26" s="8" t="e">
        <f>#REF!+#REF!</f>
        <v>#REF!</v>
      </c>
      <c r="E26" s="8" t="e">
        <f>#REF!+#REF!</f>
        <v>#REF!</v>
      </c>
      <c r="F26" s="8" t="e">
        <f>#REF!+#REF!</f>
        <v>#REF!</v>
      </c>
      <c r="G26" s="8" t="e">
        <f>#REF!+#REF!</f>
        <v>#REF!</v>
      </c>
      <c r="H26" s="8" t="e">
        <f>#REF!+#REF!</f>
        <v>#REF!</v>
      </c>
      <c r="I26" s="8" t="e">
        <f>#REF!+#REF!</f>
        <v>#REF!</v>
      </c>
      <c r="J26" s="8" t="e">
        <f>#REF!+#REF!</f>
        <v>#REF!</v>
      </c>
      <c r="K26" s="23" t="e">
        <f t="shared" si="0"/>
        <v>#REF!</v>
      </c>
      <c r="L26" s="23" t="e">
        <f t="shared" si="1"/>
        <v>#REF!</v>
      </c>
      <c r="M26" s="23" t="e">
        <f t="shared" si="2"/>
        <v>#REF!</v>
      </c>
      <c r="N26" s="24" t="e">
        <f t="shared" si="3"/>
        <v>#REF!</v>
      </c>
      <c r="O26" s="8"/>
      <c r="P26" s="8"/>
      <c r="Q26" s="1" t="e">
        <f>#REF!+#REF!</f>
        <v>#REF!</v>
      </c>
      <c r="S26" s="1" t="e">
        <f t="shared" si="4"/>
        <v>#REF!</v>
      </c>
      <c r="T26" s="1" t="e">
        <f t="shared" si="5"/>
        <v>#REF!</v>
      </c>
      <c r="U26" s="1" t="e">
        <f t="shared" si="6"/>
        <v>#REF!</v>
      </c>
      <c r="V26" s="1" t="e">
        <f t="shared" si="7"/>
        <v>#REF!</v>
      </c>
    </row>
    <row r="27" spans="1:22" x14ac:dyDescent="0.25">
      <c r="A27" s="8" t="s">
        <v>17</v>
      </c>
      <c r="B27" s="8" t="s">
        <v>12</v>
      </c>
      <c r="C27" s="9">
        <v>39539</v>
      </c>
      <c r="D27" s="8" t="e">
        <f>#REF!+#REF!</f>
        <v>#REF!</v>
      </c>
      <c r="E27" s="8" t="e">
        <f>#REF!+#REF!</f>
        <v>#REF!</v>
      </c>
      <c r="F27" s="8" t="e">
        <f>#REF!+#REF!</f>
        <v>#REF!</v>
      </c>
      <c r="G27" s="8" t="e">
        <f>#REF!+#REF!</f>
        <v>#REF!</v>
      </c>
      <c r="H27" s="8" t="e">
        <f>#REF!+#REF!</f>
        <v>#REF!</v>
      </c>
      <c r="I27" s="8" t="e">
        <f>#REF!+#REF!</f>
        <v>#REF!</v>
      </c>
      <c r="J27" s="8" t="e">
        <f>#REF!+#REF!</f>
        <v>#REF!</v>
      </c>
      <c r="K27" s="23" t="e">
        <f t="shared" si="0"/>
        <v>#REF!</v>
      </c>
      <c r="L27" s="23" t="e">
        <f t="shared" si="1"/>
        <v>#REF!</v>
      </c>
      <c r="M27" s="23" t="e">
        <f t="shared" si="2"/>
        <v>#REF!</v>
      </c>
      <c r="N27" s="24" t="e">
        <f t="shared" si="3"/>
        <v>#REF!</v>
      </c>
      <c r="O27" s="8"/>
      <c r="P27" s="8"/>
      <c r="Q27" s="1" t="e">
        <f>#REF!+#REF!</f>
        <v>#REF!</v>
      </c>
      <c r="S27" s="1" t="e">
        <f t="shared" si="4"/>
        <v>#REF!</v>
      </c>
      <c r="T27" s="1" t="e">
        <f t="shared" si="5"/>
        <v>#REF!</v>
      </c>
      <c r="U27" s="1" t="e">
        <f t="shared" si="6"/>
        <v>#REF!</v>
      </c>
      <c r="V27" s="1" t="e">
        <f t="shared" si="7"/>
        <v>#REF!</v>
      </c>
    </row>
    <row r="28" spans="1:22" x14ac:dyDescent="0.25">
      <c r="A28" s="8" t="s">
        <v>17</v>
      </c>
      <c r="B28" s="8" t="s">
        <v>13</v>
      </c>
      <c r="C28" s="9">
        <v>39569</v>
      </c>
      <c r="D28" s="8" t="e">
        <f>#REF!+#REF!</f>
        <v>#REF!</v>
      </c>
      <c r="E28" s="8" t="e">
        <f>#REF!+#REF!</f>
        <v>#REF!</v>
      </c>
      <c r="F28" s="8" t="e">
        <f>#REF!+#REF!</f>
        <v>#REF!</v>
      </c>
      <c r="G28" s="8" t="e">
        <f>#REF!+#REF!</f>
        <v>#REF!</v>
      </c>
      <c r="H28" s="8" t="e">
        <f>#REF!+#REF!</f>
        <v>#REF!</v>
      </c>
      <c r="I28" s="8" t="e">
        <f>#REF!+#REF!</f>
        <v>#REF!</v>
      </c>
      <c r="J28" s="8" t="e">
        <f>#REF!+#REF!</f>
        <v>#REF!</v>
      </c>
      <c r="K28" s="23" t="e">
        <f t="shared" si="0"/>
        <v>#REF!</v>
      </c>
      <c r="L28" s="23" t="e">
        <f t="shared" si="1"/>
        <v>#REF!</v>
      </c>
      <c r="M28" s="23" t="e">
        <f t="shared" si="2"/>
        <v>#REF!</v>
      </c>
      <c r="N28" s="24" t="e">
        <f t="shared" si="3"/>
        <v>#REF!</v>
      </c>
      <c r="O28" s="8"/>
      <c r="P28" s="8"/>
      <c r="Q28" s="1" t="e">
        <f>#REF!+#REF!</f>
        <v>#REF!</v>
      </c>
      <c r="S28" s="1" t="e">
        <f t="shared" si="4"/>
        <v>#REF!</v>
      </c>
      <c r="T28" s="1" t="e">
        <f t="shared" si="5"/>
        <v>#REF!</v>
      </c>
      <c r="U28" s="1" t="e">
        <f t="shared" si="6"/>
        <v>#REF!</v>
      </c>
      <c r="V28" s="1" t="e">
        <f t="shared" si="7"/>
        <v>#REF!</v>
      </c>
    </row>
    <row r="29" spans="1:22" x14ac:dyDescent="0.25">
      <c r="A29" s="8" t="s">
        <v>17</v>
      </c>
      <c r="B29" s="8" t="s">
        <v>13</v>
      </c>
      <c r="C29" s="9">
        <v>39600</v>
      </c>
      <c r="D29" s="8" t="e">
        <f>#REF!+#REF!</f>
        <v>#REF!</v>
      </c>
      <c r="E29" s="8" t="e">
        <f>#REF!+#REF!</f>
        <v>#REF!</v>
      </c>
      <c r="F29" s="8" t="e">
        <f>#REF!+#REF!</f>
        <v>#REF!</v>
      </c>
      <c r="G29" s="8" t="e">
        <f>#REF!+#REF!</f>
        <v>#REF!</v>
      </c>
      <c r="H29" s="8" t="e">
        <f>#REF!+#REF!</f>
        <v>#REF!</v>
      </c>
      <c r="I29" s="8" t="e">
        <f>#REF!+#REF!</f>
        <v>#REF!</v>
      </c>
      <c r="J29" s="8" t="e">
        <f>#REF!+#REF!</f>
        <v>#REF!</v>
      </c>
      <c r="K29" s="23" t="e">
        <f t="shared" si="0"/>
        <v>#REF!</v>
      </c>
      <c r="L29" s="23" t="e">
        <f t="shared" si="1"/>
        <v>#REF!</v>
      </c>
      <c r="M29" s="23" t="e">
        <f t="shared" si="2"/>
        <v>#REF!</v>
      </c>
      <c r="N29" s="24" t="e">
        <f t="shared" si="3"/>
        <v>#REF!</v>
      </c>
      <c r="O29" s="8"/>
      <c r="P29" s="8"/>
      <c r="Q29" s="1" t="e">
        <f>#REF!+#REF!</f>
        <v>#REF!</v>
      </c>
      <c r="S29" s="1" t="e">
        <f t="shared" si="4"/>
        <v>#REF!</v>
      </c>
      <c r="T29" s="1" t="e">
        <f t="shared" si="5"/>
        <v>#REF!</v>
      </c>
      <c r="U29" s="1" t="e">
        <f t="shared" si="6"/>
        <v>#REF!</v>
      </c>
      <c r="V29" s="1" t="e">
        <f t="shared" si="7"/>
        <v>#REF!</v>
      </c>
    </row>
    <row r="30" spans="1:22" x14ac:dyDescent="0.25">
      <c r="A30" s="8" t="s">
        <v>17</v>
      </c>
      <c r="B30" s="8" t="s">
        <v>13</v>
      </c>
      <c r="C30" s="9">
        <v>39630</v>
      </c>
      <c r="D30" s="8" t="e">
        <f>#REF!+#REF!</f>
        <v>#REF!</v>
      </c>
      <c r="E30" s="8" t="e">
        <f>#REF!+#REF!</f>
        <v>#REF!</v>
      </c>
      <c r="F30" s="8" t="e">
        <f>#REF!+#REF!</f>
        <v>#REF!</v>
      </c>
      <c r="G30" s="8" t="e">
        <f>#REF!+#REF!</f>
        <v>#REF!</v>
      </c>
      <c r="H30" s="8" t="e">
        <f>#REF!+#REF!</f>
        <v>#REF!</v>
      </c>
      <c r="I30" s="8" t="e">
        <f>#REF!+#REF!</f>
        <v>#REF!</v>
      </c>
      <c r="J30" s="8" t="e">
        <f>#REF!+#REF!</f>
        <v>#REF!</v>
      </c>
      <c r="K30" s="23" t="e">
        <f t="shared" si="0"/>
        <v>#REF!</v>
      </c>
      <c r="L30" s="23" t="e">
        <f t="shared" si="1"/>
        <v>#REF!</v>
      </c>
      <c r="M30" s="23" t="e">
        <f t="shared" si="2"/>
        <v>#REF!</v>
      </c>
      <c r="N30" s="24" t="e">
        <f t="shared" si="3"/>
        <v>#REF!</v>
      </c>
      <c r="O30" s="8"/>
      <c r="P30" s="8"/>
      <c r="Q30" s="1" t="e">
        <f>#REF!+#REF!</f>
        <v>#REF!</v>
      </c>
      <c r="S30" s="1" t="e">
        <f t="shared" si="4"/>
        <v>#REF!</v>
      </c>
      <c r="T30" s="1" t="e">
        <f t="shared" si="5"/>
        <v>#REF!</v>
      </c>
      <c r="U30" s="1" t="e">
        <f t="shared" si="6"/>
        <v>#REF!</v>
      </c>
      <c r="V30" s="1" t="e">
        <f t="shared" si="7"/>
        <v>#REF!</v>
      </c>
    </row>
    <row r="31" spans="1:22" x14ac:dyDescent="0.25">
      <c r="A31" s="8" t="s">
        <v>17</v>
      </c>
      <c r="B31" s="8" t="s">
        <v>14</v>
      </c>
      <c r="C31" s="9">
        <v>39661</v>
      </c>
      <c r="D31" s="8" t="e">
        <f>#REF!+#REF!</f>
        <v>#REF!</v>
      </c>
      <c r="E31" s="8" t="e">
        <f>#REF!+#REF!</f>
        <v>#REF!</v>
      </c>
      <c r="F31" s="8" t="e">
        <f>#REF!+#REF!</f>
        <v>#REF!</v>
      </c>
      <c r="G31" s="8" t="e">
        <f>#REF!+#REF!</f>
        <v>#REF!</v>
      </c>
      <c r="H31" s="8" t="e">
        <f>#REF!+#REF!</f>
        <v>#REF!</v>
      </c>
      <c r="I31" s="8" t="e">
        <f>#REF!+#REF!</f>
        <v>#REF!</v>
      </c>
      <c r="J31" s="8" t="e">
        <f>#REF!+#REF!</f>
        <v>#REF!</v>
      </c>
      <c r="K31" s="23" t="e">
        <f t="shared" si="0"/>
        <v>#REF!</v>
      </c>
      <c r="L31" s="23" t="e">
        <f t="shared" si="1"/>
        <v>#REF!</v>
      </c>
      <c r="M31" s="23" t="e">
        <f t="shared" si="2"/>
        <v>#REF!</v>
      </c>
      <c r="N31" s="24" t="e">
        <f t="shared" si="3"/>
        <v>#REF!</v>
      </c>
      <c r="O31" s="8"/>
      <c r="P31" s="8"/>
      <c r="Q31" s="1" t="e">
        <f>#REF!+#REF!</f>
        <v>#REF!</v>
      </c>
      <c r="S31" s="1" t="e">
        <f t="shared" si="4"/>
        <v>#REF!</v>
      </c>
      <c r="T31" s="1" t="e">
        <f t="shared" si="5"/>
        <v>#REF!</v>
      </c>
      <c r="U31" s="1" t="e">
        <f t="shared" si="6"/>
        <v>#REF!</v>
      </c>
      <c r="V31" s="1" t="e">
        <f t="shared" si="7"/>
        <v>#REF!</v>
      </c>
    </row>
    <row r="32" spans="1:22" x14ac:dyDescent="0.25">
      <c r="A32" s="8" t="s">
        <v>17</v>
      </c>
      <c r="B32" s="8" t="s">
        <v>14</v>
      </c>
      <c r="C32" s="9">
        <v>39692</v>
      </c>
      <c r="D32" s="8" t="e">
        <f>#REF!+#REF!</f>
        <v>#REF!</v>
      </c>
      <c r="E32" s="8" t="e">
        <f>#REF!+#REF!</f>
        <v>#REF!</v>
      </c>
      <c r="F32" s="8" t="e">
        <f>#REF!+#REF!</f>
        <v>#REF!</v>
      </c>
      <c r="G32" s="8" t="e">
        <f>#REF!+#REF!</f>
        <v>#REF!</v>
      </c>
      <c r="H32" s="8" t="e">
        <f>#REF!+#REF!</f>
        <v>#REF!</v>
      </c>
      <c r="I32" s="8" t="e">
        <f>#REF!+#REF!</f>
        <v>#REF!</v>
      </c>
      <c r="J32" s="8" t="e">
        <f>#REF!+#REF!</f>
        <v>#REF!</v>
      </c>
      <c r="K32" s="23" t="e">
        <f t="shared" si="0"/>
        <v>#REF!</v>
      </c>
      <c r="L32" s="23" t="e">
        <f t="shared" si="1"/>
        <v>#REF!</v>
      </c>
      <c r="M32" s="23" t="e">
        <f t="shared" si="2"/>
        <v>#REF!</v>
      </c>
      <c r="N32" s="24" t="e">
        <f t="shared" si="3"/>
        <v>#REF!</v>
      </c>
      <c r="O32" s="8"/>
      <c r="P32" s="8"/>
      <c r="Q32" s="1" t="e">
        <f>#REF!+#REF!</f>
        <v>#REF!</v>
      </c>
      <c r="S32" s="1" t="e">
        <f t="shared" si="4"/>
        <v>#REF!</v>
      </c>
      <c r="T32" s="1" t="e">
        <f t="shared" si="5"/>
        <v>#REF!</v>
      </c>
      <c r="U32" s="1" t="e">
        <f t="shared" si="6"/>
        <v>#REF!</v>
      </c>
      <c r="V32" s="1" t="e">
        <f t="shared" si="7"/>
        <v>#REF!</v>
      </c>
    </row>
    <row r="33" spans="1:23" x14ac:dyDescent="0.25">
      <c r="A33" s="8" t="s">
        <v>17</v>
      </c>
      <c r="B33" s="8" t="s">
        <v>14</v>
      </c>
      <c r="C33" s="9">
        <v>39722</v>
      </c>
      <c r="D33" s="8" t="e">
        <f>#REF!+#REF!</f>
        <v>#REF!</v>
      </c>
      <c r="E33" s="8" t="e">
        <f>#REF!+#REF!</f>
        <v>#REF!</v>
      </c>
      <c r="F33" s="8" t="e">
        <f>#REF!+#REF!</f>
        <v>#REF!</v>
      </c>
      <c r="G33" s="8" t="e">
        <f>#REF!+#REF!</f>
        <v>#REF!</v>
      </c>
      <c r="H33" s="8" t="e">
        <f>#REF!+#REF!</f>
        <v>#REF!</v>
      </c>
      <c r="I33" s="8" t="e">
        <f>#REF!+#REF!</f>
        <v>#REF!</v>
      </c>
      <c r="J33" s="8" t="e">
        <f>#REF!+#REF!</f>
        <v>#REF!</v>
      </c>
      <c r="K33" s="23" t="e">
        <f t="shared" si="0"/>
        <v>#REF!</v>
      </c>
      <c r="L33" s="23" t="e">
        <f t="shared" si="1"/>
        <v>#REF!</v>
      </c>
      <c r="M33" s="23" t="e">
        <f t="shared" si="2"/>
        <v>#REF!</v>
      </c>
      <c r="N33" s="24" t="e">
        <f t="shared" si="3"/>
        <v>#REF!</v>
      </c>
      <c r="O33" s="8"/>
      <c r="P33" s="8"/>
      <c r="Q33" s="1" t="e">
        <f>#REF!+#REF!</f>
        <v>#REF!</v>
      </c>
      <c r="S33" s="1" t="e">
        <f t="shared" si="4"/>
        <v>#REF!</v>
      </c>
      <c r="T33" s="1" t="e">
        <f t="shared" si="5"/>
        <v>#REF!</v>
      </c>
      <c r="U33" s="1" t="e">
        <f t="shared" si="6"/>
        <v>#REF!</v>
      </c>
      <c r="V33" s="1" t="e">
        <f t="shared" si="7"/>
        <v>#REF!</v>
      </c>
    </row>
    <row r="34" spans="1:23" x14ac:dyDescent="0.25">
      <c r="A34" s="8" t="s">
        <v>18</v>
      </c>
      <c r="B34" s="8" t="s">
        <v>15</v>
      </c>
      <c r="C34" s="9">
        <v>39753</v>
      </c>
      <c r="D34" s="8" t="e">
        <f>#REF!+#REF!</f>
        <v>#REF!</v>
      </c>
      <c r="E34" s="8" t="e">
        <f>#REF!+#REF!</f>
        <v>#REF!</v>
      </c>
      <c r="F34" s="8" t="e">
        <f>#REF!+#REF!</f>
        <v>#REF!</v>
      </c>
      <c r="G34" s="8" t="e">
        <f>#REF!+#REF!</f>
        <v>#REF!</v>
      </c>
      <c r="H34" s="8" t="e">
        <f>#REF!+#REF!</f>
        <v>#REF!</v>
      </c>
      <c r="I34" s="8" t="e">
        <f>#REF!+#REF!</f>
        <v>#REF!</v>
      </c>
      <c r="J34" s="8" t="e">
        <f>#REF!+#REF!</f>
        <v>#REF!</v>
      </c>
      <c r="K34" s="23" t="e">
        <f t="shared" si="0"/>
        <v>#REF!</v>
      </c>
      <c r="L34" s="23" t="e">
        <f t="shared" si="1"/>
        <v>#REF!</v>
      </c>
      <c r="M34" s="23" t="e">
        <f t="shared" si="2"/>
        <v>#REF!</v>
      </c>
      <c r="N34" s="24" t="e">
        <f t="shared" si="3"/>
        <v>#REF!</v>
      </c>
      <c r="O34" s="8"/>
      <c r="P34" s="8"/>
      <c r="Q34" s="1" t="e">
        <f>#REF!+#REF!</f>
        <v>#REF!</v>
      </c>
      <c r="S34" s="1" t="e">
        <f t="shared" si="4"/>
        <v>#REF!</v>
      </c>
      <c r="T34" s="1" t="e">
        <f t="shared" si="5"/>
        <v>#REF!</v>
      </c>
      <c r="U34" s="1" t="e">
        <f t="shared" si="6"/>
        <v>#REF!</v>
      </c>
      <c r="V34" s="1" t="e">
        <f t="shared" si="7"/>
        <v>#REF!</v>
      </c>
    </row>
    <row r="35" spans="1:23" x14ac:dyDescent="0.25">
      <c r="A35" s="8" t="s">
        <v>18</v>
      </c>
      <c r="B35" s="8" t="s">
        <v>15</v>
      </c>
      <c r="C35" s="9">
        <v>39783</v>
      </c>
      <c r="D35" s="8" t="e">
        <f>#REF!+#REF!</f>
        <v>#REF!</v>
      </c>
      <c r="E35" s="8" t="e">
        <f>#REF!+#REF!</f>
        <v>#REF!</v>
      </c>
      <c r="F35" s="8" t="e">
        <f>#REF!+#REF!</f>
        <v>#REF!</v>
      </c>
      <c r="G35" s="8" t="e">
        <f>#REF!+#REF!</f>
        <v>#REF!</v>
      </c>
      <c r="H35" s="8" t="e">
        <f>#REF!+#REF!</f>
        <v>#REF!</v>
      </c>
      <c r="I35" s="8" t="e">
        <f>#REF!+#REF!</f>
        <v>#REF!</v>
      </c>
      <c r="J35" s="8" t="e">
        <f>#REF!+#REF!</f>
        <v>#REF!</v>
      </c>
      <c r="K35" s="23" t="e">
        <f t="shared" si="0"/>
        <v>#REF!</v>
      </c>
      <c r="L35" s="23" t="e">
        <f t="shared" si="1"/>
        <v>#REF!</v>
      </c>
      <c r="M35" s="23" t="e">
        <f t="shared" si="2"/>
        <v>#REF!</v>
      </c>
      <c r="N35" s="24" t="e">
        <f t="shared" si="3"/>
        <v>#REF!</v>
      </c>
      <c r="O35" s="8"/>
      <c r="P35" s="8"/>
      <c r="Q35" s="1" t="e">
        <f>#REF!+#REF!</f>
        <v>#REF!</v>
      </c>
      <c r="S35" s="1" t="e">
        <f t="shared" si="4"/>
        <v>#REF!</v>
      </c>
      <c r="T35" s="1" t="e">
        <f t="shared" si="5"/>
        <v>#REF!</v>
      </c>
      <c r="U35" s="1" t="e">
        <f t="shared" si="6"/>
        <v>#REF!</v>
      </c>
      <c r="V35" s="1" t="e">
        <f t="shared" si="7"/>
        <v>#REF!</v>
      </c>
    </row>
    <row r="36" spans="1:23" x14ac:dyDescent="0.25">
      <c r="A36" s="8" t="s">
        <v>18</v>
      </c>
      <c r="B36" s="8" t="s">
        <v>15</v>
      </c>
      <c r="C36" s="9">
        <v>39814</v>
      </c>
      <c r="D36" s="8" t="e">
        <f>#REF!+#REF!</f>
        <v>#REF!</v>
      </c>
      <c r="E36" s="8" t="e">
        <f>#REF!+#REF!</f>
        <v>#REF!</v>
      </c>
      <c r="F36" s="8" t="e">
        <f>#REF!+#REF!</f>
        <v>#REF!</v>
      </c>
      <c r="G36" s="8" t="e">
        <f>#REF!+#REF!</f>
        <v>#REF!</v>
      </c>
      <c r="H36" s="8" t="e">
        <f>#REF!+#REF!</f>
        <v>#REF!</v>
      </c>
      <c r="I36" s="8" t="e">
        <f>#REF!+#REF!</f>
        <v>#REF!</v>
      </c>
      <c r="J36" s="8" t="e">
        <f>#REF!+#REF!</f>
        <v>#REF!</v>
      </c>
      <c r="K36" s="23" t="e">
        <f t="shared" si="0"/>
        <v>#REF!</v>
      </c>
      <c r="L36" s="23" t="e">
        <f t="shared" si="1"/>
        <v>#REF!</v>
      </c>
      <c r="M36" s="23" t="e">
        <f t="shared" si="2"/>
        <v>#REF!</v>
      </c>
      <c r="N36" s="24" t="e">
        <f t="shared" si="3"/>
        <v>#REF!</v>
      </c>
      <c r="O36" s="8"/>
      <c r="P36" s="8"/>
      <c r="Q36" s="1" t="e">
        <f>#REF!+#REF!</f>
        <v>#REF!</v>
      </c>
      <c r="S36" s="1" t="e">
        <f t="shared" si="4"/>
        <v>#REF!</v>
      </c>
      <c r="T36" s="1" t="e">
        <f t="shared" si="5"/>
        <v>#REF!</v>
      </c>
      <c r="U36" s="1" t="e">
        <f t="shared" si="6"/>
        <v>#REF!</v>
      </c>
      <c r="V36" s="1" t="e">
        <f t="shared" si="7"/>
        <v>#REF!</v>
      </c>
    </row>
    <row r="37" spans="1:23" x14ac:dyDescent="0.25">
      <c r="A37" s="8" t="s">
        <v>18</v>
      </c>
      <c r="B37" s="8" t="s">
        <v>12</v>
      </c>
      <c r="C37" s="9">
        <v>39845</v>
      </c>
      <c r="D37" s="8" t="e">
        <f>#REF!+#REF!</f>
        <v>#REF!</v>
      </c>
      <c r="E37" s="8" t="e">
        <f>#REF!+#REF!</f>
        <v>#REF!</v>
      </c>
      <c r="F37" s="8" t="e">
        <f>#REF!+#REF!</f>
        <v>#REF!</v>
      </c>
      <c r="G37" s="8" t="e">
        <f>#REF!+#REF!</f>
        <v>#REF!</v>
      </c>
      <c r="H37" s="8" t="e">
        <f>#REF!+#REF!</f>
        <v>#REF!</v>
      </c>
      <c r="I37" s="8" t="e">
        <f>#REF!+#REF!</f>
        <v>#REF!</v>
      </c>
      <c r="J37" s="8" t="e">
        <f>#REF!+#REF!</f>
        <v>#REF!</v>
      </c>
      <c r="K37" s="23" t="e">
        <f t="shared" si="0"/>
        <v>#REF!</v>
      </c>
      <c r="L37" s="23" t="e">
        <f t="shared" si="1"/>
        <v>#REF!</v>
      </c>
      <c r="M37" s="23" t="e">
        <f t="shared" si="2"/>
        <v>#REF!</v>
      </c>
      <c r="N37" s="24" t="e">
        <f t="shared" si="3"/>
        <v>#REF!</v>
      </c>
      <c r="O37" s="8"/>
      <c r="P37" s="8"/>
      <c r="Q37" s="1" t="e">
        <f>#REF!+#REF!</f>
        <v>#REF!</v>
      </c>
      <c r="S37" s="1" t="e">
        <f t="shared" si="4"/>
        <v>#REF!</v>
      </c>
      <c r="T37" s="1" t="e">
        <f t="shared" si="5"/>
        <v>#REF!</v>
      </c>
      <c r="U37" s="1" t="e">
        <f t="shared" si="6"/>
        <v>#REF!</v>
      </c>
      <c r="V37" s="1" t="e">
        <f t="shared" si="7"/>
        <v>#REF!</v>
      </c>
    </row>
    <row r="38" spans="1:23" x14ac:dyDescent="0.25">
      <c r="A38" s="8" t="s">
        <v>18</v>
      </c>
      <c r="B38" s="8" t="s">
        <v>12</v>
      </c>
      <c r="C38" s="9">
        <v>39873</v>
      </c>
      <c r="D38" s="8" t="e">
        <f>#REF!+#REF!</f>
        <v>#REF!</v>
      </c>
      <c r="E38" s="8" t="e">
        <f>#REF!+#REF!</f>
        <v>#REF!</v>
      </c>
      <c r="F38" s="8" t="e">
        <f>#REF!+#REF!</f>
        <v>#REF!</v>
      </c>
      <c r="G38" s="8" t="e">
        <f>#REF!+#REF!</f>
        <v>#REF!</v>
      </c>
      <c r="H38" s="8" t="e">
        <f>#REF!+#REF!</f>
        <v>#REF!</v>
      </c>
      <c r="I38" s="8" t="e">
        <f>#REF!+#REF!</f>
        <v>#REF!</v>
      </c>
      <c r="J38" s="8" t="e">
        <f>#REF!+#REF!</f>
        <v>#REF!</v>
      </c>
      <c r="K38" s="23" t="e">
        <f t="shared" si="0"/>
        <v>#REF!</v>
      </c>
      <c r="L38" s="23" t="e">
        <f t="shared" si="1"/>
        <v>#REF!</v>
      </c>
      <c r="M38" s="23" t="e">
        <f t="shared" si="2"/>
        <v>#REF!</v>
      </c>
      <c r="N38" s="24" t="e">
        <f t="shared" si="3"/>
        <v>#REF!</v>
      </c>
      <c r="O38" s="8"/>
      <c r="P38" s="8"/>
      <c r="Q38" s="1" t="e">
        <f>#REF!+#REF!</f>
        <v>#REF!</v>
      </c>
      <c r="S38" s="1" t="e">
        <f t="shared" si="4"/>
        <v>#REF!</v>
      </c>
      <c r="T38" s="1" t="e">
        <f t="shared" si="5"/>
        <v>#REF!</v>
      </c>
      <c r="U38" s="1" t="e">
        <f t="shared" si="6"/>
        <v>#REF!</v>
      </c>
      <c r="V38" s="1" t="e">
        <f t="shared" si="7"/>
        <v>#REF!</v>
      </c>
    </row>
    <row r="39" spans="1:23" x14ac:dyDescent="0.25">
      <c r="A39" s="8" t="s">
        <v>18</v>
      </c>
      <c r="B39" s="8" t="s">
        <v>12</v>
      </c>
      <c r="C39" s="9">
        <v>39904</v>
      </c>
      <c r="D39" s="8" t="e">
        <f>#REF!+#REF!</f>
        <v>#REF!</v>
      </c>
      <c r="E39" s="8" t="e">
        <f>#REF!+#REF!</f>
        <v>#REF!</v>
      </c>
      <c r="F39" s="8" t="e">
        <f>#REF!+#REF!</f>
        <v>#REF!</v>
      </c>
      <c r="G39" s="8" t="e">
        <f>#REF!+#REF!</f>
        <v>#REF!</v>
      </c>
      <c r="H39" s="8" t="e">
        <f>#REF!+#REF!</f>
        <v>#REF!</v>
      </c>
      <c r="I39" s="8" t="e">
        <f>#REF!+#REF!</f>
        <v>#REF!</v>
      </c>
      <c r="J39" s="8" t="e">
        <f>#REF!+#REF!</f>
        <v>#REF!</v>
      </c>
      <c r="K39" s="23" t="e">
        <f t="shared" si="0"/>
        <v>#REF!</v>
      </c>
      <c r="L39" s="23" t="e">
        <f t="shared" si="1"/>
        <v>#REF!</v>
      </c>
      <c r="M39" s="23" t="e">
        <f t="shared" si="2"/>
        <v>#REF!</v>
      </c>
      <c r="N39" s="24" t="e">
        <f t="shared" si="3"/>
        <v>#REF!</v>
      </c>
      <c r="O39" s="8"/>
      <c r="P39" s="8"/>
      <c r="Q39" s="1" t="e">
        <f>#REF!+#REF!</f>
        <v>#REF!</v>
      </c>
      <c r="S39" s="1" t="e">
        <f t="shared" si="4"/>
        <v>#REF!</v>
      </c>
      <c r="T39" s="1" t="e">
        <f t="shared" si="5"/>
        <v>#REF!</v>
      </c>
      <c r="U39" s="1" t="e">
        <f t="shared" si="6"/>
        <v>#REF!</v>
      </c>
      <c r="V39" s="1" t="e">
        <f t="shared" si="7"/>
        <v>#REF!</v>
      </c>
    </row>
    <row r="40" spans="1:23" x14ac:dyDescent="0.25">
      <c r="A40" s="8" t="s">
        <v>18</v>
      </c>
      <c r="B40" s="8" t="s">
        <v>13</v>
      </c>
      <c r="C40" s="9">
        <v>39934</v>
      </c>
      <c r="D40" s="8" t="e">
        <f>#REF!+#REF!</f>
        <v>#REF!</v>
      </c>
      <c r="E40" s="8" t="e">
        <f>#REF!+#REF!</f>
        <v>#REF!</v>
      </c>
      <c r="F40" s="8" t="e">
        <f>#REF!+#REF!</f>
        <v>#REF!</v>
      </c>
      <c r="G40" s="8" t="e">
        <f>#REF!+#REF!</f>
        <v>#REF!</v>
      </c>
      <c r="H40" s="8" t="e">
        <f>#REF!+#REF!</f>
        <v>#REF!</v>
      </c>
      <c r="I40" s="8" t="e">
        <f>#REF!+#REF!</f>
        <v>#REF!</v>
      </c>
      <c r="J40" s="8" t="e">
        <f>#REF!+#REF!</f>
        <v>#REF!</v>
      </c>
      <c r="K40" s="23" t="e">
        <f t="shared" si="0"/>
        <v>#REF!</v>
      </c>
      <c r="L40" s="23" t="e">
        <f t="shared" si="1"/>
        <v>#REF!</v>
      </c>
      <c r="M40" s="23" t="e">
        <f t="shared" si="2"/>
        <v>#REF!</v>
      </c>
      <c r="N40" s="24" t="e">
        <f t="shared" si="3"/>
        <v>#REF!</v>
      </c>
      <c r="O40" s="8"/>
      <c r="P40" s="8"/>
      <c r="Q40" s="1" t="e">
        <f>#REF!+#REF!</f>
        <v>#REF!</v>
      </c>
      <c r="S40" s="1" t="e">
        <f t="shared" si="4"/>
        <v>#REF!</v>
      </c>
      <c r="T40" s="1" t="e">
        <f t="shared" si="5"/>
        <v>#REF!</v>
      </c>
      <c r="U40" s="1" t="e">
        <f t="shared" si="6"/>
        <v>#REF!</v>
      </c>
      <c r="V40" s="1" t="e">
        <f t="shared" si="7"/>
        <v>#REF!</v>
      </c>
    </row>
    <row r="41" spans="1:23" x14ac:dyDescent="0.25">
      <c r="A41" s="8" t="s">
        <v>18</v>
      </c>
      <c r="B41" s="8" t="s">
        <v>13</v>
      </c>
      <c r="C41" s="9">
        <v>39965</v>
      </c>
      <c r="D41" s="8" t="e">
        <f>#REF!+#REF!</f>
        <v>#REF!</v>
      </c>
      <c r="E41" s="8" t="e">
        <f>#REF!+#REF!</f>
        <v>#REF!</v>
      </c>
      <c r="F41" s="8" t="e">
        <f>#REF!+#REF!</f>
        <v>#REF!</v>
      </c>
      <c r="G41" s="8" t="e">
        <f>#REF!+#REF!</f>
        <v>#REF!</v>
      </c>
      <c r="H41" s="8" t="e">
        <f>#REF!+#REF!</f>
        <v>#REF!</v>
      </c>
      <c r="I41" s="8" t="e">
        <f>#REF!+#REF!</f>
        <v>#REF!</v>
      </c>
      <c r="J41" s="8" t="e">
        <f>#REF!+#REF!</f>
        <v>#REF!</v>
      </c>
      <c r="K41" s="23" t="e">
        <f t="shared" si="0"/>
        <v>#REF!</v>
      </c>
      <c r="L41" s="23" t="e">
        <f t="shared" si="1"/>
        <v>#REF!</v>
      </c>
      <c r="M41" s="23" t="e">
        <f t="shared" si="2"/>
        <v>#REF!</v>
      </c>
      <c r="N41" s="24" t="e">
        <f t="shared" si="3"/>
        <v>#REF!</v>
      </c>
      <c r="O41" s="8"/>
      <c r="P41" s="8"/>
      <c r="Q41" s="1" t="e">
        <f>#REF!+#REF!</f>
        <v>#REF!</v>
      </c>
      <c r="S41" s="1" t="e">
        <f t="shared" si="4"/>
        <v>#REF!</v>
      </c>
      <c r="T41" s="1" t="e">
        <f t="shared" si="5"/>
        <v>#REF!</v>
      </c>
      <c r="U41" s="1" t="e">
        <f t="shared" si="6"/>
        <v>#REF!</v>
      </c>
      <c r="V41" s="1" t="e">
        <f t="shared" si="7"/>
        <v>#REF!</v>
      </c>
    </row>
    <row r="42" spans="1:23" x14ac:dyDescent="0.25">
      <c r="A42" s="8" t="s">
        <v>18</v>
      </c>
      <c r="B42" s="8" t="s">
        <v>13</v>
      </c>
      <c r="C42" s="9">
        <v>39995</v>
      </c>
      <c r="D42" s="8" t="e">
        <f>#REF!+#REF!</f>
        <v>#REF!</v>
      </c>
      <c r="E42" s="8" t="e">
        <f>#REF!+#REF!</f>
        <v>#REF!</v>
      </c>
      <c r="F42" s="8" t="e">
        <f>#REF!+#REF!</f>
        <v>#REF!</v>
      </c>
      <c r="G42" s="8" t="e">
        <f>#REF!+#REF!</f>
        <v>#REF!</v>
      </c>
      <c r="H42" s="8" t="e">
        <f>#REF!+#REF!</f>
        <v>#REF!</v>
      </c>
      <c r="I42" s="8" t="e">
        <f>#REF!+#REF!</f>
        <v>#REF!</v>
      </c>
      <c r="J42" s="8" t="e">
        <f>#REF!+#REF!</f>
        <v>#REF!</v>
      </c>
      <c r="K42" s="23" t="e">
        <f t="shared" si="0"/>
        <v>#REF!</v>
      </c>
      <c r="L42" s="23" t="e">
        <f t="shared" si="1"/>
        <v>#REF!</v>
      </c>
      <c r="M42" s="23" t="e">
        <f t="shared" si="2"/>
        <v>#REF!</v>
      </c>
      <c r="N42" s="24" t="e">
        <f t="shared" si="3"/>
        <v>#REF!</v>
      </c>
      <c r="O42" s="8"/>
      <c r="P42" s="8"/>
      <c r="Q42" s="1" t="e">
        <f>#REF!+#REF!</f>
        <v>#REF!</v>
      </c>
      <c r="S42" s="1" t="e">
        <f t="shared" si="4"/>
        <v>#REF!</v>
      </c>
      <c r="T42" s="1" t="e">
        <f t="shared" si="5"/>
        <v>#REF!</v>
      </c>
      <c r="U42" s="1" t="e">
        <f t="shared" si="6"/>
        <v>#REF!</v>
      </c>
      <c r="V42" s="1" t="e">
        <f t="shared" si="7"/>
        <v>#REF!</v>
      </c>
    </row>
    <row r="43" spans="1:23" x14ac:dyDescent="0.25">
      <c r="A43" s="8" t="s">
        <v>18</v>
      </c>
      <c r="B43" s="8" t="s">
        <v>14</v>
      </c>
      <c r="C43" s="9">
        <v>40026</v>
      </c>
      <c r="D43" s="8" t="e">
        <f>#REF!+#REF!</f>
        <v>#REF!</v>
      </c>
      <c r="E43" s="8" t="e">
        <f>#REF!+#REF!</f>
        <v>#REF!</v>
      </c>
      <c r="F43" s="8" t="e">
        <f>#REF!+#REF!</f>
        <v>#REF!</v>
      </c>
      <c r="G43" s="8" t="e">
        <f>#REF!+#REF!</f>
        <v>#REF!</v>
      </c>
      <c r="H43" s="8" t="e">
        <f>#REF!+#REF!</f>
        <v>#REF!</v>
      </c>
      <c r="I43" s="8" t="e">
        <f>#REF!+#REF!</f>
        <v>#REF!</v>
      </c>
      <c r="J43" s="8" t="e">
        <f>#REF!+#REF!</f>
        <v>#REF!</v>
      </c>
      <c r="K43" s="23" t="e">
        <f t="shared" si="0"/>
        <v>#REF!</v>
      </c>
      <c r="L43" s="23" t="e">
        <f t="shared" si="1"/>
        <v>#REF!</v>
      </c>
      <c r="M43" s="23" t="e">
        <f t="shared" si="2"/>
        <v>#REF!</v>
      </c>
      <c r="N43" s="24" t="e">
        <f t="shared" si="3"/>
        <v>#REF!</v>
      </c>
      <c r="O43" s="8"/>
      <c r="P43" s="8"/>
      <c r="Q43" s="1" t="e">
        <f>#REF!+#REF!</f>
        <v>#REF!</v>
      </c>
      <c r="S43" s="1" t="e">
        <f t="shared" si="4"/>
        <v>#REF!</v>
      </c>
      <c r="T43" s="1" t="e">
        <f t="shared" si="5"/>
        <v>#REF!</v>
      </c>
      <c r="U43" s="1" t="e">
        <f t="shared" si="6"/>
        <v>#REF!</v>
      </c>
      <c r="V43" s="1" t="e">
        <f t="shared" si="7"/>
        <v>#REF!</v>
      </c>
    </row>
    <row r="44" spans="1:23" x14ac:dyDescent="0.25">
      <c r="A44" s="8" t="s">
        <v>18</v>
      </c>
      <c r="B44" s="8" t="s">
        <v>14</v>
      </c>
      <c r="C44" s="9">
        <v>40057</v>
      </c>
      <c r="D44" s="8" t="e">
        <f>#REF!+#REF!</f>
        <v>#REF!</v>
      </c>
      <c r="E44" s="8" t="e">
        <f>#REF!+#REF!</f>
        <v>#REF!</v>
      </c>
      <c r="F44" s="8" t="e">
        <f>#REF!+#REF!</f>
        <v>#REF!</v>
      </c>
      <c r="G44" s="8" t="e">
        <f>#REF!+#REF!</f>
        <v>#REF!</v>
      </c>
      <c r="H44" s="8" t="e">
        <f>#REF!+#REF!</f>
        <v>#REF!</v>
      </c>
      <c r="I44" s="8" t="e">
        <f>#REF!+#REF!</f>
        <v>#REF!</v>
      </c>
      <c r="J44" s="8" t="e">
        <f>#REF!+#REF!</f>
        <v>#REF!</v>
      </c>
      <c r="K44" s="23" t="e">
        <f t="shared" si="0"/>
        <v>#REF!</v>
      </c>
      <c r="L44" s="23" t="e">
        <f t="shared" si="1"/>
        <v>#REF!</v>
      </c>
      <c r="M44" s="23" t="e">
        <f t="shared" si="2"/>
        <v>#REF!</v>
      </c>
      <c r="N44" s="24" t="e">
        <f t="shared" si="3"/>
        <v>#REF!</v>
      </c>
      <c r="O44" s="8"/>
      <c r="P44" s="8"/>
      <c r="Q44" s="1" t="e">
        <f>#REF!+#REF!</f>
        <v>#REF!</v>
      </c>
      <c r="S44" s="1" t="e">
        <f t="shared" si="4"/>
        <v>#REF!</v>
      </c>
      <c r="T44" s="1" t="e">
        <f t="shared" si="5"/>
        <v>#REF!</v>
      </c>
      <c r="U44" s="1" t="e">
        <f t="shared" si="6"/>
        <v>#REF!</v>
      </c>
      <c r="V44" s="1" t="e">
        <f t="shared" si="7"/>
        <v>#REF!</v>
      </c>
    </row>
    <row r="45" spans="1:23" x14ac:dyDescent="0.25">
      <c r="A45" s="8" t="s">
        <v>18</v>
      </c>
      <c r="B45" s="8" t="s">
        <v>14</v>
      </c>
      <c r="C45" s="9">
        <v>40087</v>
      </c>
      <c r="D45" s="8" t="e">
        <f>#REF!+#REF!</f>
        <v>#REF!</v>
      </c>
      <c r="E45" s="8" t="e">
        <f>#REF!+#REF!</f>
        <v>#REF!</v>
      </c>
      <c r="F45" s="8" t="e">
        <f>#REF!+#REF!</f>
        <v>#REF!</v>
      </c>
      <c r="G45" s="8" t="e">
        <f>#REF!+#REF!</f>
        <v>#REF!</v>
      </c>
      <c r="H45" s="8" t="e">
        <f>#REF!+#REF!</f>
        <v>#REF!</v>
      </c>
      <c r="I45" s="8" t="e">
        <f>#REF!+#REF!</f>
        <v>#REF!</v>
      </c>
      <c r="J45" s="8" t="e">
        <f>#REF!+#REF!</f>
        <v>#REF!</v>
      </c>
      <c r="K45" s="23" t="e">
        <f t="shared" si="0"/>
        <v>#REF!</v>
      </c>
      <c r="L45" s="23" t="e">
        <f t="shared" si="1"/>
        <v>#REF!</v>
      </c>
      <c r="M45" s="23" t="e">
        <f t="shared" si="2"/>
        <v>#REF!</v>
      </c>
      <c r="N45" s="24" t="e">
        <f t="shared" si="3"/>
        <v>#REF!</v>
      </c>
      <c r="O45" s="8"/>
      <c r="P45" s="8"/>
      <c r="Q45" s="1" t="e">
        <f>#REF!+#REF!</f>
        <v>#REF!</v>
      </c>
      <c r="S45" s="1" t="e">
        <f t="shared" si="4"/>
        <v>#REF!</v>
      </c>
      <c r="T45" s="1" t="e">
        <f t="shared" si="5"/>
        <v>#REF!</v>
      </c>
      <c r="U45" s="1" t="e">
        <f t="shared" si="6"/>
        <v>#REF!</v>
      </c>
      <c r="V45" s="1" t="e">
        <f t="shared" si="7"/>
        <v>#REF!</v>
      </c>
    </row>
    <row r="46" spans="1:23" x14ac:dyDescent="0.25">
      <c r="A46" s="8" t="s">
        <v>19</v>
      </c>
      <c r="B46" s="8" t="s">
        <v>15</v>
      </c>
      <c r="C46" s="9">
        <v>40118</v>
      </c>
      <c r="D46" s="8" t="e">
        <f>#REF!+#REF!</f>
        <v>#REF!</v>
      </c>
      <c r="E46" s="8" t="e">
        <f>#REF!+#REF!</f>
        <v>#REF!</v>
      </c>
      <c r="F46" s="8" t="e">
        <f>#REF!+#REF!</f>
        <v>#REF!</v>
      </c>
      <c r="G46" s="8" t="e">
        <f>#REF!+#REF!</f>
        <v>#REF!</v>
      </c>
      <c r="H46" s="8" t="e">
        <f>#REF!+#REF!</f>
        <v>#REF!</v>
      </c>
      <c r="I46" s="8" t="e">
        <f>#REF!+#REF!</f>
        <v>#REF!</v>
      </c>
      <c r="J46" s="8" t="e">
        <f>#REF!+#REF!</f>
        <v>#REF!</v>
      </c>
      <c r="K46" s="23" t="e">
        <f t="shared" si="0"/>
        <v>#REF!</v>
      </c>
      <c r="L46" s="23" t="e">
        <f t="shared" si="1"/>
        <v>#REF!</v>
      </c>
      <c r="M46" s="23" t="e">
        <f t="shared" si="2"/>
        <v>#REF!</v>
      </c>
      <c r="N46" s="24" t="e">
        <f t="shared" si="3"/>
        <v>#REF!</v>
      </c>
      <c r="O46" s="8"/>
      <c r="P46" s="8"/>
      <c r="Q46" s="1" t="e">
        <f>#REF!+#REF!</f>
        <v>#REF!</v>
      </c>
      <c r="S46" s="1" t="e">
        <f t="shared" si="4"/>
        <v>#REF!</v>
      </c>
      <c r="T46" s="1" t="e">
        <f t="shared" si="5"/>
        <v>#REF!</v>
      </c>
      <c r="U46" s="1" t="e">
        <f t="shared" si="6"/>
        <v>#REF!</v>
      </c>
      <c r="V46" s="1" t="e">
        <f t="shared" si="7"/>
        <v>#REF!</v>
      </c>
    </row>
    <row r="47" spans="1:23" x14ac:dyDescent="0.25">
      <c r="A47" s="8" t="s">
        <v>19</v>
      </c>
      <c r="B47" s="8" t="s">
        <v>15</v>
      </c>
      <c r="C47" s="9">
        <v>40148</v>
      </c>
      <c r="D47" s="8" t="e">
        <f>#REF!+#REF!</f>
        <v>#REF!</v>
      </c>
      <c r="E47" s="8" t="e">
        <f>#REF!+#REF!</f>
        <v>#REF!</v>
      </c>
      <c r="F47" s="8" t="e">
        <f>#REF!+#REF!</f>
        <v>#REF!</v>
      </c>
      <c r="G47" s="8" t="e">
        <f>#REF!+#REF!</f>
        <v>#REF!</v>
      </c>
      <c r="H47" s="8" t="e">
        <f>#REF!+#REF!</f>
        <v>#REF!</v>
      </c>
      <c r="I47" s="8" t="e">
        <f>#REF!+#REF!</f>
        <v>#REF!</v>
      </c>
      <c r="J47" s="8" t="e">
        <f>#REF!+#REF!</f>
        <v>#REF!</v>
      </c>
      <c r="K47" s="23" t="e">
        <f t="shared" si="0"/>
        <v>#REF!</v>
      </c>
      <c r="L47" s="23" t="e">
        <f t="shared" si="1"/>
        <v>#REF!</v>
      </c>
      <c r="M47" s="23" t="e">
        <f t="shared" si="2"/>
        <v>#REF!</v>
      </c>
      <c r="N47" s="24" t="e">
        <f t="shared" si="3"/>
        <v>#REF!</v>
      </c>
      <c r="O47" s="8"/>
      <c r="P47" s="8"/>
      <c r="Q47" s="1" t="e">
        <f>#REF!+#REF!</f>
        <v>#REF!</v>
      </c>
      <c r="S47" s="1" t="e">
        <f t="shared" si="4"/>
        <v>#REF!</v>
      </c>
      <c r="T47" s="1" t="e">
        <f t="shared" si="5"/>
        <v>#REF!</v>
      </c>
      <c r="U47" s="1" t="e">
        <f t="shared" si="6"/>
        <v>#REF!</v>
      </c>
      <c r="V47" s="1" t="e">
        <f t="shared" si="7"/>
        <v>#REF!</v>
      </c>
      <c r="W47" s="1" t="e">
        <f t="shared" ref="W47:W78" si="8">AVERAGE(I36:I47)</f>
        <v>#REF!</v>
      </c>
    </row>
    <row r="48" spans="1:23" x14ac:dyDescent="0.25">
      <c r="A48" s="8" t="s">
        <v>19</v>
      </c>
      <c r="B48" s="8" t="s">
        <v>15</v>
      </c>
      <c r="C48" s="9">
        <v>40179</v>
      </c>
      <c r="D48" s="8" t="e">
        <f>#REF!+#REF!</f>
        <v>#REF!</v>
      </c>
      <c r="E48" s="8" t="e">
        <f>#REF!+#REF!</f>
        <v>#REF!</v>
      </c>
      <c r="F48" s="8" t="e">
        <f>#REF!+#REF!</f>
        <v>#REF!</v>
      </c>
      <c r="G48" s="8" t="e">
        <f>#REF!+#REF!</f>
        <v>#REF!</v>
      </c>
      <c r="H48" s="8" t="e">
        <f>#REF!+#REF!</f>
        <v>#REF!</v>
      </c>
      <c r="I48" s="8" t="e">
        <f>#REF!+#REF!</f>
        <v>#REF!</v>
      </c>
      <c r="J48" s="8" t="e">
        <f>#REF!+#REF!</f>
        <v>#REF!</v>
      </c>
      <c r="K48" s="23" t="e">
        <f t="shared" si="0"/>
        <v>#REF!</v>
      </c>
      <c r="L48" s="23" t="e">
        <f t="shared" si="1"/>
        <v>#REF!</v>
      </c>
      <c r="M48" s="23" t="e">
        <f t="shared" si="2"/>
        <v>#REF!</v>
      </c>
      <c r="N48" s="24" t="e">
        <f t="shared" si="3"/>
        <v>#REF!</v>
      </c>
      <c r="O48" s="8"/>
      <c r="P48" s="8"/>
      <c r="Q48" s="1" t="e">
        <f>#REF!+#REF!</f>
        <v>#REF!</v>
      </c>
      <c r="S48" s="1" t="e">
        <f t="shared" si="4"/>
        <v>#REF!</v>
      </c>
      <c r="T48" s="1" t="e">
        <f t="shared" si="5"/>
        <v>#REF!</v>
      </c>
      <c r="U48" s="1" t="e">
        <f t="shared" si="6"/>
        <v>#REF!</v>
      </c>
      <c r="V48" s="1" t="e">
        <f t="shared" si="7"/>
        <v>#REF!</v>
      </c>
      <c r="W48" s="1" t="e">
        <f t="shared" si="8"/>
        <v>#REF!</v>
      </c>
    </row>
    <row r="49" spans="1:23" x14ac:dyDescent="0.25">
      <c r="A49" s="8" t="s">
        <v>19</v>
      </c>
      <c r="B49" s="8" t="s">
        <v>12</v>
      </c>
      <c r="C49" s="9">
        <v>40210</v>
      </c>
      <c r="D49" s="8" t="e">
        <f>#REF!+#REF!</f>
        <v>#REF!</v>
      </c>
      <c r="E49" s="8" t="e">
        <f>#REF!+#REF!</f>
        <v>#REF!</v>
      </c>
      <c r="F49" s="8" t="e">
        <f>#REF!+#REF!</f>
        <v>#REF!</v>
      </c>
      <c r="G49" s="8" t="e">
        <f>#REF!+#REF!</f>
        <v>#REF!</v>
      </c>
      <c r="H49" s="8" t="e">
        <f>#REF!+#REF!</f>
        <v>#REF!</v>
      </c>
      <c r="I49" s="8" t="e">
        <f>#REF!+#REF!</f>
        <v>#REF!</v>
      </c>
      <c r="J49" s="8" t="e">
        <f>#REF!+#REF!</f>
        <v>#REF!</v>
      </c>
      <c r="K49" s="23" t="e">
        <f t="shared" si="0"/>
        <v>#REF!</v>
      </c>
      <c r="L49" s="23" t="e">
        <f t="shared" si="1"/>
        <v>#REF!</v>
      </c>
      <c r="M49" s="23" t="e">
        <f t="shared" si="2"/>
        <v>#REF!</v>
      </c>
      <c r="N49" s="24" t="e">
        <f t="shared" si="3"/>
        <v>#REF!</v>
      </c>
      <c r="O49" s="8"/>
      <c r="P49" s="8"/>
      <c r="Q49" s="1" t="e">
        <f>#REF!+#REF!</f>
        <v>#REF!</v>
      </c>
      <c r="S49" s="1" t="e">
        <f t="shared" si="4"/>
        <v>#REF!</v>
      </c>
      <c r="T49" s="1" t="e">
        <f t="shared" si="5"/>
        <v>#REF!</v>
      </c>
      <c r="U49" s="1" t="e">
        <f t="shared" si="6"/>
        <v>#REF!</v>
      </c>
      <c r="V49" s="1" t="e">
        <f t="shared" si="7"/>
        <v>#REF!</v>
      </c>
      <c r="W49" s="1" t="e">
        <f t="shared" si="8"/>
        <v>#REF!</v>
      </c>
    </row>
    <row r="50" spans="1:23" x14ac:dyDescent="0.25">
      <c r="A50" s="8" t="s">
        <v>19</v>
      </c>
      <c r="B50" s="8" t="s">
        <v>12</v>
      </c>
      <c r="C50" s="9">
        <v>40238</v>
      </c>
      <c r="D50" s="8" t="e">
        <f>#REF!+#REF!</f>
        <v>#REF!</v>
      </c>
      <c r="E50" s="8" t="e">
        <f>#REF!+#REF!</f>
        <v>#REF!</v>
      </c>
      <c r="F50" s="8" t="e">
        <f>#REF!+#REF!</f>
        <v>#REF!</v>
      </c>
      <c r="G50" s="8" t="e">
        <f>#REF!+#REF!</f>
        <v>#REF!</v>
      </c>
      <c r="H50" s="8" t="e">
        <f>#REF!+#REF!</f>
        <v>#REF!</v>
      </c>
      <c r="I50" s="8" t="e">
        <f>#REF!+#REF!</f>
        <v>#REF!</v>
      </c>
      <c r="J50" s="8" t="e">
        <f>#REF!+#REF!</f>
        <v>#REF!</v>
      </c>
      <c r="K50" s="23" t="e">
        <f t="shared" si="0"/>
        <v>#REF!</v>
      </c>
      <c r="L50" s="23" t="e">
        <f t="shared" si="1"/>
        <v>#REF!</v>
      </c>
      <c r="M50" s="23" t="e">
        <f t="shared" si="2"/>
        <v>#REF!</v>
      </c>
      <c r="N50" s="24" t="e">
        <f t="shared" si="3"/>
        <v>#REF!</v>
      </c>
      <c r="O50" s="8"/>
      <c r="P50" s="8"/>
      <c r="Q50" s="1" t="e">
        <f>#REF!+#REF!</f>
        <v>#REF!</v>
      </c>
      <c r="S50" s="1" t="e">
        <f t="shared" si="4"/>
        <v>#REF!</v>
      </c>
      <c r="T50" s="1" t="e">
        <f t="shared" si="5"/>
        <v>#REF!</v>
      </c>
      <c r="U50" s="1" t="e">
        <f t="shared" si="6"/>
        <v>#REF!</v>
      </c>
      <c r="V50" s="1" t="e">
        <f t="shared" si="7"/>
        <v>#REF!</v>
      </c>
      <c r="W50" s="1" t="e">
        <f t="shared" si="8"/>
        <v>#REF!</v>
      </c>
    </row>
    <row r="51" spans="1:23" x14ac:dyDescent="0.25">
      <c r="A51" s="8" t="s">
        <v>19</v>
      </c>
      <c r="B51" s="8" t="s">
        <v>12</v>
      </c>
      <c r="C51" s="9">
        <v>40269</v>
      </c>
      <c r="D51" s="8" t="e">
        <f>#REF!+#REF!</f>
        <v>#REF!</v>
      </c>
      <c r="E51" s="8" t="e">
        <f>#REF!+#REF!</f>
        <v>#REF!</v>
      </c>
      <c r="F51" s="8" t="e">
        <f>#REF!+#REF!</f>
        <v>#REF!</v>
      </c>
      <c r="G51" s="8" t="e">
        <f>#REF!+#REF!</f>
        <v>#REF!</v>
      </c>
      <c r="H51" s="8" t="e">
        <f>#REF!+#REF!</f>
        <v>#REF!</v>
      </c>
      <c r="I51" s="8" t="e">
        <f>#REF!+#REF!</f>
        <v>#REF!</v>
      </c>
      <c r="J51" s="8" t="e">
        <f>#REF!+#REF!</f>
        <v>#REF!</v>
      </c>
      <c r="K51" s="23" t="e">
        <f t="shared" si="0"/>
        <v>#REF!</v>
      </c>
      <c r="L51" s="23" t="e">
        <f t="shared" si="1"/>
        <v>#REF!</v>
      </c>
      <c r="M51" s="23" t="e">
        <f t="shared" si="2"/>
        <v>#REF!</v>
      </c>
      <c r="N51" s="24" t="e">
        <f t="shared" si="3"/>
        <v>#REF!</v>
      </c>
      <c r="O51" s="8"/>
      <c r="P51" s="8"/>
      <c r="Q51" s="1" t="e">
        <f>#REF!+#REF!</f>
        <v>#REF!</v>
      </c>
      <c r="S51" s="1" t="e">
        <f t="shared" si="4"/>
        <v>#REF!</v>
      </c>
      <c r="T51" s="1" t="e">
        <f t="shared" si="5"/>
        <v>#REF!</v>
      </c>
      <c r="U51" s="1" t="e">
        <f t="shared" si="6"/>
        <v>#REF!</v>
      </c>
      <c r="V51" s="1" t="e">
        <f t="shared" si="7"/>
        <v>#REF!</v>
      </c>
      <c r="W51" s="1" t="e">
        <f t="shared" si="8"/>
        <v>#REF!</v>
      </c>
    </row>
    <row r="52" spans="1:23" x14ac:dyDescent="0.25">
      <c r="A52" s="8" t="s">
        <v>19</v>
      </c>
      <c r="B52" s="8" t="s">
        <v>13</v>
      </c>
      <c r="C52" s="9">
        <v>40299</v>
      </c>
      <c r="D52" s="8" t="e">
        <f>#REF!+#REF!</f>
        <v>#REF!</v>
      </c>
      <c r="E52" s="8" t="e">
        <f>#REF!+#REF!</f>
        <v>#REF!</v>
      </c>
      <c r="F52" s="8" t="e">
        <f>#REF!+#REF!</f>
        <v>#REF!</v>
      </c>
      <c r="G52" s="8" t="e">
        <f>#REF!+#REF!</f>
        <v>#REF!</v>
      </c>
      <c r="H52" s="8" t="e">
        <f>#REF!+#REF!</f>
        <v>#REF!</v>
      </c>
      <c r="I52" s="8" t="e">
        <f>#REF!+#REF!</f>
        <v>#REF!</v>
      </c>
      <c r="J52" s="8" t="e">
        <f>#REF!+#REF!</f>
        <v>#REF!</v>
      </c>
      <c r="K52" s="23" t="e">
        <f t="shared" si="0"/>
        <v>#REF!</v>
      </c>
      <c r="L52" s="23" t="e">
        <f t="shared" si="1"/>
        <v>#REF!</v>
      </c>
      <c r="M52" s="23" t="e">
        <f t="shared" si="2"/>
        <v>#REF!</v>
      </c>
      <c r="N52" s="24" t="e">
        <f t="shared" si="3"/>
        <v>#REF!</v>
      </c>
      <c r="O52" s="8"/>
      <c r="P52" s="8"/>
      <c r="Q52" s="1" t="e">
        <f>#REF!+#REF!</f>
        <v>#REF!</v>
      </c>
      <c r="S52" s="1" t="e">
        <f t="shared" si="4"/>
        <v>#REF!</v>
      </c>
      <c r="T52" s="1" t="e">
        <f t="shared" si="5"/>
        <v>#REF!</v>
      </c>
      <c r="U52" s="1" t="e">
        <f t="shared" si="6"/>
        <v>#REF!</v>
      </c>
      <c r="V52" s="1" t="e">
        <f t="shared" si="7"/>
        <v>#REF!</v>
      </c>
      <c r="W52" s="1" t="e">
        <f t="shared" si="8"/>
        <v>#REF!</v>
      </c>
    </row>
    <row r="53" spans="1:23" x14ac:dyDescent="0.25">
      <c r="A53" s="8" t="s">
        <v>19</v>
      </c>
      <c r="B53" s="8" t="s">
        <v>13</v>
      </c>
      <c r="C53" s="9">
        <v>40330</v>
      </c>
      <c r="D53" s="8" t="e">
        <f>#REF!+#REF!</f>
        <v>#REF!</v>
      </c>
      <c r="E53" s="8" t="e">
        <f>#REF!+#REF!</f>
        <v>#REF!</v>
      </c>
      <c r="F53" s="8" t="e">
        <f>#REF!+#REF!</f>
        <v>#REF!</v>
      </c>
      <c r="G53" s="8" t="e">
        <f>#REF!+#REF!</f>
        <v>#REF!</v>
      </c>
      <c r="H53" s="8" t="e">
        <f>#REF!+#REF!</f>
        <v>#REF!</v>
      </c>
      <c r="I53" s="8" t="e">
        <f>#REF!+#REF!</f>
        <v>#REF!</v>
      </c>
      <c r="J53" s="8" t="e">
        <f>#REF!+#REF!</f>
        <v>#REF!</v>
      </c>
      <c r="K53" s="23" t="e">
        <f t="shared" si="0"/>
        <v>#REF!</v>
      </c>
      <c r="L53" s="23" t="e">
        <f t="shared" si="1"/>
        <v>#REF!</v>
      </c>
      <c r="M53" s="23" t="e">
        <f t="shared" si="2"/>
        <v>#REF!</v>
      </c>
      <c r="N53" s="24" t="e">
        <f t="shared" si="3"/>
        <v>#REF!</v>
      </c>
      <c r="O53" s="8"/>
      <c r="P53" s="8"/>
      <c r="Q53" s="1" t="e">
        <f>#REF!+#REF!</f>
        <v>#REF!</v>
      </c>
      <c r="S53" s="1" t="e">
        <f t="shared" si="4"/>
        <v>#REF!</v>
      </c>
      <c r="T53" s="1" t="e">
        <f t="shared" si="5"/>
        <v>#REF!</v>
      </c>
      <c r="U53" s="1" t="e">
        <f t="shared" si="6"/>
        <v>#REF!</v>
      </c>
      <c r="V53" s="1" t="e">
        <f t="shared" si="7"/>
        <v>#REF!</v>
      </c>
      <c r="W53" s="1" t="e">
        <f t="shared" si="8"/>
        <v>#REF!</v>
      </c>
    </row>
    <row r="54" spans="1:23" x14ac:dyDescent="0.25">
      <c r="A54" s="8" t="s">
        <v>19</v>
      </c>
      <c r="B54" s="8" t="s">
        <v>13</v>
      </c>
      <c r="C54" s="9">
        <v>40360</v>
      </c>
      <c r="D54" s="8" t="e">
        <f>#REF!+#REF!</f>
        <v>#REF!</v>
      </c>
      <c r="E54" s="8" t="e">
        <f>#REF!+#REF!</f>
        <v>#REF!</v>
      </c>
      <c r="F54" s="8" t="e">
        <f>#REF!+#REF!</f>
        <v>#REF!</v>
      </c>
      <c r="G54" s="8" t="e">
        <f>#REF!+#REF!</f>
        <v>#REF!</v>
      </c>
      <c r="H54" s="8" t="e">
        <f>#REF!+#REF!</f>
        <v>#REF!</v>
      </c>
      <c r="I54" s="8" t="e">
        <f>#REF!+#REF!</f>
        <v>#REF!</v>
      </c>
      <c r="J54" s="8" t="e">
        <f>#REF!+#REF!</f>
        <v>#REF!</v>
      </c>
      <c r="K54" s="23" t="e">
        <f t="shared" si="0"/>
        <v>#REF!</v>
      </c>
      <c r="L54" s="23" t="e">
        <f t="shared" si="1"/>
        <v>#REF!</v>
      </c>
      <c r="M54" s="23" t="e">
        <f t="shared" si="2"/>
        <v>#REF!</v>
      </c>
      <c r="N54" s="24" t="e">
        <f t="shared" si="3"/>
        <v>#REF!</v>
      </c>
      <c r="O54" s="8"/>
      <c r="P54" s="8"/>
      <c r="Q54" s="1" t="e">
        <f>#REF!+#REF!</f>
        <v>#REF!</v>
      </c>
      <c r="S54" s="1" t="e">
        <f t="shared" si="4"/>
        <v>#REF!</v>
      </c>
      <c r="T54" s="1" t="e">
        <f t="shared" si="5"/>
        <v>#REF!</v>
      </c>
      <c r="U54" s="1" t="e">
        <f t="shared" si="6"/>
        <v>#REF!</v>
      </c>
      <c r="V54" s="1" t="e">
        <f t="shared" si="7"/>
        <v>#REF!</v>
      </c>
      <c r="W54" s="1" t="e">
        <f t="shared" si="8"/>
        <v>#REF!</v>
      </c>
    </row>
    <row r="55" spans="1:23" x14ac:dyDescent="0.25">
      <c r="A55" s="8" t="s">
        <v>19</v>
      </c>
      <c r="B55" s="8" t="s">
        <v>14</v>
      </c>
      <c r="C55" s="9">
        <v>40391</v>
      </c>
      <c r="D55" s="8" t="e">
        <f>#REF!+#REF!</f>
        <v>#REF!</v>
      </c>
      <c r="E55" s="8" t="e">
        <f>#REF!+#REF!</f>
        <v>#REF!</v>
      </c>
      <c r="F55" s="8" t="e">
        <f>#REF!+#REF!</f>
        <v>#REF!</v>
      </c>
      <c r="G55" s="8" t="e">
        <f>#REF!+#REF!</f>
        <v>#REF!</v>
      </c>
      <c r="H55" s="8" t="e">
        <f>#REF!+#REF!</f>
        <v>#REF!</v>
      </c>
      <c r="I55" s="8" t="e">
        <f>#REF!+#REF!</f>
        <v>#REF!</v>
      </c>
      <c r="J55" s="8" t="e">
        <f>#REF!+#REF!</f>
        <v>#REF!</v>
      </c>
      <c r="K55" s="23" t="e">
        <f t="shared" si="0"/>
        <v>#REF!</v>
      </c>
      <c r="L55" s="23" t="e">
        <f t="shared" si="1"/>
        <v>#REF!</v>
      </c>
      <c r="M55" s="23" t="e">
        <f t="shared" si="2"/>
        <v>#REF!</v>
      </c>
      <c r="N55" s="24" t="e">
        <f t="shared" si="3"/>
        <v>#REF!</v>
      </c>
      <c r="O55" s="8"/>
      <c r="P55" s="8"/>
      <c r="Q55" s="1" t="e">
        <f>#REF!+#REF!</f>
        <v>#REF!</v>
      </c>
      <c r="S55" s="1" t="e">
        <f t="shared" si="4"/>
        <v>#REF!</v>
      </c>
      <c r="T55" s="1" t="e">
        <f t="shared" si="5"/>
        <v>#REF!</v>
      </c>
      <c r="U55" s="1" t="e">
        <f t="shared" si="6"/>
        <v>#REF!</v>
      </c>
      <c r="V55" s="1" t="e">
        <f t="shared" si="7"/>
        <v>#REF!</v>
      </c>
      <c r="W55" s="1" t="e">
        <f t="shared" si="8"/>
        <v>#REF!</v>
      </c>
    </row>
    <row r="56" spans="1:23" x14ac:dyDescent="0.25">
      <c r="A56" s="8" t="s">
        <v>19</v>
      </c>
      <c r="B56" s="8" t="s">
        <v>14</v>
      </c>
      <c r="C56" s="9">
        <v>40422</v>
      </c>
      <c r="D56" s="8" t="e">
        <f>#REF!+#REF!</f>
        <v>#REF!</v>
      </c>
      <c r="E56" s="8" t="e">
        <f>#REF!+#REF!</f>
        <v>#REF!</v>
      </c>
      <c r="F56" s="8" t="e">
        <f>#REF!+#REF!</f>
        <v>#REF!</v>
      </c>
      <c r="G56" s="8" t="e">
        <f>#REF!+#REF!</f>
        <v>#REF!</v>
      </c>
      <c r="H56" s="8" t="e">
        <f>#REF!+#REF!</f>
        <v>#REF!</v>
      </c>
      <c r="I56" s="8" t="e">
        <f>#REF!+#REF!</f>
        <v>#REF!</v>
      </c>
      <c r="J56" s="8" t="e">
        <f>#REF!+#REF!</f>
        <v>#REF!</v>
      </c>
      <c r="K56" s="23" t="e">
        <f t="shared" si="0"/>
        <v>#REF!</v>
      </c>
      <c r="L56" s="23" t="e">
        <f t="shared" si="1"/>
        <v>#REF!</v>
      </c>
      <c r="M56" s="23" t="e">
        <f t="shared" si="2"/>
        <v>#REF!</v>
      </c>
      <c r="N56" s="24" t="e">
        <f t="shared" si="3"/>
        <v>#REF!</v>
      </c>
      <c r="O56" s="8"/>
      <c r="P56" s="8"/>
      <c r="Q56" s="1" t="e">
        <f>#REF!+#REF!</f>
        <v>#REF!</v>
      </c>
      <c r="S56" s="1" t="e">
        <f t="shared" si="4"/>
        <v>#REF!</v>
      </c>
      <c r="T56" s="1" t="e">
        <f t="shared" si="5"/>
        <v>#REF!</v>
      </c>
      <c r="U56" s="1" t="e">
        <f t="shared" si="6"/>
        <v>#REF!</v>
      </c>
      <c r="V56" s="1" t="e">
        <f t="shared" si="7"/>
        <v>#REF!</v>
      </c>
      <c r="W56" s="1" t="e">
        <f t="shared" si="8"/>
        <v>#REF!</v>
      </c>
    </row>
    <row r="57" spans="1:23" x14ac:dyDescent="0.25">
      <c r="A57" s="8" t="s">
        <v>19</v>
      </c>
      <c r="B57" s="8" t="s">
        <v>14</v>
      </c>
      <c r="C57" s="9">
        <v>40452</v>
      </c>
      <c r="D57" s="8" t="e">
        <f>#REF!+#REF!</f>
        <v>#REF!</v>
      </c>
      <c r="E57" s="8" t="e">
        <f>#REF!+#REF!</f>
        <v>#REF!</v>
      </c>
      <c r="F57" s="8" t="e">
        <f>#REF!+#REF!</f>
        <v>#REF!</v>
      </c>
      <c r="G57" s="8" t="e">
        <f>#REF!+#REF!</f>
        <v>#REF!</v>
      </c>
      <c r="H57" s="8" t="e">
        <f>#REF!+#REF!</f>
        <v>#REF!</v>
      </c>
      <c r="I57" s="8" t="e">
        <f>#REF!+#REF!</f>
        <v>#REF!</v>
      </c>
      <c r="J57" s="8" t="e">
        <f>#REF!+#REF!</f>
        <v>#REF!</v>
      </c>
      <c r="K57" s="23" t="e">
        <f t="shared" si="0"/>
        <v>#REF!</v>
      </c>
      <c r="L57" s="23" t="e">
        <f t="shared" si="1"/>
        <v>#REF!</v>
      </c>
      <c r="M57" s="23" t="e">
        <f t="shared" si="2"/>
        <v>#REF!</v>
      </c>
      <c r="N57" s="24" t="e">
        <f t="shared" si="3"/>
        <v>#REF!</v>
      </c>
      <c r="O57" s="8"/>
      <c r="P57" s="8"/>
      <c r="Q57" s="1" t="e">
        <f>#REF!+#REF!</f>
        <v>#REF!</v>
      </c>
      <c r="S57" s="1" t="e">
        <f>AVERAGE(D46:D57)</f>
        <v>#REF!</v>
      </c>
      <c r="T57" s="1" t="e">
        <f t="shared" si="5"/>
        <v>#REF!</v>
      </c>
      <c r="U57" s="1" t="e">
        <f t="shared" si="6"/>
        <v>#REF!</v>
      </c>
      <c r="V57" s="1" t="e">
        <f t="shared" si="7"/>
        <v>#REF!</v>
      </c>
      <c r="W57" s="1" t="e">
        <f t="shared" si="8"/>
        <v>#REF!</v>
      </c>
    </row>
    <row r="58" spans="1:23" x14ac:dyDescent="0.25">
      <c r="A58" s="8" t="s">
        <v>20</v>
      </c>
      <c r="B58" s="8" t="s">
        <v>15</v>
      </c>
      <c r="C58" s="9">
        <v>40483</v>
      </c>
      <c r="D58" s="8" t="e">
        <f>#REF!+#REF!</f>
        <v>#REF!</v>
      </c>
      <c r="E58" s="8" t="e">
        <f>#REF!+#REF!</f>
        <v>#REF!</v>
      </c>
      <c r="F58" s="8" t="e">
        <f>#REF!+#REF!</f>
        <v>#REF!</v>
      </c>
      <c r="G58" s="8" t="e">
        <f>#REF!+#REF!</f>
        <v>#REF!</v>
      </c>
      <c r="H58" s="8" t="e">
        <f>#REF!+#REF!</f>
        <v>#REF!</v>
      </c>
      <c r="I58" s="8" t="e">
        <f>#REF!+#REF!</f>
        <v>#REF!</v>
      </c>
      <c r="J58" s="8" t="e">
        <f>#REF!+#REF!</f>
        <v>#REF!</v>
      </c>
      <c r="K58" s="23" t="e">
        <f t="shared" si="0"/>
        <v>#REF!</v>
      </c>
      <c r="L58" s="23" t="e">
        <f t="shared" si="1"/>
        <v>#REF!</v>
      </c>
      <c r="M58" s="23" t="e">
        <f t="shared" si="2"/>
        <v>#REF!</v>
      </c>
      <c r="N58" s="24" t="e">
        <f t="shared" si="3"/>
        <v>#REF!</v>
      </c>
      <c r="O58" s="8"/>
      <c r="P58" s="8"/>
      <c r="Q58" s="1" t="e">
        <f>#REF!+#REF!</f>
        <v>#REF!</v>
      </c>
      <c r="S58" s="1" t="e">
        <f t="shared" si="4"/>
        <v>#REF!</v>
      </c>
      <c r="T58" s="1" t="e">
        <f t="shared" si="5"/>
        <v>#REF!</v>
      </c>
      <c r="U58" s="1" t="e">
        <f t="shared" si="6"/>
        <v>#REF!</v>
      </c>
      <c r="V58" s="1" t="e">
        <f t="shared" si="7"/>
        <v>#REF!</v>
      </c>
      <c r="W58" s="1" t="e">
        <f t="shared" si="8"/>
        <v>#REF!</v>
      </c>
    </row>
    <row r="59" spans="1:23" x14ac:dyDescent="0.25">
      <c r="A59" s="8" t="s">
        <v>20</v>
      </c>
      <c r="B59" s="8" t="s">
        <v>15</v>
      </c>
      <c r="C59" s="9">
        <v>40513</v>
      </c>
      <c r="D59" s="8" t="e">
        <f>#REF!+#REF!</f>
        <v>#REF!</v>
      </c>
      <c r="E59" s="8" t="e">
        <f>#REF!+#REF!</f>
        <v>#REF!</v>
      </c>
      <c r="F59" s="8" t="e">
        <f>#REF!+#REF!</f>
        <v>#REF!</v>
      </c>
      <c r="G59" s="8" t="e">
        <f>#REF!+#REF!</f>
        <v>#REF!</v>
      </c>
      <c r="H59" s="8" t="e">
        <f>#REF!+#REF!</f>
        <v>#REF!</v>
      </c>
      <c r="I59" s="8" t="e">
        <f>#REF!+#REF!</f>
        <v>#REF!</v>
      </c>
      <c r="J59" s="8" t="e">
        <f>#REF!+#REF!</f>
        <v>#REF!</v>
      </c>
      <c r="K59" s="23" t="e">
        <f t="shared" si="0"/>
        <v>#REF!</v>
      </c>
      <c r="L59" s="23" t="e">
        <f t="shared" si="1"/>
        <v>#REF!</v>
      </c>
      <c r="M59" s="23" t="e">
        <f t="shared" si="2"/>
        <v>#REF!</v>
      </c>
      <c r="N59" s="24" t="e">
        <f t="shared" si="3"/>
        <v>#REF!</v>
      </c>
      <c r="O59" s="8"/>
      <c r="P59" s="8"/>
      <c r="Q59" s="1" t="e">
        <f>#REF!+#REF!</f>
        <v>#REF!</v>
      </c>
      <c r="S59" s="1" t="e">
        <f t="shared" si="4"/>
        <v>#REF!</v>
      </c>
      <c r="T59" s="1" t="e">
        <f t="shared" si="5"/>
        <v>#REF!</v>
      </c>
      <c r="U59" s="1" t="e">
        <f t="shared" si="6"/>
        <v>#REF!</v>
      </c>
      <c r="V59" s="1" t="e">
        <f t="shared" si="7"/>
        <v>#REF!</v>
      </c>
      <c r="W59" s="1" t="e">
        <f t="shared" si="8"/>
        <v>#REF!</v>
      </c>
    </row>
    <row r="60" spans="1:23" x14ac:dyDescent="0.25">
      <c r="A60" s="8" t="s">
        <v>20</v>
      </c>
      <c r="B60" s="8" t="s">
        <v>15</v>
      </c>
      <c r="C60" s="9">
        <v>40544</v>
      </c>
      <c r="D60" s="8" t="e">
        <f>#REF!+#REF!</f>
        <v>#REF!</v>
      </c>
      <c r="E60" s="8" t="e">
        <f>#REF!+#REF!</f>
        <v>#REF!</v>
      </c>
      <c r="F60" s="8" t="e">
        <f>#REF!+#REF!</f>
        <v>#REF!</v>
      </c>
      <c r="G60" s="8" t="e">
        <f>#REF!+#REF!</f>
        <v>#REF!</v>
      </c>
      <c r="H60" s="8" t="e">
        <f>#REF!+#REF!</f>
        <v>#REF!</v>
      </c>
      <c r="I60" s="8" t="e">
        <f>#REF!+#REF!</f>
        <v>#REF!</v>
      </c>
      <c r="J60" s="8" t="e">
        <f>#REF!+#REF!</f>
        <v>#REF!</v>
      </c>
      <c r="K60" s="23" t="e">
        <f t="shared" si="0"/>
        <v>#REF!</v>
      </c>
      <c r="L60" s="23" t="e">
        <f t="shared" si="1"/>
        <v>#REF!</v>
      </c>
      <c r="M60" s="23" t="e">
        <f t="shared" si="2"/>
        <v>#REF!</v>
      </c>
      <c r="N60" s="24" t="e">
        <f t="shared" si="3"/>
        <v>#REF!</v>
      </c>
      <c r="O60" s="8"/>
      <c r="P60" s="8"/>
      <c r="Q60" s="1" t="e">
        <f>#REF!+#REF!</f>
        <v>#REF!</v>
      </c>
      <c r="S60" s="1" t="e">
        <f t="shared" si="4"/>
        <v>#REF!</v>
      </c>
      <c r="T60" s="1" t="e">
        <f t="shared" si="5"/>
        <v>#REF!</v>
      </c>
      <c r="U60" s="1" t="e">
        <f t="shared" si="6"/>
        <v>#REF!</v>
      </c>
      <c r="V60" s="1" t="e">
        <f t="shared" si="7"/>
        <v>#REF!</v>
      </c>
      <c r="W60" s="1" t="e">
        <f t="shared" si="8"/>
        <v>#REF!</v>
      </c>
    </row>
    <row r="61" spans="1:23" x14ac:dyDescent="0.25">
      <c r="A61" s="8" t="s">
        <v>20</v>
      </c>
      <c r="B61" s="8" t="s">
        <v>12</v>
      </c>
      <c r="C61" s="9">
        <v>40575</v>
      </c>
      <c r="D61" s="8" t="e">
        <f>#REF!+#REF!</f>
        <v>#REF!</v>
      </c>
      <c r="E61" s="8" t="e">
        <f>#REF!+#REF!</f>
        <v>#REF!</v>
      </c>
      <c r="F61" s="8" t="e">
        <f>#REF!+#REF!</f>
        <v>#REF!</v>
      </c>
      <c r="G61" s="8" t="e">
        <f>#REF!+#REF!</f>
        <v>#REF!</v>
      </c>
      <c r="H61" s="8" t="e">
        <f>#REF!+#REF!</f>
        <v>#REF!</v>
      </c>
      <c r="I61" s="8" t="e">
        <f>#REF!+#REF!</f>
        <v>#REF!</v>
      </c>
      <c r="J61" s="8" t="e">
        <f>#REF!+#REF!</f>
        <v>#REF!</v>
      </c>
      <c r="K61" s="23" t="e">
        <f t="shared" si="0"/>
        <v>#REF!</v>
      </c>
      <c r="L61" s="23" t="e">
        <f t="shared" si="1"/>
        <v>#REF!</v>
      </c>
      <c r="M61" s="23" t="e">
        <f t="shared" si="2"/>
        <v>#REF!</v>
      </c>
      <c r="N61" s="24" t="e">
        <f t="shared" si="3"/>
        <v>#REF!</v>
      </c>
      <c r="O61" s="8"/>
      <c r="P61" s="8"/>
      <c r="Q61" s="1" t="e">
        <f>#REF!+#REF!</f>
        <v>#REF!</v>
      </c>
      <c r="S61" s="1" t="e">
        <f t="shared" si="4"/>
        <v>#REF!</v>
      </c>
      <c r="T61" s="1" t="e">
        <f t="shared" si="5"/>
        <v>#REF!</v>
      </c>
      <c r="U61" s="1" t="e">
        <f t="shared" si="6"/>
        <v>#REF!</v>
      </c>
      <c r="V61" s="1" t="e">
        <f t="shared" si="7"/>
        <v>#REF!</v>
      </c>
      <c r="W61" s="1" t="e">
        <f t="shared" si="8"/>
        <v>#REF!</v>
      </c>
    </row>
    <row r="62" spans="1:23" x14ac:dyDescent="0.25">
      <c r="A62" s="8" t="s">
        <v>20</v>
      </c>
      <c r="B62" s="8" t="s">
        <v>12</v>
      </c>
      <c r="C62" s="9">
        <v>40603</v>
      </c>
      <c r="D62" s="8" t="e">
        <f>#REF!+#REF!</f>
        <v>#REF!</v>
      </c>
      <c r="E62" s="8" t="e">
        <f>#REF!+#REF!</f>
        <v>#REF!</v>
      </c>
      <c r="F62" s="8" t="e">
        <f>#REF!+#REF!</f>
        <v>#REF!</v>
      </c>
      <c r="G62" s="8" t="e">
        <f>#REF!+#REF!</f>
        <v>#REF!</v>
      </c>
      <c r="H62" s="8" t="e">
        <f>#REF!+#REF!</f>
        <v>#REF!</v>
      </c>
      <c r="I62" s="8" t="e">
        <f>#REF!+#REF!</f>
        <v>#REF!</v>
      </c>
      <c r="J62" s="8" t="e">
        <f>#REF!+#REF!</f>
        <v>#REF!</v>
      </c>
      <c r="K62" s="23" t="e">
        <f t="shared" si="0"/>
        <v>#REF!</v>
      </c>
      <c r="L62" s="23" t="e">
        <f t="shared" si="1"/>
        <v>#REF!</v>
      </c>
      <c r="M62" s="23" t="e">
        <f t="shared" si="2"/>
        <v>#REF!</v>
      </c>
      <c r="N62" s="24" t="e">
        <f t="shared" si="3"/>
        <v>#REF!</v>
      </c>
      <c r="O62" s="8"/>
      <c r="P62" s="8"/>
      <c r="Q62" s="1" t="e">
        <f>#REF!+#REF!</f>
        <v>#REF!</v>
      </c>
      <c r="S62" s="1" t="e">
        <f t="shared" si="4"/>
        <v>#REF!</v>
      </c>
      <c r="T62" s="1" t="e">
        <f t="shared" si="5"/>
        <v>#REF!</v>
      </c>
      <c r="U62" s="1" t="e">
        <f t="shared" si="6"/>
        <v>#REF!</v>
      </c>
      <c r="V62" s="1" t="e">
        <f t="shared" si="7"/>
        <v>#REF!</v>
      </c>
      <c r="W62" s="1" t="e">
        <f t="shared" si="8"/>
        <v>#REF!</v>
      </c>
    </row>
    <row r="63" spans="1:23" x14ac:dyDescent="0.25">
      <c r="A63" s="8" t="s">
        <v>20</v>
      </c>
      <c r="B63" s="8" t="s">
        <v>12</v>
      </c>
      <c r="C63" s="9">
        <v>40634</v>
      </c>
      <c r="D63" s="8" t="e">
        <f>#REF!+#REF!</f>
        <v>#REF!</v>
      </c>
      <c r="E63" s="8" t="e">
        <f>#REF!+#REF!</f>
        <v>#REF!</v>
      </c>
      <c r="F63" s="8" t="e">
        <f>#REF!+#REF!</f>
        <v>#REF!</v>
      </c>
      <c r="G63" s="8" t="e">
        <f>#REF!+#REF!</f>
        <v>#REF!</v>
      </c>
      <c r="H63" s="8" t="e">
        <f>#REF!+#REF!</f>
        <v>#REF!</v>
      </c>
      <c r="I63" s="8" t="e">
        <f>#REF!+#REF!</f>
        <v>#REF!</v>
      </c>
      <c r="J63" s="8" t="e">
        <f>#REF!+#REF!</f>
        <v>#REF!</v>
      </c>
      <c r="K63" s="23" t="e">
        <f t="shared" si="0"/>
        <v>#REF!</v>
      </c>
      <c r="L63" s="23" t="e">
        <f t="shared" si="1"/>
        <v>#REF!</v>
      </c>
      <c r="M63" s="23" t="e">
        <f t="shared" si="2"/>
        <v>#REF!</v>
      </c>
      <c r="N63" s="24" t="e">
        <f t="shared" si="3"/>
        <v>#REF!</v>
      </c>
      <c r="O63" s="8"/>
      <c r="P63" s="8"/>
      <c r="Q63" s="1" t="e">
        <f>#REF!+#REF!</f>
        <v>#REF!</v>
      </c>
      <c r="S63" s="1" t="e">
        <f t="shared" si="4"/>
        <v>#REF!</v>
      </c>
      <c r="T63" s="1" t="e">
        <f t="shared" si="5"/>
        <v>#REF!</v>
      </c>
      <c r="U63" s="1" t="e">
        <f t="shared" si="6"/>
        <v>#REF!</v>
      </c>
      <c r="V63" s="1" t="e">
        <f t="shared" si="7"/>
        <v>#REF!</v>
      </c>
      <c r="W63" s="1" t="e">
        <f t="shared" si="8"/>
        <v>#REF!</v>
      </c>
    </row>
    <row r="64" spans="1:23" x14ac:dyDescent="0.25">
      <c r="A64" s="8" t="s">
        <v>20</v>
      </c>
      <c r="B64" s="8" t="s">
        <v>13</v>
      </c>
      <c r="C64" s="9">
        <v>40664</v>
      </c>
      <c r="D64" s="8" t="e">
        <f>#REF!+#REF!</f>
        <v>#REF!</v>
      </c>
      <c r="E64" s="8" t="e">
        <f>#REF!+#REF!</f>
        <v>#REF!</v>
      </c>
      <c r="F64" s="8" t="e">
        <f>#REF!+#REF!</f>
        <v>#REF!</v>
      </c>
      <c r="G64" s="8" t="e">
        <f>#REF!+#REF!</f>
        <v>#REF!</v>
      </c>
      <c r="H64" s="8" t="e">
        <f>#REF!+#REF!</f>
        <v>#REF!</v>
      </c>
      <c r="I64" s="8" t="e">
        <f>#REF!+#REF!</f>
        <v>#REF!</v>
      </c>
      <c r="J64" s="8" t="e">
        <f>#REF!+#REF!</f>
        <v>#REF!</v>
      </c>
      <c r="K64" s="23" t="e">
        <f t="shared" si="0"/>
        <v>#REF!</v>
      </c>
      <c r="L64" s="23" t="e">
        <f t="shared" si="1"/>
        <v>#REF!</v>
      </c>
      <c r="M64" s="23" t="e">
        <f t="shared" si="2"/>
        <v>#REF!</v>
      </c>
      <c r="N64" s="24" t="e">
        <f t="shared" si="3"/>
        <v>#REF!</v>
      </c>
      <c r="O64" s="8"/>
      <c r="P64" s="8"/>
      <c r="Q64" s="1" t="e">
        <f>#REF!+#REF!</f>
        <v>#REF!</v>
      </c>
      <c r="S64" s="1" t="e">
        <f t="shared" si="4"/>
        <v>#REF!</v>
      </c>
      <c r="T64" s="1" t="e">
        <f t="shared" si="5"/>
        <v>#REF!</v>
      </c>
      <c r="U64" s="1" t="e">
        <f t="shared" si="6"/>
        <v>#REF!</v>
      </c>
      <c r="V64" s="1" t="e">
        <f t="shared" si="7"/>
        <v>#REF!</v>
      </c>
      <c r="W64" s="1" t="e">
        <f t="shared" si="8"/>
        <v>#REF!</v>
      </c>
    </row>
    <row r="65" spans="1:23" x14ac:dyDescent="0.25">
      <c r="A65" s="8" t="s">
        <v>20</v>
      </c>
      <c r="B65" s="8" t="s">
        <v>13</v>
      </c>
      <c r="C65" s="9">
        <v>40695</v>
      </c>
      <c r="D65" s="8" t="e">
        <f>#REF!+#REF!</f>
        <v>#REF!</v>
      </c>
      <c r="E65" s="8" t="e">
        <f>#REF!+#REF!</f>
        <v>#REF!</v>
      </c>
      <c r="F65" s="8" t="e">
        <f>#REF!+#REF!</f>
        <v>#REF!</v>
      </c>
      <c r="G65" s="8" t="e">
        <f>#REF!+#REF!</f>
        <v>#REF!</v>
      </c>
      <c r="H65" s="8" t="e">
        <f>#REF!+#REF!</f>
        <v>#REF!</v>
      </c>
      <c r="I65" s="8" t="e">
        <f>#REF!+#REF!</f>
        <v>#REF!</v>
      </c>
      <c r="J65" s="8" t="e">
        <f>#REF!+#REF!</f>
        <v>#REF!</v>
      </c>
      <c r="K65" s="23" t="e">
        <f t="shared" si="0"/>
        <v>#REF!</v>
      </c>
      <c r="L65" s="23" t="e">
        <f t="shared" si="1"/>
        <v>#REF!</v>
      </c>
      <c r="M65" s="23" t="e">
        <f t="shared" si="2"/>
        <v>#REF!</v>
      </c>
      <c r="N65" s="24" t="e">
        <f t="shared" si="3"/>
        <v>#REF!</v>
      </c>
      <c r="O65" s="8"/>
      <c r="P65" s="8"/>
      <c r="Q65" s="1" t="e">
        <f>#REF!+#REF!</f>
        <v>#REF!</v>
      </c>
      <c r="S65" s="1" t="e">
        <f t="shared" si="4"/>
        <v>#REF!</v>
      </c>
      <c r="T65" s="1" t="e">
        <f t="shared" si="5"/>
        <v>#REF!</v>
      </c>
      <c r="U65" s="1" t="e">
        <f t="shared" si="6"/>
        <v>#REF!</v>
      </c>
      <c r="V65" s="1" t="e">
        <f t="shared" si="7"/>
        <v>#REF!</v>
      </c>
      <c r="W65" s="1" t="e">
        <f t="shared" si="8"/>
        <v>#REF!</v>
      </c>
    </row>
    <row r="66" spans="1:23" x14ac:dyDescent="0.25">
      <c r="A66" s="8" t="s">
        <v>20</v>
      </c>
      <c r="B66" s="8" t="s">
        <v>13</v>
      </c>
      <c r="C66" s="9">
        <v>40725</v>
      </c>
      <c r="D66" s="8" t="e">
        <f>#REF!+#REF!</f>
        <v>#REF!</v>
      </c>
      <c r="E66" s="8" t="e">
        <f>#REF!+#REF!</f>
        <v>#REF!</v>
      </c>
      <c r="F66" s="8" t="e">
        <f>#REF!+#REF!</f>
        <v>#REF!</v>
      </c>
      <c r="G66" s="8" t="e">
        <f>#REF!+#REF!</f>
        <v>#REF!</v>
      </c>
      <c r="H66" s="8" t="e">
        <f>#REF!+#REF!</f>
        <v>#REF!</v>
      </c>
      <c r="I66" s="8" t="e">
        <f>#REF!+#REF!</f>
        <v>#REF!</v>
      </c>
      <c r="J66" s="8" t="e">
        <f>#REF!+#REF!</f>
        <v>#REF!</v>
      </c>
      <c r="K66" s="23" t="e">
        <f t="shared" si="0"/>
        <v>#REF!</v>
      </c>
      <c r="L66" s="23" t="e">
        <f t="shared" si="1"/>
        <v>#REF!</v>
      </c>
      <c r="M66" s="23" t="e">
        <f t="shared" si="2"/>
        <v>#REF!</v>
      </c>
      <c r="N66" s="24" t="e">
        <f t="shared" si="3"/>
        <v>#REF!</v>
      </c>
      <c r="O66" s="8"/>
      <c r="P66" s="8"/>
      <c r="Q66" s="1" t="e">
        <f>#REF!+#REF!</f>
        <v>#REF!</v>
      </c>
      <c r="S66" s="1" t="e">
        <f t="shared" si="4"/>
        <v>#REF!</v>
      </c>
      <c r="T66" s="1" t="e">
        <f t="shared" si="5"/>
        <v>#REF!</v>
      </c>
      <c r="U66" s="1" t="e">
        <f t="shared" si="6"/>
        <v>#REF!</v>
      </c>
      <c r="V66" s="1" t="e">
        <f t="shared" si="7"/>
        <v>#REF!</v>
      </c>
      <c r="W66" s="1" t="e">
        <f t="shared" si="8"/>
        <v>#REF!</v>
      </c>
    </row>
    <row r="67" spans="1:23" x14ac:dyDescent="0.25">
      <c r="A67" s="8" t="s">
        <v>20</v>
      </c>
      <c r="B67" s="8" t="s">
        <v>14</v>
      </c>
      <c r="C67" s="9">
        <v>40756</v>
      </c>
      <c r="D67" s="8" t="e">
        <f>#REF!+#REF!</f>
        <v>#REF!</v>
      </c>
      <c r="E67" s="8" t="e">
        <f>#REF!+#REF!</f>
        <v>#REF!</v>
      </c>
      <c r="F67" s="8" t="e">
        <f>#REF!+#REF!</f>
        <v>#REF!</v>
      </c>
      <c r="G67" s="8" t="e">
        <f>#REF!+#REF!</f>
        <v>#REF!</v>
      </c>
      <c r="H67" s="8" t="e">
        <f>#REF!+#REF!</f>
        <v>#REF!</v>
      </c>
      <c r="I67" s="8" t="e">
        <f>#REF!+#REF!</f>
        <v>#REF!</v>
      </c>
      <c r="J67" s="8" t="e">
        <f>#REF!+#REF!</f>
        <v>#REF!</v>
      </c>
      <c r="K67" s="23" t="e">
        <f t="shared" si="0"/>
        <v>#REF!</v>
      </c>
      <c r="L67" s="23" t="e">
        <f t="shared" si="1"/>
        <v>#REF!</v>
      </c>
      <c r="M67" s="23" t="e">
        <f t="shared" si="2"/>
        <v>#REF!</v>
      </c>
      <c r="N67" s="24" t="e">
        <f t="shared" si="3"/>
        <v>#REF!</v>
      </c>
      <c r="O67" s="8"/>
      <c r="P67" s="8"/>
      <c r="Q67" s="1" t="e">
        <f>#REF!+#REF!</f>
        <v>#REF!</v>
      </c>
      <c r="S67" s="1" t="e">
        <f t="shared" si="4"/>
        <v>#REF!</v>
      </c>
      <c r="T67" s="1" t="e">
        <f t="shared" si="5"/>
        <v>#REF!</v>
      </c>
      <c r="U67" s="1" t="e">
        <f t="shared" si="6"/>
        <v>#REF!</v>
      </c>
      <c r="V67" s="1" t="e">
        <f t="shared" si="7"/>
        <v>#REF!</v>
      </c>
      <c r="W67" s="1" t="e">
        <f t="shared" si="8"/>
        <v>#REF!</v>
      </c>
    </row>
    <row r="68" spans="1:23" x14ac:dyDescent="0.25">
      <c r="A68" s="8" t="s">
        <v>20</v>
      </c>
      <c r="B68" s="8" t="s">
        <v>14</v>
      </c>
      <c r="C68" s="9">
        <v>40787</v>
      </c>
      <c r="D68" s="8" t="e">
        <f>#REF!+#REF!</f>
        <v>#REF!</v>
      </c>
      <c r="E68" s="8" t="e">
        <f>#REF!+#REF!</f>
        <v>#REF!</v>
      </c>
      <c r="F68" s="8" t="e">
        <f>#REF!+#REF!</f>
        <v>#REF!</v>
      </c>
      <c r="G68" s="8" t="e">
        <f>#REF!+#REF!</f>
        <v>#REF!</v>
      </c>
      <c r="H68" s="8" t="e">
        <f>#REF!+#REF!</f>
        <v>#REF!</v>
      </c>
      <c r="I68" s="8" t="e">
        <f>#REF!+#REF!</f>
        <v>#REF!</v>
      </c>
      <c r="J68" s="8" t="e">
        <f>#REF!+#REF!</f>
        <v>#REF!</v>
      </c>
      <c r="K68" s="23" t="e">
        <f>SUM(D68:J68)</f>
        <v>#REF!</v>
      </c>
      <c r="L68" s="23" t="e">
        <f>E68+F68</f>
        <v>#REF!</v>
      </c>
      <c r="M68" s="23" t="e">
        <f>D68+J68</f>
        <v>#REF!</v>
      </c>
      <c r="N68" s="24" t="e">
        <f>M68/K68</f>
        <v>#REF!</v>
      </c>
      <c r="O68" s="8"/>
      <c r="P68" s="8"/>
      <c r="Q68" s="1" t="e">
        <f>#REF!+#REF!</f>
        <v>#REF!</v>
      </c>
      <c r="S68" s="1" t="e">
        <f t="shared" si="4"/>
        <v>#REF!</v>
      </c>
      <c r="T68" s="1" t="e">
        <f t="shared" si="5"/>
        <v>#REF!</v>
      </c>
      <c r="U68" s="1" t="e">
        <f t="shared" si="6"/>
        <v>#REF!</v>
      </c>
      <c r="V68" s="1" t="e">
        <f t="shared" si="7"/>
        <v>#REF!</v>
      </c>
      <c r="W68" s="1" t="e">
        <f t="shared" si="8"/>
        <v>#REF!</v>
      </c>
    </row>
    <row r="69" spans="1:23" x14ac:dyDescent="0.25">
      <c r="A69" s="8" t="s">
        <v>20</v>
      </c>
      <c r="B69" s="8" t="s">
        <v>14</v>
      </c>
      <c r="C69" s="9">
        <v>40817</v>
      </c>
      <c r="D69" s="8" t="e">
        <f>#REF!+#REF!</f>
        <v>#REF!</v>
      </c>
      <c r="E69" s="8" t="e">
        <f>#REF!+#REF!</f>
        <v>#REF!</v>
      </c>
      <c r="F69" s="8" t="e">
        <f>#REF!+#REF!</f>
        <v>#REF!</v>
      </c>
      <c r="G69" s="8" t="e">
        <f>#REF!+#REF!</f>
        <v>#REF!</v>
      </c>
      <c r="H69" s="8" t="e">
        <f>#REF!+#REF!</f>
        <v>#REF!</v>
      </c>
      <c r="I69" s="8" t="e">
        <f>#REF!+#REF!</f>
        <v>#REF!</v>
      </c>
      <c r="J69" s="8" t="e">
        <f>#REF!+#REF!</f>
        <v>#REF!</v>
      </c>
      <c r="K69" s="23" t="e">
        <f>SUM(D69:J69)</f>
        <v>#REF!</v>
      </c>
      <c r="L69" s="23" t="e">
        <f>E69+F69</f>
        <v>#REF!</v>
      </c>
      <c r="M69" s="23" t="e">
        <f>D69+J69</f>
        <v>#REF!</v>
      </c>
      <c r="N69" s="24" t="e">
        <f>M69/K69</f>
        <v>#REF!</v>
      </c>
      <c r="O69" s="8"/>
      <c r="P69" s="8"/>
      <c r="Q69" s="1" t="e">
        <f>#REF!+#REF!</f>
        <v>#REF!</v>
      </c>
      <c r="S69" s="1" t="e">
        <f t="shared" si="4"/>
        <v>#REF!</v>
      </c>
      <c r="T69" s="1" t="e">
        <f t="shared" si="5"/>
        <v>#REF!</v>
      </c>
      <c r="U69" s="1" t="e">
        <f t="shared" si="6"/>
        <v>#REF!</v>
      </c>
      <c r="V69" s="1" t="e">
        <f t="shared" si="7"/>
        <v>#REF!</v>
      </c>
      <c r="W69" s="1" t="e">
        <f t="shared" si="8"/>
        <v>#REF!</v>
      </c>
    </row>
    <row r="70" spans="1:23" x14ac:dyDescent="0.25">
      <c r="A70" s="8" t="s">
        <v>21</v>
      </c>
      <c r="B70" s="8" t="s">
        <v>15</v>
      </c>
      <c r="C70" s="9">
        <v>40848</v>
      </c>
      <c r="D70" s="8" t="e">
        <f>#REF!+#REF!</f>
        <v>#REF!</v>
      </c>
      <c r="E70" s="8" t="e">
        <f>#REF!+#REF!</f>
        <v>#REF!</v>
      </c>
      <c r="F70" s="8" t="e">
        <f>#REF!+#REF!</f>
        <v>#REF!</v>
      </c>
      <c r="G70" s="8" t="e">
        <f>#REF!+#REF!</f>
        <v>#REF!</v>
      </c>
      <c r="H70" s="8" t="e">
        <f>#REF!+#REF!</f>
        <v>#REF!</v>
      </c>
      <c r="I70" s="8" t="e">
        <f>#REF!+#REF!</f>
        <v>#REF!</v>
      </c>
      <c r="J70" s="8" t="e">
        <f>#REF!+#REF!</f>
        <v>#REF!</v>
      </c>
      <c r="K70" s="23" t="e">
        <f>SUM(D70:J70)</f>
        <v>#REF!</v>
      </c>
      <c r="L70" s="23" t="e">
        <f>E70+F70</f>
        <v>#REF!</v>
      </c>
      <c r="M70" s="23" t="e">
        <f>D70+J70</f>
        <v>#REF!</v>
      </c>
      <c r="N70" s="24" t="e">
        <f>M70/K70</f>
        <v>#REF!</v>
      </c>
      <c r="O70" s="8"/>
      <c r="P70" s="8"/>
      <c r="Q70" s="1" t="e">
        <f>#REF!+#REF!</f>
        <v>#REF!</v>
      </c>
      <c r="S70" s="1" t="e">
        <f t="shared" si="4"/>
        <v>#REF!</v>
      </c>
      <c r="T70" s="1" t="e">
        <f t="shared" si="5"/>
        <v>#REF!</v>
      </c>
      <c r="U70" s="1" t="e">
        <f t="shared" si="6"/>
        <v>#REF!</v>
      </c>
      <c r="V70" s="1" t="e">
        <f t="shared" si="7"/>
        <v>#REF!</v>
      </c>
      <c r="W70" s="1" t="e">
        <f t="shared" si="8"/>
        <v>#REF!</v>
      </c>
    </row>
    <row r="71" spans="1:23" x14ac:dyDescent="0.25">
      <c r="A71" s="8" t="s">
        <v>21</v>
      </c>
      <c r="B71" s="8" t="s">
        <v>15</v>
      </c>
      <c r="C71" s="9">
        <v>40878</v>
      </c>
      <c r="D71" s="8" t="e">
        <f>#REF!+#REF!</f>
        <v>#REF!</v>
      </c>
      <c r="E71" s="8" t="e">
        <f>#REF!+#REF!</f>
        <v>#REF!</v>
      </c>
      <c r="F71" s="8" t="e">
        <f>#REF!+#REF!</f>
        <v>#REF!</v>
      </c>
      <c r="G71" s="8" t="e">
        <f>#REF!+#REF!</f>
        <v>#REF!</v>
      </c>
      <c r="H71" s="8" t="e">
        <f>#REF!+#REF!</f>
        <v>#REF!</v>
      </c>
      <c r="I71" s="8" t="e">
        <f>#REF!+#REF!</f>
        <v>#REF!</v>
      </c>
      <c r="J71" s="8" t="e">
        <f>#REF!+#REF!</f>
        <v>#REF!</v>
      </c>
      <c r="K71" s="23" t="e">
        <f>SUM(D71:J71)</f>
        <v>#REF!</v>
      </c>
      <c r="L71" s="23" t="e">
        <f>E71+F71</f>
        <v>#REF!</v>
      </c>
      <c r="M71" s="23" t="e">
        <f>D71+J71</f>
        <v>#REF!</v>
      </c>
      <c r="N71" s="24" t="e">
        <f>M71/K71</f>
        <v>#REF!</v>
      </c>
      <c r="O71" s="8"/>
      <c r="P71" s="8"/>
      <c r="Q71" s="1" t="e">
        <f>#REF!+#REF!</f>
        <v>#REF!</v>
      </c>
      <c r="S71" s="1" t="e">
        <f t="shared" si="4"/>
        <v>#REF!</v>
      </c>
      <c r="T71" s="1" t="e">
        <f t="shared" si="5"/>
        <v>#REF!</v>
      </c>
      <c r="U71" s="1" t="e">
        <f t="shared" si="6"/>
        <v>#REF!</v>
      </c>
      <c r="V71" s="1" t="e">
        <f t="shared" si="7"/>
        <v>#REF!</v>
      </c>
      <c r="W71" s="1" t="e">
        <f t="shared" si="8"/>
        <v>#REF!</v>
      </c>
    </row>
    <row r="72" spans="1:23" x14ac:dyDescent="0.25">
      <c r="A72" s="8" t="s">
        <v>21</v>
      </c>
      <c r="B72" s="8" t="s">
        <v>15</v>
      </c>
      <c r="C72" s="9">
        <v>40909</v>
      </c>
      <c r="D72" s="8" t="e">
        <f>#REF!+#REF!</f>
        <v>#REF!</v>
      </c>
      <c r="E72" s="8" t="e">
        <f>#REF!+#REF!</f>
        <v>#REF!</v>
      </c>
      <c r="F72" s="8" t="e">
        <f>#REF!+#REF!</f>
        <v>#REF!</v>
      </c>
      <c r="G72" s="8" t="e">
        <f>#REF!+#REF!</f>
        <v>#REF!</v>
      </c>
      <c r="H72" s="8" t="e">
        <f>#REF!+#REF!</f>
        <v>#REF!</v>
      </c>
      <c r="I72" s="8" t="e">
        <f>#REF!+#REF!</f>
        <v>#REF!</v>
      </c>
      <c r="J72" s="8" t="e">
        <f>#REF!+#REF!</f>
        <v>#REF!</v>
      </c>
      <c r="K72" s="23" t="e">
        <f t="shared" ref="K72:K83" si="9">SUM(D72:J72)</f>
        <v>#REF!</v>
      </c>
      <c r="L72" s="23" t="e">
        <f t="shared" ref="L72:L83" si="10">E72+F72</f>
        <v>#REF!</v>
      </c>
      <c r="M72" s="23" t="e">
        <f t="shared" ref="M72:M83" si="11">D72+J72</f>
        <v>#REF!</v>
      </c>
      <c r="N72" s="24" t="e">
        <f t="shared" ref="N72:N83" si="12">M72/K72</f>
        <v>#REF!</v>
      </c>
      <c r="Q72" s="1" t="e">
        <f>#REF!+#REF!</f>
        <v>#REF!</v>
      </c>
      <c r="S72" s="1" t="e">
        <f t="shared" si="4"/>
        <v>#REF!</v>
      </c>
      <c r="T72" s="1" t="e">
        <f t="shared" si="5"/>
        <v>#REF!</v>
      </c>
      <c r="U72" s="1" t="e">
        <f t="shared" si="6"/>
        <v>#REF!</v>
      </c>
      <c r="V72" s="1" t="e">
        <f t="shared" si="7"/>
        <v>#REF!</v>
      </c>
      <c r="W72" s="1" t="e">
        <f t="shared" si="8"/>
        <v>#REF!</v>
      </c>
    </row>
    <row r="73" spans="1:23" x14ac:dyDescent="0.25">
      <c r="A73" s="8" t="s">
        <v>21</v>
      </c>
      <c r="B73" s="8" t="s">
        <v>12</v>
      </c>
      <c r="C73" s="9">
        <v>40940</v>
      </c>
      <c r="D73" s="8" t="e">
        <f>#REF!+#REF!</f>
        <v>#REF!</v>
      </c>
      <c r="E73" s="8" t="e">
        <f>#REF!+#REF!</f>
        <v>#REF!</v>
      </c>
      <c r="F73" s="8" t="e">
        <f>#REF!+#REF!</f>
        <v>#REF!</v>
      </c>
      <c r="G73" s="8" t="e">
        <f>#REF!+#REF!</f>
        <v>#REF!</v>
      </c>
      <c r="H73" s="8" t="e">
        <f>#REF!+#REF!</f>
        <v>#REF!</v>
      </c>
      <c r="I73" s="8" t="e">
        <f>#REF!+#REF!</f>
        <v>#REF!</v>
      </c>
      <c r="J73" s="8" t="e">
        <f>#REF!+#REF!</f>
        <v>#REF!</v>
      </c>
      <c r="K73" s="23" t="e">
        <f t="shared" si="9"/>
        <v>#REF!</v>
      </c>
      <c r="L73" s="23" t="e">
        <f t="shared" si="10"/>
        <v>#REF!</v>
      </c>
      <c r="M73" s="23" t="e">
        <f t="shared" si="11"/>
        <v>#REF!</v>
      </c>
      <c r="N73" s="24" t="e">
        <f t="shared" si="12"/>
        <v>#REF!</v>
      </c>
      <c r="Q73" s="1" t="e">
        <f>#REF!+#REF!</f>
        <v>#REF!</v>
      </c>
      <c r="S73" s="1" t="e">
        <f t="shared" si="4"/>
        <v>#REF!</v>
      </c>
      <c r="T73" s="1" t="e">
        <f t="shared" si="5"/>
        <v>#REF!</v>
      </c>
      <c r="U73" s="1" t="e">
        <f t="shared" si="6"/>
        <v>#REF!</v>
      </c>
      <c r="V73" s="1" t="e">
        <f t="shared" si="7"/>
        <v>#REF!</v>
      </c>
      <c r="W73" s="1" t="e">
        <f t="shared" si="8"/>
        <v>#REF!</v>
      </c>
    </row>
    <row r="74" spans="1:23" x14ac:dyDescent="0.25">
      <c r="A74" s="8" t="s">
        <v>21</v>
      </c>
      <c r="B74" s="8" t="s">
        <v>12</v>
      </c>
      <c r="C74" s="9">
        <v>40969</v>
      </c>
      <c r="D74" s="8" t="e">
        <f>#REF!+#REF!</f>
        <v>#REF!</v>
      </c>
      <c r="E74" s="8" t="e">
        <f>#REF!+#REF!</f>
        <v>#REF!</v>
      </c>
      <c r="F74" s="8" t="e">
        <f>#REF!+#REF!</f>
        <v>#REF!</v>
      </c>
      <c r="G74" s="8" t="e">
        <f>#REF!+#REF!</f>
        <v>#REF!</v>
      </c>
      <c r="H74" s="8" t="e">
        <f>#REF!+#REF!</f>
        <v>#REF!</v>
      </c>
      <c r="I74" s="8" t="e">
        <f>#REF!+#REF!</f>
        <v>#REF!</v>
      </c>
      <c r="J74" s="8" t="e">
        <f>#REF!+#REF!</f>
        <v>#REF!</v>
      </c>
      <c r="K74" s="23" t="e">
        <f t="shared" si="9"/>
        <v>#REF!</v>
      </c>
      <c r="L74" s="23" t="e">
        <f t="shared" si="10"/>
        <v>#REF!</v>
      </c>
      <c r="M74" s="23" t="e">
        <f t="shared" si="11"/>
        <v>#REF!</v>
      </c>
      <c r="N74" s="24" t="e">
        <f t="shared" si="12"/>
        <v>#REF!</v>
      </c>
      <c r="Q74" s="1" t="e">
        <f>#REF!+#REF!</f>
        <v>#REF!</v>
      </c>
      <c r="S74" s="1" t="e">
        <f t="shared" si="4"/>
        <v>#REF!</v>
      </c>
      <c r="T74" s="1" t="e">
        <f t="shared" si="5"/>
        <v>#REF!</v>
      </c>
      <c r="U74" s="1" t="e">
        <f t="shared" si="6"/>
        <v>#REF!</v>
      </c>
      <c r="V74" s="1" t="e">
        <f t="shared" si="7"/>
        <v>#REF!</v>
      </c>
      <c r="W74" s="1" t="e">
        <f t="shared" si="8"/>
        <v>#REF!</v>
      </c>
    </row>
    <row r="75" spans="1:23" x14ac:dyDescent="0.25">
      <c r="A75" s="8" t="s">
        <v>21</v>
      </c>
      <c r="B75" s="8" t="s">
        <v>12</v>
      </c>
      <c r="C75" s="9">
        <v>41000</v>
      </c>
      <c r="D75" s="8" t="e">
        <f>#REF!+#REF!</f>
        <v>#REF!</v>
      </c>
      <c r="E75" s="8" t="e">
        <f>#REF!+#REF!</f>
        <v>#REF!</v>
      </c>
      <c r="F75" s="8" t="e">
        <f>#REF!+#REF!</f>
        <v>#REF!</v>
      </c>
      <c r="G75" s="8" t="e">
        <f>#REF!+#REF!</f>
        <v>#REF!</v>
      </c>
      <c r="H75" s="8" t="e">
        <f>#REF!+#REF!</f>
        <v>#REF!</v>
      </c>
      <c r="I75" s="8" t="e">
        <f>#REF!+#REF!</f>
        <v>#REF!</v>
      </c>
      <c r="J75" s="8" t="e">
        <f>#REF!+#REF!</f>
        <v>#REF!</v>
      </c>
      <c r="K75" s="23" t="e">
        <f t="shared" si="9"/>
        <v>#REF!</v>
      </c>
      <c r="L75" s="23" t="e">
        <f t="shared" si="10"/>
        <v>#REF!</v>
      </c>
      <c r="M75" s="23" t="e">
        <f t="shared" si="11"/>
        <v>#REF!</v>
      </c>
      <c r="N75" s="24" t="e">
        <f t="shared" si="12"/>
        <v>#REF!</v>
      </c>
      <c r="Q75" s="1" t="e">
        <f>#REF!+#REF!</f>
        <v>#REF!</v>
      </c>
      <c r="S75" s="1" t="e">
        <f t="shared" si="4"/>
        <v>#REF!</v>
      </c>
      <c r="T75" s="1" t="e">
        <f t="shared" si="5"/>
        <v>#REF!</v>
      </c>
      <c r="U75" s="1" t="e">
        <f t="shared" si="6"/>
        <v>#REF!</v>
      </c>
      <c r="V75" s="1" t="e">
        <f t="shared" si="7"/>
        <v>#REF!</v>
      </c>
      <c r="W75" s="1" t="e">
        <f t="shared" si="8"/>
        <v>#REF!</v>
      </c>
    </row>
    <row r="76" spans="1:23" x14ac:dyDescent="0.25">
      <c r="A76" s="8" t="s">
        <v>21</v>
      </c>
      <c r="B76" s="8" t="s">
        <v>13</v>
      </c>
      <c r="C76" s="9">
        <v>41030</v>
      </c>
      <c r="D76" s="8" t="e">
        <f>#REF!+#REF!</f>
        <v>#REF!</v>
      </c>
      <c r="E76" s="8" t="e">
        <f>#REF!+#REF!</f>
        <v>#REF!</v>
      </c>
      <c r="F76" s="8" t="e">
        <f>#REF!+#REF!</f>
        <v>#REF!</v>
      </c>
      <c r="G76" s="8" t="e">
        <f>#REF!+#REF!</f>
        <v>#REF!</v>
      </c>
      <c r="H76" s="8" t="e">
        <f>#REF!+#REF!</f>
        <v>#REF!</v>
      </c>
      <c r="I76" s="8" t="e">
        <f>#REF!+#REF!</f>
        <v>#REF!</v>
      </c>
      <c r="J76" s="8" t="e">
        <f>#REF!+#REF!</f>
        <v>#REF!</v>
      </c>
      <c r="K76" s="23" t="e">
        <f t="shared" si="9"/>
        <v>#REF!</v>
      </c>
      <c r="L76" s="23" t="e">
        <f t="shared" si="10"/>
        <v>#REF!</v>
      </c>
      <c r="M76" s="23" t="e">
        <f t="shared" si="11"/>
        <v>#REF!</v>
      </c>
      <c r="N76" s="24" t="e">
        <f t="shared" si="12"/>
        <v>#REF!</v>
      </c>
      <c r="Q76" s="1" t="e">
        <f>#REF!+#REF!</f>
        <v>#REF!</v>
      </c>
      <c r="S76" s="1" t="e">
        <f>AVERAGE(D65:D76)</f>
        <v>#REF!</v>
      </c>
      <c r="T76" s="1" t="e">
        <f t="shared" si="5"/>
        <v>#REF!</v>
      </c>
      <c r="U76" s="1" t="e">
        <f t="shared" si="6"/>
        <v>#REF!</v>
      </c>
      <c r="V76" s="1" t="e">
        <f t="shared" si="7"/>
        <v>#REF!</v>
      </c>
      <c r="W76" s="1" t="e">
        <f t="shared" si="8"/>
        <v>#REF!</v>
      </c>
    </row>
    <row r="77" spans="1:23" x14ac:dyDescent="0.25">
      <c r="A77" s="8" t="s">
        <v>21</v>
      </c>
      <c r="B77" s="8" t="s">
        <v>13</v>
      </c>
      <c r="C77" s="9">
        <v>41061</v>
      </c>
      <c r="D77" s="8" t="e">
        <f>#REF!+#REF!</f>
        <v>#REF!</v>
      </c>
      <c r="E77" s="8" t="e">
        <f>#REF!+#REF!</f>
        <v>#REF!</v>
      </c>
      <c r="F77" s="8" t="e">
        <f>#REF!+#REF!</f>
        <v>#REF!</v>
      </c>
      <c r="G77" s="8" t="e">
        <f>#REF!+#REF!</f>
        <v>#REF!</v>
      </c>
      <c r="H77" s="8" t="e">
        <f>#REF!+#REF!</f>
        <v>#REF!</v>
      </c>
      <c r="I77" s="8" t="e">
        <f>#REF!+#REF!</f>
        <v>#REF!</v>
      </c>
      <c r="J77" s="8" t="e">
        <f>#REF!+#REF!</f>
        <v>#REF!</v>
      </c>
      <c r="K77" s="23" t="e">
        <f t="shared" si="9"/>
        <v>#REF!</v>
      </c>
      <c r="L77" s="23" t="e">
        <f t="shared" si="10"/>
        <v>#REF!</v>
      </c>
      <c r="M77" s="23" t="e">
        <f t="shared" si="11"/>
        <v>#REF!</v>
      </c>
      <c r="N77" s="24" t="e">
        <f t="shared" si="12"/>
        <v>#REF!</v>
      </c>
      <c r="Q77" s="1" t="e">
        <f>#REF!+#REF!</f>
        <v>#REF!</v>
      </c>
      <c r="S77" s="1" t="e">
        <f>AVERAGE(D66:D77)</f>
        <v>#REF!</v>
      </c>
      <c r="T77" s="1" t="e">
        <f t="shared" si="5"/>
        <v>#REF!</v>
      </c>
      <c r="U77" s="1" t="e">
        <f t="shared" si="6"/>
        <v>#REF!</v>
      </c>
      <c r="V77" s="1" t="e">
        <f t="shared" si="7"/>
        <v>#REF!</v>
      </c>
      <c r="W77" s="1" t="e">
        <f t="shared" si="8"/>
        <v>#REF!</v>
      </c>
    </row>
    <row r="78" spans="1:23" x14ac:dyDescent="0.25">
      <c r="A78" s="8" t="s">
        <v>21</v>
      </c>
      <c r="B78" s="8" t="s">
        <v>13</v>
      </c>
      <c r="C78" s="9">
        <v>41091</v>
      </c>
      <c r="D78" s="8" t="e">
        <f>#REF!+#REF!</f>
        <v>#REF!</v>
      </c>
      <c r="E78" s="8" t="e">
        <f>#REF!+#REF!</f>
        <v>#REF!</v>
      </c>
      <c r="F78" s="8" t="e">
        <f>#REF!+#REF!</f>
        <v>#REF!</v>
      </c>
      <c r="G78" s="8" t="e">
        <f>#REF!+#REF!</f>
        <v>#REF!</v>
      </c>
      <c r="H78" s="8" t="e">
        <f>#REF!+#REF!</f>
        <v>#REF!</v>
      </c>
      <c r="I78" s="8" t="e">
        <f>#REF!+#REF!</f>
        <v>#REF!</v>
      </c>
      <c r="J78" s="8" t="e">
        <f>#REF!+#REF!</f>
        <v>#REF!</v>
      </c>
      <c r="K78" s="23" t="e">
        <f t="shared" si="9"/>
        <v>#REF!</v>
      </c>
      <c r="L78" s="23" t="e">
        <f t="shared" si="10"/>
        <v>#REF!</v>
      </c>
      <c r="M78" s="23" t="e">
        <f t="shared" si="11"/>
        <v>#REF!</v>
      </c>
      <c r="N78" s="24" t="e">
        <f t="shared" si="12"/>
        <v>#REF!</v>
      </c>
      <c r="Q78" s="1" t="e">
        <f>#REF!+#REF!</f>
        <v>#REF!</v>
      </c>
      <c r="S78" s="1" t="e">
        <f>AVERAGE(D67:D78)</f>
        <v>#REF!</v>
      </c>
      <c r="T78" s="1" t="e">
        <f t="shared" si="5"/>
        <v>#REF!</v>
      </c>
      <c r="U78" s="1" t="e">
        <f t="shared" si="6"/>
        <v>#REF!</v>
      </c>
      <c r="V78" s="1" t="e">
        <f t="shared" si="7"/>
        <v>#REF!</v>
      </c>
      <c r="W78" s="1" t="e">
        <f t="shared" si="8"/>
        <v>#REF!</v>
      </c>
    </row>
    <row r="79" spans="1:23" x14ac:dyDescent="0.25">
      <c r="A79" s="8" t="s">
        <v>21</v>
      </c>
      <c r="B79" s="8" t="s">
        <v>14</v>
      </c>
      <c r="C79" s="9">
        <v>41122</v>
      </c>
      <c r="D79" s="8" t="e">
        <f>#REF!+#REF!</f>
        <v>#REF!</v>
      </c>
      <c r="E79" s="8" t="e">
        <f>#REF!+#REF!</f>
        <v>#REF!</v>
      </c>
      <c r="F79" s="8" t="e">
        <f>#REF!+#REF!</f>
        <v>#REF!</v>
      </c>
      <c r="G79" s="8" t="e">
        <f>#REF!+#REF!</f>
        <v>#REF!</v>
      </c>
      <c r="H79" s="8" t="e">
        <f>#REF!+#REF!</f>
        <v>#REF!</v>
      </c>
      <c r="I79" s="8" t="e">
        <f>#REF!+#REF!</f>
        <v>#REF!</v>
      </c>
      <c r="J79" s="8" t="e">
        <f>#REF!+#REF!</f>
        <v>#REF!</v>
      </c>
      <c r="K79" s="23" t="e">
        <f t="shared" si="9"/>
        <v>#REF!</v>
      </c>
      <c r="L79" s="23" t="e">
        <f t="shared" si="10"/>
        <v>#REF!</v>
      </c>
      <c r="M79" s="23" t="e">
        <f t="shared" si="11"/>
        <v>#REF!</v>
      </c>
      <c r="N79" s="24" t="e">
        <f t="shared" si="12"/>
        <v>#REF!</v>
      </c>
      <c r="Q79" s="1" t="e">
        <f>#REF!+#REF!</f>
        <v>#REF!</v>
      </c>
      <c r="S79" s="1" t="e">
        <f>AVERAGE(D68:D79)</f>
        <v>#REF!</v>
      </c>
      <c r="T79" s="1" t="e">
        <f>AVERAGE(E68:E79)</f>
        <v>#REF!</v>
      </c>
      <c r="U79" s="1" t="e">
        <f>AVERAGE(F68:F79)</f>
        <v>#REF!</v>
      </c>
      <c r="V79" s="1" t="e">
        <f>AVERAGE(G68:G79)</f>
        <v>#REF!</v>
      </c>
      <c r="W79" s="1" t="e">
        <f>AVERAGE(I68:I79)</f>
        <v>#REF!</v>
      </c>
    </row>
    <row r="80" spans="1:23" x14ac:dyDescent="0.25">
      <c r="A80" s="8" t="s">
        <v>21</v>
      </c>
      <c r="B80" s="8" t="s">
        <v>14</v>
      </c>
      <c r="C80" s="9">
        <v>41153</v>
      </c>
      <c r="D80" s="8" t="e">
        <f>#REF!+#REF!</f>
        <v>#REF!</v>
      </c>
      <c r="E80" s="8" t="e">
        <f>#REF!+#REF!</f>
        <v>#REF!</v>
      </c>
      <c r="F80" s="8" t="e">
        <f>#REF!+#REF!</f>
        <v>#REF!</v>
      </c>
      <c r="G80" s="8" t="e">
        <f>#REF!+#REF!</f>
        <v>#REF!</v>
      </c>
      <c r="H80" s="8" t="e">
        <f>#REF!+#REF!</f>
        <v>#REF!</v>
      </c>
      <c r="I80" s="8" t="e">
        <f>#REF!+#REF!</f>
        <v>#REF!</v>
      </c>
      <c r="J80" s="8" t="e">
        <f>#REF!+#REF!</f>
        <v>#REF!</v>
      </c>
      <c r="K80" s="23" t="e">
        <f t="shared" si="9"/>
        <v>#REF!</v>
      </c>
      <c r="L80" s="23" t="e">
        <f t="shared" si="10"/>
        <v>#REF!</v>
      </c>
      <c r="M80" s="23" t="e">
        <f t="shared" si="11"/>
        <v>#REF!</v>
      </c>
      <c r="N80" s="24" t="e">
        <f t="shared" si="12"/>
        <v>#REF!</v>
      </c>
      <c r="Q80" s="1" t="e">
        <f>#REF!+#REF!</f>
        <v>#REF!</v>
      </c>
    </row>
    <row r="81" spans="1:17" x14ac:dyDescent="0.25">
      <c r="A81" s="8" t="s">
        <v>21</v>
      </c>
      <c r="B81" s="8" t="s">
        <v>14</v>
      </c>
      <c r="C81" s="9">
        <v>41183</v>
      </c>
      <c r="D81" s="8" t="e">
        <f>#REF!+#REF!</f>
        <v>#REF!</v>
      </c>
      <c r="E81" s="8" t="e">
        <f>#REF!+#REF!</f>
        <v>#REF!</v>
      </c>
      <c r="F81" s="8" t="e">
        <f>#REF!+#REF!</f>
        <v>#REF!</v>
      </c>
      <c r="G81" s="8" t="e">
        <f>#REF!+#REF!</f>
        <v>#REF!</v>
      </c>
      <c r="H81" s="8" t="e">
        <f>#REF!+#REF!</f>
        <v>#REF!</v>
      </c>
      <c r="I81" s="8" t="e">
        <f>#REF!+#REF!</f>
        <v>#REF!</v>
      </c>
      <c r="J81" s="8" t="e">
        <f>#REF!+#REF!</f>
        <v>#REF!</v>
      </c>
      <c r="K81" s="23" t="e">
        <f t="shared" si="9"/>
        <v>#REF!</v>
      </c>
      <c r="L81" s="23" t="e">
        <f t="shared" si="10"/>
        <v>#REF!</v>
      </c>
      <c r="M81" s="23" t="e">
        <f t="shared" si="11"/>
        <v>#REF!</v>
      </c>
      <c r="N81" s="24" t="e">
        <f t="shared" si="12"/>
        <v>#REF!</v>
      </c>
      <c r="Q81" s="1" t="e">
        <f>#REF!+#REF!</f>
        <v>#REF!</v>
      </c>
    </row>
    <row r="82" spans="1:17" x14ac:dyDescent="0.25">
      <c r="A82" s="8" t="s">
        <v>56</v>
      </c>
      <c r="B82" s="8" t="s">
        <v>15</v>
      </c>
      <c r="C82" s="9">
        <v>41214</v>
      </c>
      <c r="D82" s="8" t="e">
        <f>#REF!+#REF!</f>
        <v>#REF!</v>
      </c>
      <c r="E82" s="8" t="e">
        <f>#REF!+#REF!</f>
        <v>#REF!</v>
      </c>
      <c r="F82" s="8" t="e">
        <f>#REF!+#REF!</f>
        <v>#REF!</v>
      </c>
      <c r="G82" s="8" t="e">
        <f>#REF!+#REF!</f>
        <v>#REF!</v>
      </c>
      <c r="H82" s="8" t="e">
        <f>#REF!+#REF!</f>
        <v>#REF!</v>
      </c>
      <c r="I82" s="8" t="e">
        <f>#REF!+#REF!</f>
        <v>#REF!</v>
      </c>
      <c r="J82" s="8" t="e">
        <f>#REF!+#REF!</f>
        <v>#REF!</v>
      </c>
      <c r="K82" s="23" t="e">
        <f t="shared" si="9"/>
        <v>#REF!</v>
      </c>
      <c r="L82" s="23" t="e">
        <f t="shared" si="10"/>
        <v>#REF!</v>
      </c>
      <c r="M82" s="23" t="e">
        <f t="shared" si="11"/>
        <v>#REF!</v>
      </c>
      <c r="N82" s="24" t="e">
        <f t="shared" si="12"/>
        <v>#REF!</v>
      </c>
      <c r="Q82" s="1" t="e">
        <f>#REF!+#REF!</f>
        <v>#REF!</v>
      </c>
    </row>
    <row r="83" spans="1:17" x14ac:dyDescent="0.25">
      <c r="A83" s="8" t="s">
        <v>56</v>
      </c>
      <c r="B83" s="8" t="s">
        <v>15</v>
      </c>
      <c r="C83" s="9">
        <v>41244</v>
      </c>
      <c r="D83" s="8" t="e">
        <f>#REF!+#REF!</f>
        <v>#REF!</v>
      </c>
      <c r="E83" s="8" t="e">
        <f>#REF!+#REF!</f>
        <v>#REF!</v>
      </c>
      <c r="F83" s="8" t="e">
        <f>#REF!+#REF!</f>
        <v>#REF!</v>
      </c>
      <c r="G83" s="8" t="e">
        <f>#REF!+#REF!</f>
        <v>#REF!</v>
      </c>
      <c r="H83" s="8" t="e">
        <f>#REF!+#REF!</f>
        <v>#REF!</v>
      </c>
      <c r="I83" s="8" t="e">
        <f>#REF!+#REF!</f>
        <v>#REF!</v>
      </c>
      <c r="J83" s="8" t="e">
        <f>#REF!+#REF!</f>
        <v>#REF!</v>
      </c>
      <c r="K83" s="23" t="e">
        <f t="shared" si="9"/>
        <v>#REF!</v>
      </c>
      <c r="L83" s="23" t="e">
        <f t="shared" si="10"/>
        <v>#REF!</v>
      </c>
      <c r="M83" s="23" t="e">
        <f t="shared" si="11"/>
        <v>#REF!</v>
      </c>
      <c r="N83" s="24" t="e">
        <f t="shared" si="12"/>
        <v>#REF!</v>
      </c>
      <c r="Q83" s="1" t="e">
        <f>#REF!+#REF!</f>
        <v>#REF!</v>
      </c>
    </row>
  </sheetData>
  <mergeCells count="1">
    <mergeCell ref="D1:M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54"/>
  <sheetViews>
    <sheetView workbookViewId="0">
      <selection activeCell="E31" sqref="E31"/>
    </sheetView>
  </sheetViews>
  <sheetFormatPr defaultRowHeight="15" x14ac:dyDescent="0.25"/>
  <cols>
    <col min="2" max="2" width="26" customWidth="1"/>
    <col min="3" max="3" width="7.140625" customWidth="1"/>
    <col min="4" max="4" width="7" customWidth="1"/>
    <col min="5" max="70" width="14.140625" customWidth="1"/>
    <col min="71" max="71" width="11.140625" customWidth="1"/>
    <col min="72" max="72" width="6.85546875" customWidth="1"/>
    <col min="73" max="73" width="9.85546875" bestFit="1" customWidth="1"/>
    <col min="74" max="74" width="6.85546875" customWidth="1"/>
    <col min="75" max="75" width="9.85546875" bestFit="1" customWidth="1"/>
    <col min="76" max="76" width="6.85546875" customWidth="1"/>
    <col min="77" max="77" width="9.85546875" bestFit="1" customWidth="1"/>
    <col min="78" max="78" width="6.85546875" customWidth="1"/>
    <col min="79" max="79" width="9.85546875" bestFit="1" customWidth="1"/>
    <col min="80" max="80" width="6.85546875" customWidth="1"/>
    <col min="81" max="81" width="9.85546875" bestFit="1" customWidth="1"/>
    <col min="82" max="82" width="6.85546875" customWidth="1"/>
    <col min="83" max="83" width="9.85546875" bestFit="1" customWidth="1"/>
    <col min="84" max="84" width="6.85546875" customWidth="1"/>
    <col min="85" max="85" width="9.85546875" bestFit="1" customWidth="1"/>
    <col min="86" max="86" width="6.85546875" customWidth="1"/>
    <col min="87" max="87" width="9.85546875" bestFit="1" customWidth="1"/>
    <col min="88" max="88" width="6.85546875" customWidth="1"/>
    <col min="89" max="89" width="9.85546875" bestFit="1" customWidth="1"/>
    <col min="90" max="90" width="6.85546875" customWidth="1"/>
    <col min="91" max="91" width="9.85546875" bestFit="1" customWidth="1"/>
    <col min="92" max="92" width="6.85546875" customWidth="1"/>
    <col min="93" max="93" width="9.85546875" bestFit="1" customWidth="1"/>
    <col min="94" max="94" width="6.85546875" customWidth="1"/>
    <col min="95" max="95" width="9.85546875" bestFit="1" customWidth="1"/>
    <col min="96" max="96" width="6.85546875" customWidth="1"/>
    <col min="97" max="97" width="9.85546875" bestFit="1" customWidth="1"/>
    <col min="98" max="98" width="6.85546875" customWidth="1"/>
    <col min="99" max="99" width="9.85546875" bestFit="1" customWidth="1"/>
    <col min="100" max="100" width="6.85546875" customWidth="1"/>
    <col min="101" max="101" width="9.85546875" bestFit="1" customWidth="1"/>
    <col min="102" max="102" width="6.85546875" customWidth="1"/>
    <col min="103" max="103" width="9.85546875" bestFit="1" customWidth="1"/>
    <col min="104" max="104" width="6.85546875" customWidth="1"/>
    <col min="105" max="105" width="9.85546875" bestFit="1" customWidth="1"/>
    <col min="106" max="106" width="6.85546875" customWidth="1"/>
    <col min="107" max="107" width="9.85546875" bestFit="1" customWidth="1"/>
    <col min="108" max="108" width="6.85546875" customWidth="1"/>
    <col min="109" max="109" width="9.85546875" bestFit="1" customWidth="1"/>
    <col min="110" max="110" width="6.85546875" customWidth="1"/>
    <col min="111" max="111" width="9.85546875" bestFit="1" customWidth="1"/>
    <col min="112" max="112" width="6.85546875" customWidth="1"/>
    <col min="113" max="113" width="9.85546875" bestFit="1" customWidth="1"/>
    <col min="114" max="114" width="6.85546875" customWidth="1"/>
    <col min="115" max="115" width="9.85546875" bestFit="1" customWidth="1"/>
    <col min="116" max="116" width="6.85546875" customWidth="1"/>
    <col min="117" max="117" width="9.85546875" bestFit="1" customWidth="1"/>
    <col min="118" max="118" width="6.85546875" customWidth="1"/>
    <col min="119" max="119" width="9.85546875" bestFit="1" customWidth="1"/>
    <col min="120" max="120" width="6.85546875" customWidth="1"/>
    <col min="121" max="121" width="9.85546875" bestFit="1" customWidth="1"/>
    <col min="122" max="122" width="6.85546875" customWidth="1"/>
    <col min="123" max="123" width="9.85546875" bestFit="1" customWidth="1"/>
    <col min="124" max="124" width="6.85546875" customWidth="1"/>
    <col min="125" max="125" width="9.85546875" bestFit="1" customWidth="1"/>
    <col min="126" max="126" width="6.85546875" customWidth="1"/>
    <col min="127" max="127" width="9.85546875" bestFit="1" customWidth="1"/>
    <col min="128" max="128" width="6.85546875" customWidth="1"/>
    <col min="129" max="129" width="9.85546875" bestFit="1" customWidth="1"/>
    <col min="130" max="130" width="6.85546875" customWidth="1"/>
    <col min="131" max="131" width="9.85546875" bestFit="1" customWidth="1"/>
    <col min="132" max="132" width="6.85546875" customWidth="1"/>
    <col min="133" max="133" width="9.85546875" bestFit="1" customWidth="1"/>
    <col min="134" max="134" width="6.85546875" customWidth="1"/>
    <col min="135" max="135" width="9.85546875" bestFit="1" customWidth="1"/>
    <col min="136" max="136" width="7.85546875" customWidth="1"/>
    <col min="137" max="137" width="10.85546875" bestFit="1" customWidth="1"/>
    <col min="138" max="138" width="7.85546875" customWidth="1"/>
    <col min="139" max="139" width="10.85546875" bestFit="1" customWidth="1"/>
    <col min="140" max="140" width="11.140625" bestFit="1" customWidth="1"/>
  </cols>
  <sheetData>
    <row r="3" spans="2:4" x14ac:dyDescent="0.25">
      <c r="B3" s="11" t="s">
        <v>31</v>
      </c>
      <c r="C3" s="11" t="s">
        <v>0</v>
      </c>
      <c r="D3" s="12" t="s">
        <v>30</v>
      </c>
    </row>
    <row r="4" spans="2:4" x14ac:dyDescent="0.25">
      <c r="B4" s="10" t="s">
        <v>46</v>
      </c>
      <c r="C4" s="10" t="s">
        <v>21</v>
      </c>
      <c r="D4" s="13">
        <v>126254</v>
      </c>
    </row>
    <row r="5" spans="2:4" x14ac:dyDescent="0.25">
      <c r="B5" s="10" t="s">
        <v>32</v>
      </c>
      <c r="C5" s="10" t="s">
        <v>21</v>
      </c>
      <c r="D5" s="13">
        <v>6325</v>
      </c>
    </row>
    <row r="6" spans="2:4" x14ac:dyDescent="0.25">
      <c r="B6" s="10" t="s">
        <v>33</v>
      </c>
      <c r="C6" s="10" t="s">
        <v>21</v>
      </c>
      <c r="D6" s="13">
        <v>201685.69999999998</v>
      </c>
    </row>
    <row r="7" spans="2:4" x14ac:dyDescent="0.25">
      <c r="B7" s="10" t="s">
        <v>34</v>
      </c>
      <c r="C7" s="10" t="s">
        <v>21</v>
      </c>
      <c r="D7" s="13">
        <v>16837</v>
      </c>
    </row>
    <row r="8" spans="2:4" x14ac:dyDescent="0.25">
      <c r="B8" s="17" t="s">
        <v>35</v>
      </c>
      <c r="C8" s="17" t="s">
        <v>21</v>
      </c>
      <c r="D8" s="19">
        <v>61616</v>
      </c>
    </row>
    <row r="10" spans="2:4" x14ac:dyDescent="0.25">
      <c r="B10" t="s">
        <v>20</v>
      </c>
      <c r="C10" t="s">
        <v>30</v>
      </c>
    </row>
    <row r="11" spans="2:4" x14ac:dyDescent="0.25">
      <c r="B11" t="s">
        <v>45</v>
      </c>
      <c r="C11">
        <v>183634</v>
      </c>
    </row>
    <row r="12" spans="2:4" x14ac:dyDescent="0.25">
      <c r="B12" t="s">
        <v>48</v>
      </c>
      <c r="C12">
        <v>10837</v>
      </c>
    </row>
    <row r="13" spans="2:4" x14ac:dyDescent="0.25">
      <c r="B13" t="s">
        <v>8</v>
      </c>
      <c r="C13">
        <v>323703</v>
      </c>
    </row>
    <row r="14" spans="2:4" x14ac:dyDescent="0.25">
      <c r="B14" t="s">
        <v>9</v>
      </c>
      <c r="C14">
        <v>35494</v>
      </c>
    </row>
    <row r="15" spans="2:4" x14ac:dyDescent="0.25">
      <c r="B15" t="s">
        <v>26</v>
      </c>
      <c r="C15">
        <v>82353</v>
      </c>
    </row>
    <row r="19" spans="2:4" x14ac:dyDescent="0.25">
      <c r="B19" s="11" t="s">
        <v>31</v>
      </c>
      <c r="C19" s="11" t="s">
        <v>0</v>
      </c>
      <c r="D19" s="12" t="s">
        <v>30</v>
      </c>
    </row>
    <row r="20" spans="2:4" x14ac:dyDescent="0.25">
      <c r="B20" s="10" t="s">
        <v>46</v>
      </c>
      <c r="C20" s="10" t="s">
        <v>18</v>
      </c>
      <c r="D20" s="13">
        <v>196180</v>
      </c>
    </row>
    <row r="21" spans="2:4" x14ac:dyDescent="0.25">
      <c r="B21" s="10" t="s">
        <v>32</v>
      </c>
      <c r="C21" s="10" t="s">
        <v>18</v>
      </c>
      <c r="D21" s="13">
        <v>7650</v>
      </c>
    </row>
    <row r="22" spans="2:4" x14ac:dyDescent="0.25">
      <c r="B22" s="10" t="s">
        <v>33</v>
      </c>
      <c r="C22" s="10" t="s">
        <v>18</v>
      </c>
      <c r="D22" s="13">
        <v>309298</v>
      </c>
    </row>
    <row r="23" spans="2:4" x14ac:dyDescent="0.25">
      <c r="B23" s="10" t="s">
        <v>34</v>
      </c>
      <c r="C23" s="10" t="s">
        <v>18</v>
      </c>
      <c r="D23" s="13">
        <v>26085</v>
      </c>
    </row>
    <row r="24" spans="2:4" x14ac:dyDescent="0.25">
      <c r="B24" s="17" t="s">
        <v>35</v>
      </c>
      <c r="C24" s="17" t="s">
        <v>18</v>
      </c>
      <c r="D24" s="19">
        <v>75492</v>
      </c>
    </row>
    <row r="26" spans="2:4" x14ac:dyDescent="0.25">
      <c r="B26" t="s">
        <v>47</v>
      </c>
      <c r="C26" t="s">
        <v>30</v>
      </c>
    </row>
    <row r="27" spans="2:4" x14ac:dyDescent="0.25">
      <c r="B27" t="s">
        <v>45</v>
      </c>
      <c r="C27">
        <v>196180</v>
      </c>
    </row>
    <row r="28" spans="2:4" x14ac:dyDescent="0.25">
      <c r="B28" t="s">
        <v>48</v>
      </c>
      <c r="C28">
        <v>7650</v>
      </c>
    </row>
    <row r="29" spans="2:4" x14ac:dyDescent="0.25">
      <c r="B29" t="s">
        <v>8</v>
      </c>
      <c r="C29">
        <v>309298</v>
      </c>
    </row>
    <row r="30" spans="2:4" x14ac:dyDescent="0.25">
      <c r="B30" t="s">
        <v>9</v>
      </c>
      <c r="C30">
        <v>26085</v>
      </c>
    </row>
    <row r="31" spans="2:4" x14ac:dyDescent="0.25">
      <c r="B31" t="s">
        <v>26</v>
      </c>
      <c r="C31">
        <v>75492</v>
      </c>
    </row>
    <row r="38" spans="2:6" x14ac:dyDescent="0.25">
      <c r="B38" s="1"/>
      <c r="C38" s="1" t="s">
        <v>18</v>
      </c>
      <c r="D38" t="s">
        <v>19</v>
      </c>
      <c r="E38" s="1" t="s">
        <v>20</v>
      </c>
      <c r="F38" t="s">
        <v>58</v>
      </c>
    </row>
    <row r="39" spans="2:6" x14ac:dyDescent="0.25">
      <c r="B39" s="1" t="s">
        <v>48</v>
      </c>
      <c r="C39" s="31">
        <v>1.244499394018269E-2</v>
      </c>
      <c r="D39" s="31">
        <v>1.2889815586462289E-2</v>
      </c>
      <c r="E39" s="31">
        <v>1.7038745576010855E-2</v>
      </c>
      <c r="F39" s="31">
        <v>1.5325245319015881E-2</v>
      </c>
    </row>
    <row r="40" spans="2:6" x14ac:dyDescent="0.25">
      <c r="B40" s="1" t="s">
        <v>9</v>
      </c>
      <c r="C40" s="31">
        <v>4.2434989141132737E-2</v>
      </c>
      <c r="D40" s="31">
        <v>5.7360490039982746E-2</v>
      </c>
      <c r="E40" s="31">
        <v>5.5806333438675769E-2</v>
      </c>
      <c r="F40" s="31">
        <v>4.0795439594667256E-2</v>
      </c>
    </row>
    <row r="41" spans="2:6" x14ac:dyDescent="0.25">
      <c r="B41" s="1" t="s">
        <v>26</v>
      </c>
      <c r="C41" s="31">
        <v>0.12281012843559105</v>
      </c>
      <c r="D41" s="31">
        <v>0.14378062344552067</v>
      </c>
      <c r="E41" s="31">
        <v>0.12948157372162239</v>
      </c>
      <c r="F41" s="31">
        <v>0.14929333052592608</v>
      </c>
    </row>
    <row r="42" spans="2:6" x14ac:dyDescent="0.25">
      <c r="B42" s="1" t="s">
        <v>45</v>
      </c>
      <c r="C42" s="31">
        <v>0.31914495571046275</v>
      </c>
      <c r="D42" s="31">
        <v>0.27535564541495477</v>
      </c>
      <c r="E42" s="31">
        <v>0.28872317109026274</v>
      </c>
      <c r="F42" s="31">
        <v>0.30590885731336459</v>
      </c>
    </row>
    <row r="43" spans="2:6" x14ac:dyDescent="0.25">
      <c r="B43" s="1" t="s">
        <v>8</v>
      </c>
      <c r="C43" s="31">
        <v>0.50316493277263075</v>
      </c>
      <c r="D43" s="31">
        <v>0.51061342551307953</v>
      </c>
      <c r="E43" s="31">
        <v>0.50895017617342819</v>
      </c>
      <c r="F43" s="31">
        <v>0.48867712724702622</v>
      </c>
    </row>
    <row r="46" spans="2:6" x14ac:dyDescent="0.25">
      <c r="E46" s="1"/>
      <c r="F46" s="1"/>
    </row>
    <row r="47" spans="2:6" x14ac:dyDescent="0.25">
      <c r="C47" s="1"/>
      <c r="D47" s="1"/>
      <c r="E47" s="1"/>
      <c r="F47" s="1"/>
    </row>
    <row r="48" spans="2:6" x14ac:dyDescent="0.25">
      <c r="C48" s="1"/>
      <c r="D48" s="1"/>
      <c r="E48" s="1"/>
      <c r="F48" s="1"/>
    </row>
    <row r="49" spans="2:6" x14ac:dyDescent="0.25">
      <c r="B49" t="s">
        <v>46</v>
      </c>
      <c r="C49" s="1" t="s">
        <v>21</v>
      </c>
      <c r="D49" s="1">
        <v>126254</v>
      </c>
      <c r="E49" s="1">
        <f>D49/$D$54</f>
        <v>0.30590885731336459</v>
      </c>
      <c r="F49" s="1"/>
    </row>
    <row r="50" spans="2:6" x14ac:dyDescent="0.25">
      <c r="B50" t="s">
        <v>32</v>
      </c>
      <c r="C50" s="1" t="s">
        <v>21</v>
      </c>
      <c r="D50" s="1">
        <v>6325</v>
      </c>
      <c r="E50" s="1">
        <f>D50/$D$54</f>
        <v>1.5325245319015881E-2</v>
      </c>
      <c r="F50" s="1"/>
    </row>
    <row r="51" spans="2:6" x14ac:dyDescent="0.25">
      <c r="B51" t="s">
        <v>33</v>
      </c>
      <c r="C51" s="1" t="s">
        <v>21</v>
      </c>
      <c r="D51">
        <v>201685.69999999998</v>
      </c>
      <c r="E51" s="1">
        <f>D51/$D$54</f>
        <v>0.48867712724702622</v>
      </c>
    </row>
    <row r="52" spans="2:6" x14ac:dyDescent="0.25">
      <c r="B52" t="s">
        <v>34</v>
      </c>
      <c r="C52" t="s">
        <v>21</v>
      </c>
      <c r="D52">
        <v>16837</v>
      </c>
      <c r="E52" s="1">
        <f>D52/$D$54</f>
        <v>4.0795439594667256E-2</v>
      </c>
    </row>
    <row r="53" spans="2:6" x14ac:dyDescent="0.25">
      <c r="B53" t="s">
        <v>35</v>
      </c>
      <c r="C53" t="s">
        <v>21</v>
      </c>
      <c r="D53">
        <v>61616</v>
      </c>
      <c r="E53">
        <f>D53/$D$54</f>
        <v>0.14929333052592608</v>
      </c>
    </row>
    <row r="54" spans="2:6" x14ac:dyDescent="0.25">
      <c r="D54">
        <f>SUM(D49:D53)</f>
        <v>412717.69999999995</v>
      </c>
    </row>
  </sheetData>
  <pageMargins left="0.7" right="0.7" top="0.75" bottom="0.75" header="0.3" footer="0.3"/>
  <pageSetup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148"/>
  <sheetViews>
    <sheetView topLeftCell="C50" workbookViewId="0">
      <selection activeCell="M52" sqref="M52"/>
    </sheetView>
  </sheetViews>
  <sheetFormatPr defaultRowHeight="15" x14ac:dyDescent="0.25"/>
  <cols>
    <col min="1" max="1" width="11.140625" customWidth="1"/>
    <col min="2" max="2" width="12.7109375" customWidth="1"/>
    <col min="3" max="3" width="9.140625" customWidth="1"/>
    <col min="4" max="4" width="12" bestFit="1" customWidth="1"/>
    <col min="5" max="5" width="12" style="1" customWidth="1"/>
    <col min="6" max="6" width="14.42578125" customWidth="1"/>
    <col min="7" max="7" width="10.140625" customWidth="1"/>
    <col min="8" max="8" width="9.140625" customWidth="1"/>
    <col min="9" max="9" width="12" style="1" customWidth="1"/>
    <col min="10" max="10" width="7" style="1" bestFit="1" customWidth="1"/>
  </cols>
  <sheetData>
    <row r="2" spans="1:19" x14ac:dyDescent="0.25">
      <c r="A2" t="s">
        <v>3</v>
      </c>
      <c r="F2" t="s">
        <v>24</v>
      </c>
    </row>
    <row r="3" spans="1:19" x14ac:dyDescent="0.25">
      <c r="A3" s="11" t="s">
        <v>39</v>
      </c>
      <c r="B3" s="16"/>
      <c r="C3" s="12"/>
      <c r="F3" s="11" t="s">
        <v>39</v>
      </c>
      <c r="G3" s="16"/>
      <c r="H3" s="12"/>
      <c r="I3" s="8"/>
      <c r="J3" s="8"/>
    </row>
    <row r="4" spans="1:19" x14ac:dyDescent="0.25">
      <c r="A4" s="11" t="s">
        <v>0</v>
      </c>
      <c r="B4" s="11" t="s">
        <v>1</v>
      </c>
      <c r="C4" s="12" t="s">
        <v>30</v>
      </c>
      <c r="F4" s="11" t="s">
        <v>0</v>
      </c>
      <c r="G4" s="11" t="s">
        <v>1</v>
      </c>
      <c r="H4" s="12" t="s">
        <v>30</v>
      </c>
      <c r="I4" s="8"/>
      <c r="J4" s="8"/>
      <c r="L4" t="s">
        <v>3</v>
      </c>
      <c r="P4" t="s">
        <v>24</v>
      </c>
    </row>
    <row r="5" spans="1:19" x14ac:dyDescent="0.25">
      <c r="A5" s="10" t="s">
        <v>18</v>
      </c>
      <c r="B5" s="10" t="s">
        <v>15</v>
      </c>
      <c r="C5" s="13">
        <v>30470</v>
      </c>
      <c r="F5" s="10" t="s">
        <v>18</v>
      </c>
      <c r="G5" s="10" t="s">
        <v>15</v>
      </c>
      <c r="H5" s="13">
        <v>17663</v>
      </c>
      <c r="I5" s="21"/>
      <c r="J5" s="10" t="s">
        <v>18</v>
      </c>
      <c r="K5" s="10" t="s">
        <v>15</v>
      </c>
      <c r="L5" s="13">
        <v>30470</v>
      </c>
      <c r="N5" s="10" t="s">
        <v>18</v>
      </c>
      <c r="O5" s="10" t="s">
        <v>15</v>
      </c>
      <c r="P5" s="13">
        <v>17663</v>
      </c>
      <c r="R5" t="s">
        <v>49</v>
      </c>
    </row>
    <row r="6" spans="1:19" x14ac:dyDescent="0.25">
      <c r="A6" s="20"/>
      <c r="B6" s="14" t="s">
        <v>12</v>
      </c>
      <c r="C6" s="15">
        <v>37170</v>
      </c>
      <c r="F6" s="20"/>
      <c r="G6" s="14" t="s">
        <v>12</v>
      </c>
      <c r="H6" s="15">
        <v>16174</v>
      </c>
      <c r="I6" s="21"/>
      <c r="J6" s="20"/>
      <c r="K6" s="14" t="s">
        <v>12</v>
      </c>
      <c r="L6" s="15">
        <v>37170</v>
      </c>
      <c r="N6" s="20"/>
      <c r="O6" s="14" t="s">
        <v>12</v>
      </c>
      <c r="P6" s="15">
        <v>16174</v>
      </c>
      <c r="R6" t="s">
        <v>3</v>
      </c>
      <c r="S6" s="22">
        <f>(C19-C9)/C9</f>
        <v>-9.4481236203090513E-2</v>
      </c>
    </row>
    <row r="7" spans="1:19" x14ac:dyDescent="0.25">
      <c r="A7" s="20"/>
      <c r="B7" s="14" t="s">
        <v>13</v>
      </c>
      <c r="C7" s="15">
        <v>34060</v>
      </c>
      <c r="F7" s="20"/>
      <c r="G7" s="14" t="s">
        <v>13</v>
      </c>
      <c r="H7" s="15">
        <v>15552</v>
      </c>
      <c r="I7" s="21"/>
      <c r="J7" s="20"/>
      <c r="K7" s="14" t="s">
        <v>13</v>
      </c>
      <c r="L7" s="15">
        <v>34060</v>
      </c>
      <c r="N7" s="20"/>
      <c r="O7" s="14" t="s">
        <v>13</v>
      </c>
      <c r="P7" s="15">
        <v>15552</v>
      </c>
      <c r="R7" t="s">
        <v>24</v>
      </c>
      <c r="S7" s="22">
        <f>(H19-H9)/H9</f>
        <v>-6.636868064118373E-2</v>
      </c>
    </row>
    <row r="8" spans="1:19" x14ac:dyDescent="0.25">
      <c r="A8" s="20"/>
      <c r="B8" s="14" t="s">
        <v>14</v>
      </c>
      <c r="C8" s="15">
        <v>34200</v>
      </c>
      <c r="F8" s="20"/>
      <c r="G8" s="14" t="s">
        <v>14</v>
      </c>
      <c r="H8" s="15">
        <v>15491</v>
      </c>
      <c r="I8" s="21"/>
      <c r="J8" s="20"/>
      <c r="K8" s="14" t="s">
        <v>14</v>
      </c>
      <c r="L8" s="15">
        <v>34200</v>
      </c>
      <c r="N8" s="20"/>
      <c r="O8" s="14" t="s">
        <v>14</v>
      </c>
      <c r="P8" s="15">
        <v>15491</v>
      </c>
      <c r="R8" t="s">
        <v>50</v>
      </c>
      <c r="S8" s="22">
        <f>AVERAGE(S6:S7)</f>
        <v>-8.0424958422137122E-2</v>
      </c>
    </row>
    <row r="9" spans="1:19" x14ac:dyDescent="0.25">
      <c r="A9" s="10" t="s">
        <v>36</v>
      </c>
      <c r="B9" s="16"/>
      <c r="C9" s="13">
        <v>135900</v>
      </c>
      <c r="F9" s="10" t="s">
        <v>36</v>
      </c>
      <c r="G9" s="16"/>
      <c r="H9" s="13">
        <v>64880</v>
      </c>
      <c r="I9" s="21"/>
      <c r="J9" s="10" t="s">
        <v>19</v>
      </c>
      <c r="K9" s="10" t="s">
        <v>15</v>
      </c>
      <c r="L9" s="13">
        <v>31990</v>
      </c>
      <c r="N9" s="10" t="s">
        <v>19</v>
      </c>
      <c r="O9" s="10" t="s">
        <v>15</v>
      </c>
      <c r="P9" s="13">
        <v>14537</v>
      </c>
    </row>
    <row r="10" spans="1:19" x14ac:dyDescent="0.25">
      <c r="A10" s="10" t="s">
        <v>19</v>
      </c>
      <c r="B10" s="10" t="s">
        <v>15</v>
      </c>
      <c r="C10" s="13">
        <v>31990</v>
      </c>
      <c r="F10" s="10" t="s">
        <v>19</v>
      </c>
      <c r="G10" s="10" t="s">
        <v>15</v>
      </c>
      <c r="H10" s="13">
        <v>14537</v>
      </c>
      <c r="I10" s="21"/>
      <c r="J10" s="20"/>
      <c r="K10" s="14" t="s">
        <v>12</v>
      </c>
      <c r="L10" s="15">
        <v>29840</v>
      </c>
      <c r="N10" s="20"/>
      <c r="O10" s="14" t="s">
        <v>12</v>
      </c>
      <c r="P10" s="15">
        <v>13445</v>
      </c>
    </row>
    <row r="11" spans="1:19" x14ac:dyDescent="0.25">
      <c r="A11" s="20"/>
      <c r="B11" s="14" t="s">
        <v>12</v>
      </c>
      <c r="C11" s="15">
        <v>29840</v>
      </c>
      <c r="F11" s="20"/>
      <c r="G11" s="14" t="s">
        <v>12</v>
      </c>
      <c r="H11" s="15">
        <v>13445</v>
      </c>
      <c r="I11" s="21"/>
      <c r="J11" s="20"/>
      <c r="K11" s="14" t="s">
        <v>13</v>
      </c>
      <c r="L11" s="15">
        <v>29410</v>
      </c>
      <c r="N11" s="20"/>
      <c r="O11" s="14" t="s">
        <v>13</v>
      </c>
      <c r="P11" s="15">
        <v>13444</v>
      </c>
    </row>
    <row r="12" spans="1:19" x14ac:dyDescent="0.25">
      <c r="A12" s="20"/>
      <c r="B12" s="14" t="s">
        <v>13</v>
      </c>
      <c r="C12" s="15">
        <v>29410</v>
      </c>
      <c r="F12" s="20"/>
      <c r="G12" s="14" t="s">
        <v>13</v>
      </c>
      <c r="H12" s="15">
        <v>13444</v>
      </c>
      <c r="I12" s="21"/>
      <c r="J12" s="20"/>
      <c r="K12" s="14" t="s">
        <v>14</v>
      </c>
      <c r="L12" s="15">
        <v>27340</v>
      </c>
      <c r="N12" s="20"/>
      <c r="O12" s="14" t="s">
        <v>14</v>
      </c>
      <c r="P12" s="15">
        <v>13144</v>
      </c>
    </row>
    <row r="13" spans="1:19" x14ac:dyDescent="0.25">
      <c r="A13" s="20"/>
      <c r="B13" s="14" t="s">
        <v>14</v>
      </c>
      <c r="C13" s="15">
        <v>27340</v>
      </c>
      <c r="F13" s="20"/>
      <c r="G13" s="14" t="s">
        <v>14</v>
      </c>
      <c r="H13" s="15">
        <v>13144</v>
      </c>
      <c r="I13" s="21"/>
      <c r="J13" s="10" t="s">
        <v>20</v>
      </c>
      <c r="K13" s="10" t="s">
        <v>15</v>
      </c>
      <c r="L13" s="13">
        <v>26830</v>
      </c>
      <c r="N13" s="10" t="s">
        <v>20</v>
      </c>
      <c r="O13" s="10" t="s">
        <v>15</v>
      </c>
      <c r="P13" s="13">
        <v>14738</v>
      </c>
    </row>
    <row r="14" spans="1:19" x14ac:dyDescent="0.25">
      <c r="A14" s="10" t="s">
        <v>37</v>
      </c>
      <c r="B14" s="16"/>
      <c r="C14" s="13">
        <v>118580</v>
      </c>
      <c r="F14" s="10" t="s">
        <v>37</v>
      </c>
      <c r="G14" s="16"/>
      <c r="H14" s="13">
        <v>54570</v>
      </c>
      <c r="I14" s="21"/>
      <c r="J14" s="20"/>
      <c r="K14" s="14" t="s">
        <v>12</v>
      </c>
      <c r="L14" s="15">
        <v>30240</v>
      </c>
      <c r="N14" s="20"/>
      <c r="O14" s="14" t="s">
        <v>12</v>
      </c>
      <c r="P14" s="15">
        <v>14865</v>
      </c>
    </row>
    <row r="15" spans="1:19" x14ac:dyDescent="0.25">
      <c r="A15" s="10" t="s">
        <v>20</v>
      </c>
      <c r="B15" s="10" t="s">
        <v>15</v>
      </c>
      <c r="C15" s="13">
        <v>26830</v>
      </c>
      <c r="F15" s="10" t="s">
        <v>20</v>
      </c>
      <c r="G15" s="10" t="s">
        <v>15</v>
      </c>
      <c r="H15" s="13">
        <v>14738</v>
      </c>
      <c r="I15" s="21"/>
      <c r="J15" s="20"/>
      <c r="K15" s="14" t="s">
        <v>13</v>
      </c>
      <c r="L15" s="15">
        <v>34530</v>
      </c>
      <c r="N15" s="20"/>
      <c r="O15" s="14" t="s">
        <v>13</v>
      </c>
      <c r="P15" s="15">
        <v>13563</v>
      </c>
    </row>
    <row r="16" spans="1:19" x14ac:dyDescent="0.25">
      <c r="A16" s="20"/>
      <c r="B16" s="14" t="s">
        <v>12</v>
      </c>
      <c r="C16" s="15">
        <v>30240</v>
      </c>
      <c r="F16" s="20"/>
      <c r="G16" s="14" t="s">
        <v>12</v>
      </c>
      <c r="H16" s="15">
        <v>14865</v>
      </c>
      <c r="I16" s="21"/>
      <c r="J16" s="20"/>
      <c r="K16" s="14" t="s">
        <v>14</v>
      </c>
      <c r="L16" s="15">
        <v>31460</v>
      </c>
      <c r="N16" s="20"/>
      <c r="O16" s="14" t="s">
        <v>14</v>
      </c>
      <c r="P16" s="15">
        <v>17408</v>
      </c>
    </row>
    <row r="17" spans="1:16" x14ac:dyDescent="0.25">
      <c r="A17" s="20"/>
      <c r="B17" s="14" t="s">
        <v>13</v>
      </c>
      <c r="C17" s="15">
        <v>34530</v>
      </c>
      <c r="F17" s="20"/>
      <c r="G17" s="14" t="s">
        <v>13</v>
      </c>
      <c r="H17" s="15">
        <v>13563</v>
      </c>
      <c r="I17" s="21"/>
      <c r="J17" s="38" t="s">
        <v>21</v>
      </c>
      <c r="K17" s="32" t="s">
        <v>15</v>
      </c>
      <c r="L17" s="32">
        <v>31396</v>
      </c>
      <c r="N17" s="34" t="s">
        <v>21</v>
      </c>
      <c r="O17" s="34" t="s">
        <v>15</v>
      </c>
      <c r="P17" s="32">
        <v>19038</v>
      </c>
    </row>
    <row r="18" spans="1:16" x14ac:dyDescent="0.25">
      <c r="A18" s="20"/>
      <c r="B18" s="14" t="s">
        <v>14</v>
      </c>
      <c r="C18" s="15">
        <v>31460</v>
      </c>
      <c r="F18" s="20"/>
      <c r="G18" s="14" t="s">
        <v>14</v>
      </c>
      <c r="H18" s="15">
        <v>17408</v>
      </c>
      <c r="I18" s="21"/>
      <c r="J18" s="39"/>
      <c r="K18" s="37" t="s">
        <v>12</v>
      </c>
      <c r="L18" s="36">
        <v>34360</v>
      </c>
      <c r="N18" s="36"/>
      <c r="O18" s="36" t="s">
        <v>12</v>
      </c>
      <c r="P18" s="37">
        <v>19784</v>
      </c>
    </row>
    <row r="19" spans="1:16" x14ac:dyDescent="0.25">
      <c r="A19" s="10" t="s">
        <v>38</v>
      </c>
      <c r="B19" s="16"/>
      <c r="C19" s="13">
        <v>123060</v>
      </c>
      <c r="F19" s="10" t="s">
        <v>38</v>
      </c>
      <c r="G19" s="16"/>
      <c r="H19" s="13">
        <v>60574</v>
      </c>
      <c r="I19" s="21"/>
      <c r="J19" s="40"/>
      <c r="K19" s="37" t="s">
        <v>13</v>
      </c>
      <c r="L19" s="36">
        <v>14150</v>
      </c>
      <c r="N19" s="35"/>
      <c r="O19" s="36" t="s">
        <v>13</v>
      </c>
      <c r="P19" s="33">
        <v>7526</v>
      </c>
    </row>
    <row r="20" spans="1:16" x14ac:dyDescent="0.25">
      <c r="A20" s="10" t="s">
        <v>21</v>
      </c>
      <c r="B20" s="10" t="s">
        <v>15</v>
      </c>
      <c r="C20" s="13">
        <v>31396</v>
      </c>
      <c r="F20" s="10" t="s">
        <v>21</v>
      </c>
      <c r="G20" s="10" t="s">
        <v>15</v>
      </c>
      <c r="H20" s="13">
        <v>19038</v>
      </c>
    </row>
    <row r="21" spans="1:16" x14ac:dyDescent="0.25">
      <c r="A21" s="20"/>
      <c r="B21" s="14" t="s">
        <v>12</v>
      </c>
      <c r="C21" s="15">
        <v>34360</v>
      </c>
      <c r="F21" s="20"/>
      <c r="G21" s="14" t="s">
        <v>12</v>
      </c>
      <c r="H21" s="15">
        <v>19784</v>
      </c>
    </row>
    <row r="22" spans="1:16" x14ac:dyDescent="0.25">
      <c r="A22" s="20"/>
      <c r="B22" s="14" t="s">
        <v>13</v>
      </c>
      <c r="C22" s="15">
        <v>14150</v>
      </c>
      <c r="F22" s="20"/>
      <c r="G22" s="14" t="s">
        <v>13</v>
      </c>
      <c r="H22" s="15">
        <v>7526</v>
      </c>
    </row>
    <row r="23" spans="1:16" x14ac:dyDescent="0.25">
      <c r="A23" s="17" t="s">
        <v>54</v>
      </c>
      <c r="B23" s="18"/>
      <c r="C23" s="19">
        <v>79906</v>
      </c>
      <c r="F23" s="17" t="s">
        <v>54</v>
      </c>
      <c r="G23" s="18"/>
      <c r="H23" s="19">
        <v>46348</v>
      </c>
    </row>
    <row r="29" spans="1:16" s="1" customFormat="1" x14ac:dyDescent="0.25"/>
    <row r="30" spans="1:16" s="1" customFormat="1" x14ac:dyDescent="0.25"/>
    <row r="31" spans="1:16" s="1" customFormat="1" x14ac:dyDescent="0.25"/>
    <row r="32" spans="1:16" s="1" customFormat="1" x14ac:dyDescent="0.25"/>
    <row r="33" spans="1:14" s="1" customFormat="1" x14ac:dyDescent="0.25"/>
    <row r="42" spans="1:14" x14ac:dyDescent="0.25">
      <c r="A42" s="11" t="s">
        <v>55</v>
      </c>
      <c r="B42" s="16"/>
      <c r="C42" s="16"/>
      <c r="D42" s="12"/>
      <c r="E42" s="10"/>
      <c r="F42" s="11" t="s">
        <v>55</v>
      </c>
      <c r="G42" s="16"/>
      <c r="H42" s="16"/>
      <c r="I42" s="12"/>
      <c r="J42"/>
      <c r="K42" s="8"/>
      <c r="L42" s="36"/>
      <c r="M42" s="36" t="s">
        <v>3</v>
      </c>
      <c r="N42" s="36" t="s">
        <v>24</v>
      </c>
    </row>
    <row r="43" spans="1:14" x14ac:dyDescent="0.25">
      <c r="A43" s="11" t="s">
        <v>0</v>
      </c>
      <c r="B43" s="11" t="s">
        <v>1</v>
      </c>
      <c r="C43" s="11" t="s">
        <v>2</v>
      </c>
      <c r="D43" s="12" t="s">
        <v>30</v>
      </c>
      <c r="E43" s="10"/>
      <c r="F43" s="11" t="s">
        <v>0</v>
      </c>
      <c r="G43" s="11" t="s">
        <v>1</v>
      </c>
      <c r="H43" s="11" t="s">
        <v>2</v>
      </c>
      <c r="I43" s="12" t="s">
        <v>30</v>
      </c>
      <c r="J43"/>
      <c r="K43" s="8"/>
      <c r="L43" s="45">
        <v>40725</v>
      </c>
      <c r="M43" s="46">
        <v>0.26936128044202878</v>
      </c>
      <c r="N43" s="46">
        <v>0.2839893262174783</v>
      </c>
    </row>
    <row r="44" spans="1:14" x14ac:dyDescent="0.25">
      <c r="A44" s="10" t="s">
        <v>20</v>
      </c>
      <c r="B44" s="10" t="s">
        <v>15</v>
      </c>
      <c r="C44" s="41">
        <v>40483</v>
      </c>
      <c r="D44" s="13">
        <v>0.24652525741323225</v>
      </c>
      <c r="E44" s="43"/>
      <c r="F44" s="10" t="s">
        <v>20</v>
      </c>
      <c r="G44" s="10" t="s">
        <v>15</v>
      </c>
      <c r="H44" s="41">
        <v>40483</v>
      </c>
      <c r="I44" s="13">
        <v>0.29231858862919324</v>
      </c>
      <c r="J44"/>
      <c r="K44" s="8"/>
      <c r="L44" s="45">
        <v>40756</v>
      </c>
      <c r="M44" s="46">
        <v>0.24198194737852891</v>
      </c>
      <c r="N44" s="46">
        <v>0.33384155638226504</v>
      </c>
    </row>
    <row r="45" spans="1:14" x14ac:dyDescent="0.25">
      <c r="A45" s="20"/>
      <c r="B45" s="20"/>
      <c r="C45" s="42">
        <v>40513</v>
      </c>
      <c r="D45" s="15">
        <v>0.29380264567111469</v>
      </c>
      <c r="E45" s="44"/>
      <c r="F45" s="20"/>
      <c r="G45" s="20"/>
      <c r="H45" s="42">
        <v>40513</v>
      </c>
      <c r="I45" s="15">
        <v>0.32861764892469708</v>
      </c>
      <c r="J45"/>
      <c r="K45" s="8"/>
      <c r="L45" s="45">
        <v>40787</v>
      </c>
      <c r="M45" s="46">
        <v>0.31239887486620366</v>
      </c>
      <c r="N45" s="46">
        <v>0.40103620146904512</v>
      </c>
    </row>
    <row r="46" spans="1:14" x14ac:dyDescent="0.25">
      <c r="A46" s="20"/>
      <c r="B46" s="20"/>
      <c r="C46" s="42">
        <v>40544</v>
      </c>
      <c r="D46" s="15">
        <v>0.24734865950859627</v>
      </c>
      <c r="E46" s="44"/>
      <c r="F46" s="20"/>
      <c r="G46" s="20"/>
      <c r="H46" s="42">
        <v>40544</v>
      </c>
      <c r="I46" s="15">
        <v>0.3149240617547383</v>
      </c>
      <c r="J46"/>
      <c r="K46" s="8"/>
      <c r="L46" s="45">
        <v>40817</v>
      </c>
      <c r="M46" s="46">
        <v>0.24371391995362432</v>
      </c>
      <c r="N46" s="46">
        <v>0.39166722756949585</v>
      </c>
    </row>
    <row r="47" spans="1:14" x14ac:dyDescent="0.25">
      <c r="A47" s="20"/>
      <c r="B47" s="10" t="s">
        <v>12</v>
      </c>
      <c r="C47" s="41">
        <v>40575</v>
      </c>
      <c r="D47" s="13">
        <v>0.25447633063527103</v>
      </c>
      <c r="E47" s="44"/>
      <c r="F47" s="20"/>
      <c r="G47" s="10" t="s">
        <v>12</v>
      </c>
      <c r="H47" s="41">
        <v>40575</v>
      </c>
      <c r="I47" s="13">
        <v>0.29606378303722769</v>
      </c>
      <c r="J47"/>
      <c r="K47" s="8"/>
      <c r="L47" s="45">
        <v>40848</v>
      </c>
      <c r="M47" s="46">
        <v>0.24486274509803921</v>
      </c>
      <c r="N47" s="46">
        <v>0.32881044098200424</v>
      </c>
    </row>
    <row r="48" spans="1:14" x14ac:dyDescent="0.25">
      <c r="A48" s="20"/>
      <c r="B48" s="20"/>
      <c r="C48" s="42">
        <v>40603</v>
      </c>
      <c r="D48" s="15">
        <v>0.28870000722351979</v>
      </c>
      <c r="E48" s="43"/>
      <c r="F48" s="20"/>
      <c r="G48" s="20"/>
      <c r="H48" s="42">
        <v>40603</v>
      </c>
      <c r="I48" s="15">
        <v>0.32732898662835674</v>
      </c>
      <c r="J48"/>
      <c r="K48" s="8"/>
      <c r="L48" s="45">
        <v>40878</v>
      </c>
      <c r="M48" s="46">
        <v>0.31131301130635619</v>
      </c>
      <c r="N48" s="46">
        <v>0.36132439287079182</v>
      </c>
    </row>
    <row r="49" spans="1:14" x14ac:dyDescent="0.25">
      <c r="A49" s="20"/>
      <c r="B49" s="20"/>
      <c r="C49" s="42">
        <v>40634</v>
      </c>
      <c r="D49" s="15">
        <v>0.27718193720923756</v>
      </c>
      <c r="E49" s="44"/>
      <c r="F49" s="20"/>
      <c r="G49" s="20"/>
      <c r="H49" s="42">
        <v>40634</v>
      </c>
      <c r="I49" s="15">
        <v>0.26115712696254173</v>
      </c>
      <c r="J49"/>
      <c r="K49" s="8"/>
      <c r="L49" s="45">
        <v>40909</v>
      </c>
      <c r="M49" s="46">
        <v>0.24664341921247282</v>
      </c>
      <c r="N49" s="46">
        <v>0.39313144551750179</v>
      </c>
    </row>
    <row r="50" spans="1:14" x14ac:dyDescent="0.25">
      <c r="A50" s="20"/>
      <c r="B50" s="10" t="s">
        <v>13</v>
      </c>
      <c r="C50" s="41">
        <v>40664</v>
      </c>
      <c r="D50" s="13">
        <v>0.30279709144949846</v>
      </c>
      <c r="E50" s="44"/>
      <c r="F50" s="20"/>
      <c r="G50" s="10" t="s">
        <v>13</v>
      </c>
      <c r="H50" s="41">
        <v>40664</v>
      </c>
      <c r="I50" s="13">
        <v>0.28682938917110645</v>
      </c>
      <c r="J50"/>
      <c r="K50" s="8"/>
      <c r="L50" s="45">
        <v>40940</v>
      </c>
      <c r="M50" s="46">
        <v>0.24757636463933824</v>
      </c>
      <c r="N50" s="46">
        <v>0.32693093583980387</v>
      </c>
    </row>
    <row r="51" spans="1:14" x14ac:dyDescent="0.25">
      <c r="A51" s="20"/>
      <c r="B51" s="20"/>
      <c r="C51" s="42">
        <v>40695</v>
      </c>
      <c r="D51" s="15">
        <v>0.32266155880877456</v>
      </c>
      <c r="E51" s="44"/>
      <c r="F51" s="20"/>
      <c r="G51" s="20"/>
      <c r="H51" s="42">
        <v>40695</v>
      </c>
      <c r="I51" s="15">
        <v>0.29327646763672854</v>
      </c>
      <c r="J51"/>
      <c r="L51" s="45">
        <v>40969</v>
      </c>
      <c r="M51" s="46">
        <v>0.34934942243402956</v>
      </c>
      <c r="N51" s="46">
        <v>0.37467801927425148</v>
      </c>
    </row>
    <row r="52" spans="1:14" x14ac:dyDescent="0.25">
      <c r="A52" s="20"/>
      <c r="B52" s="20"/>
      <c r="C52" s="42">
        <v>40725</v>
      </c>
      <c r="D52" s="15">
        <v>0.26936128044202878</v>
      </c>
      <c r="E52" s="43"/>
      <c r="F52" s="20"/>
      <c r="G52" s="20"/>
      <c r="H52" s="42">
        <v>40725</v>
      </c>
      <c r="I52" s="15">
        <v>0.2839893262174783</v>
      </c>
      <c r="J52"/>
      <c r="L52" s="45">
        <v>41000</v>
      </c>
      <c r="M52" s="46">
        <v>0.25338233712809455</v>
      </c>
      <c r="N52" s="46">
        <v>0.35705574757431718</v>
      </c>
    </row>
    <row r="53" spans="1:14" x14ac:dyDescent="0.25">
      <c r="A53" s="20"/>
      <c r="B53" s="10" t="s">
        <v>14</v>
      </c>
      <c r="C53" s="41">
        <v>40756</v>
      </c>
      <c r="D53" s="13">
        <v>0.24198194737852891</v>
      </c>
      <c r="E53" s="44"/>
      <c r="F53" s="20"/>
      <c r="G53" s="10" t="s">
        <v>14</v>
      </c>
      <c r="H53" s="41">
        <v>40756</v>
      </c>
      <c r="I53" s="13">
        <v>0.33384155638226504</v>
      </c>
      <c r="J53"/>
      <c r="L53" s="45">
        <v>41030</v>
      </c>
      <c r="M53" s="46">
        <v>0.29268797186885925</v>
      </c>
      <c r="N53" s="46">
        <v>0.39126592149727057</v>
      </c>
    </row>
    <row r="54" spans="1:14" x14ac:dyDescent="0.25">
      <c r="A54" s="20"/>
      <c r="B54" s="20"/>
      <c r="C54" s="42">
        <v>40787</v>
      </c>
      <c r="D54" s="15">
        <v>0.31239887486620366</v>
      </c>
      <c r="E54" s="44"/>
      <c r="F54" s="20"/>
      <c r="G54" s="20"/>
      <c r="H54" s="42">
        <v>40787</v>
      </c>
      <c r="I54" s="15">
        <v>0.40103620146904512</v>
      </c>
      <c r="J54"/>
      <c r="L54" s="45">
        <v>41061</v>
      </c>
      <c r="M54" s="46">
        <v>0.27141071056470095</v>
      </c>
      <c r="N54" s="46">
        <v>0.35215868231130498</v>
      </c>
    </row>
    <row r="55" spans="1:14" x14ac:dyDescent="0.25">
      <c r="A55" s="20"/>
      <c r="B55" s="20"/>
      <c r="C55" s="42">
        <v>40817</v>
      </c>
      <c r="D55" s="15">
        <v>0.24371391995362432</v>
      </c>
      <c r="E55" s="44"/>
      <c r="F55" s="20"/>
      <c r="G55" s="20"/>
      <c r="H55" s="42">
        <v>40817</v>
      </c>
      <c r="I55" s="15">
        <v>0.39166722756949585</v>
      </c>
      <c r="J55"/>
    </row>
    <row r="56" spans="1:14" x14ac:dyDescent="0.25">
      <c r="A56" s="10" t="s">
        <v>21</v>
      </c>
      <c r="B56" s="10" t="s">
        <v>15</v>
      </c>
      <c r="C56" s="41">
        <v>40848</v>
      </c>
      <c r="D56" s="13">
        <v>0.24486274509803921</v>
      </c>
      <c r="E56" s="44"/>
      <c r="F56" s="10" t="s">
        <v>21</v>
      </c>
      <c r="G56" s="10" t="s">
        <v>15</v>
      </c>
      <c r="H56" s="41">
        <v>40848</v>
      </c>
      <c r="I56" s="13">
        <v>0.32881044098200424</v>
      </c>
    </row>
    <row r="57" spans="1:14" x14ac:dyDescent="0.25">
      <c r="A57" s="20"/>
      <c r="B57" s="20"/>
      <c r="C57" s="42">
        <v>40878</v>
      </c>
      <c r="D57" s="15">
        <v>0.31131301130635619</v>
      </c>
      <c r="E57" s="44"/>
      <c r="F57" s="20"/>
      <c r="G57" s="20"/>
      <c r="H57" s="42">
        <v>40878</v>
      </c>
      <c r="I57" s="15">
        <v>0.36132439287079182</v>
      </c>
    </row>
    <row r="58" spans="1:14" x14ac:dyDescent="0.25">
      <c r="A58" s="20"/>
      <c r="B58" s="20"/>
      <c r="C58" s="42">
        <v>40909</v>
      </c>
      <c r="D58" s="15">
        <v>0.24664341921247282</v>
      </c>
      <c r="E58" s="43"/>
      <c r="F58" s="20"/>
      <c r="G58" s="20"/>
      <c r="H58" s="42">
        <v>40909</v>
      </c>
      <c r="I58" s="15">
        <v>0.39313144551750179</v>
      </c>
    </row>
    <row r="59" spans="1:14" x14ac:dyDescent="0.25">
      <c r="A59" s="20"/>
      <c r="B59" s="10" t="s">
        <v>12</v>
      </c>
      <c r="C59" s="41">
        <v>40940</v>
      </c>
      <c r="D59" s="13">
        <v>0.24757636463933824</v>
      </c>
      <c r="E59" s="44"/>
      <c r="F59" s="20"/>
      <c r="G59" s="10" t="s">
        <v>12</v>
      </c>
      <c r="H59" s="41">
        <v>40940</v>
      </c>
      <c r="I59" s="13">
        <v>0.32693093583980387</v>
      </c>
    </row>
    <row r="60" spans="1:14" x14ac:dyDescent="0.25">
      <c r="A60" s="20"/>
      <c r="B60" s="20"/>
      <c r="C60" s="42">
        <v>40969</v>
      </c>
      <c r="D60" s="15">
        <v>0.34934942243402956</v>
      </c>
      <c r="E60" s="44"/>
      <c r="F60" s="20"/>
      <c r="G60" s="20"/>
      <c r="H60" s="42">
        <v>40969</v>
      </c>
      <c r="I60" s="15">
        <v>0.37467801927425148</v>
      </c>
    </row>
    <row r="61" spans="1:14" x14ac:dyDescent="0.25">
      <c r="A61" s="20"/>
      <c r="B61" s="20"/>
      <c r="C61" s="42">
        <v>41000</v>
      </c>
      <c r="D61" s="15">
        <v>0.25338233712809455</v>
      </c>
      <c r="E61" s="44"/>
      <c r="F61" s="20"/>
      <c r="G61" s="20"/>
      <c r="H61" s="42">
        <v>41000</v>
      </c>
      <c r="I61" s="15">
        <v>0.35705574757431718</v>
      </c>
    </row>
    <row r="62" spans="1:14" x14ac:dyDescent="0.25">
      <c r="A62" s="20"/>
      <c r="B62" s="10" t="s">
        <v>13</v>
      </c>
      <c r="C62" s="41">
        <v>41030</v>
      </c>
      <c r="D62" s="13">
        <v>0.29268797186885925</v>
      </c>
      <c r="E62" s="44"/>
      <c r="F62" s="20"/>
      <c r="G62" s="10" t="s">
        <v>13</v>
      </c>
      <c r="H62" s="41">
        <v>41030</v>
      </c>
      <c r="I62" s="13">
        <v>0.39126592149727057</v>
      </c>
    </row>
    <row r="63" spans="1:14" x14ac:dyDescent="0.25">
      <c r="A63" s="20"/>
      <c r="B63" s="20"/>
      <c r="C63" s="42">
        <v>41061</v>
      </c>
      <c r="D63" s="15">
        <v>0.27141071056470095</v>
      </c>
      <c r="E63" s="44"/>
      <c r="F63" s="20"/>
      <c r="G63" s="20"/>
      <c r="H63" s="42">
        <v>41061</v>
      </c>
      <c r="I63" s="15">
        <v>0.35215868231130498</v>
      </c>
    </row>
    <row r="64" spans="1:14" x14ac:dyDescent="0.25">
      <c r="A64" s="17" t="s">
        <v>53</v>
      </c>
      <c r="B64" s="18"/>
      <c r="C64" s="18"/>
      <c r="D64" s="19">
        <v>0.275908774640576</v>
      </c>
      <c r="E64" s="44"/>
      <c r="F64" s="17" t="s">
        <v>53</v>
      </c>
      <c r="G64" s="18"/>
      <c r="H64" s="18"/>
      <c r="I64" s="19">
        <v>0.33482029751250597</v>
      </c>
    </row>
    <row r="65" spans="5:9" x14ac:dyDescent="0.25">
      <c r="E65" s="44"/>
      <c r="I65"/>
    </row>
    <row r="66" spans="5:9" x14ac:dyDescent="0.25">
      <c r="E66" s="44"/>
      <c r="I66"/>
    </row>
    <row r="67" spans="5:9" x14ac:dyDescent="0.25">
      <c r="E67" s="44"/>
      <c r="I67"/>
    </row>
    <row r="68" spans="5:9" x14ac:dyDescent="0.25">
      <c r="E68" s="43"/>
      <c r="I68"/>
    </row>
    <row r="69" spans="5:9" x14ac:dyDescent="0.25">
      <c r="E69" s="44"/>
      <c r="I69"/>
    </row>
    <row r="70" spans="5:9" x14ac:dyDescent="0.25">
      <c r="E70" s="44"/>
      <c r="I70"/>
    </row>
    <row r="71" spans="5:9" x14ac:dyDescent="0.25">
      <c r="E71" s="44"/>
      <c r="I71"/>
    </row>
    <row r="72" spans="5:9" x14ac:dyDescent="0.25">
      <c r="E72" s="44"/>
      <c r="I72"/>
    </row>
    <row r="73" spans="5:9" x14ac:dyDescent="0.25">
      <c r="E73" s="44"/>
      <c r="I73"/>
    </row>
    <row r="74" spans="5:9" x14ac:dyDescent="0.25">
      <c r="E74" s="44"/>
      <c r="I74"/>
    </row>
    <row r="75" spans="5:9" x14ac:dyDescent="0.25">
      <c r="E75" s="44"/>
      <c r="I75"/>
    </row>
    <row r="76" spans="5:9" x14ac:dyDescent="0.25">
      <c r="E76" s="44"/>
      <c r="I76"/>
    </row>
    <row r="77" spans="5:9" x14ac:dyDescent="0.25">
      <c r="E77" s="21"/>
      <c r="I77"/>
    </row>
    <row r="78" spans="5:9" x14ac:dyDescent="0.25">
      <c r="E78" s="21"/>
      <c r="I78"/>
    </row>
    <row r="79" spans="5:9" x14ac:dyDescent="0.25">
      <c r="E79" s="21"/>
      <c r="I79"/>
    </row>
    <row r="80" spans="5:9" x14ac:dyDescent="0.25">
      <c r="E80" s="21"/>
      <c r="I80"/>
    </row>
    <row r="81" spans="5:9" x14ac:dyDescent="0.25">
      <c r="E81" s="21"/>
      <c r="I81"/>
    </row>
    <row r="82" spans="5:9" x14ac:dyDescent="0.25">
      <c r="E82" s="21"/>
      <c r="I82"/>
    </row>
    <row r="83" spans="5:9" x14ac:dyDescent="0.25">
      <c r="E83" s="21"/>
      <c r="I83"/>
    </row>
    <row r="84" spans="5:9" x14ac:dyDescent="0.25">
      <c r="E84" s="21"/>
      <c r="I84"/>
    </row>
    <row r="85" spans="5:9" x14ac:dyDescent="0.25">
      <c r="E85" s="21"/>
      <c r="I85"/>
    </row>
    <row r="86" spans="5:9" x14ac:dyDescent="0.25">
      <c r="E86" s="21"/>
      <c r="I86"/>
    </row>
    <row r="87" spans="5:9" x14ac:dyDescent="0.25">
      <c r="E87" s="21"/>
      <c r="I87"/>
    </row>
    <row r="88" spans="5:9" x14ac:dyDescent="0.25">
      <c r="E88" s="21"/>
      <c r="I88"/>
    </row>
    <row r="89" spans="5:9" x14ac:dyDescent="0.25">
      <c r="E89" s="21"/>
      <c r="I89"/>
    </row>
    <row r="90" spans="5:9" x14ac:dyDescent="0.25">
      <c r="E90" s="21"/>
      <c r="I90"/>
    </row>
    <row r="91" spans="5:9" x14ac:dyDescent="0.25">
      <c r="E91" s="21"/>
      <c r="I91"/>
    </row>
    <row r="92" spans="5:9" x14ac:dyDescent="0.25">
      <c r="E92" s="21"/>
      <c r="I92"/>
    </row>
    <row r="93" spans="5:9" x14ac:dyDescent="0.25">
      <c r="E93" s="21"/>
      <c r="I93"/>
    </row>
    <row r="94" spans="5:9" x14ac:dyDescent="0.25">
      <c r="E94" s="21"/>
      <c r="I94"/>
    </row>
    <row r="95" spans="5:9" x14ac:dyDescent="0.25">
      <c r="E95" s="21"/>
      <c r="I95"/>
    </row>
    <row r="96" spans="5:9" x14ac:dyDescent="0.25">
      <c r="E96" s="21"/>
      <c r="I96"/>
    </row>
    <row r="97" spans="5:9" x14ac:dyDescent="0.25">
      <c r="E97" s="21"/>
      <c r="I97"/>
    </row>
    <row r="98" spans="5:9" x14ac:dyDescent="0.25">
      <c r="E98" s="21"/>
      <c r="I98"/>
    </row>
    <row r="99" spans="5:9" x14ac:dyDescent="0.25">
      <c r="E99" s="21"/>
      <c r="I99"/>
    </row>
    <row r="100" spans="5:9" x14ac:dyDescent="0.25">
      <c r="E100" s="21"/>
      <c r="I100"/>
    </row>
    <row r="101" spans="5:9" x14ac:dyDescent="0.25">
      <c r="E101" s="21"/>
      <c r="I101"/>
    </row>
    <row r="102" spans="5:9" x14ac:dyDescent="0.25">
      <c r="E102" s="21"/>
      <c r="I102"/>
    </row>
    <row r="103" spans="5:9" x14ac:dyDescent="0.25">
      <c r="E103" s="21"/>
      <c r="I103"/>
    </row>
    <row r="104" spans="5:9" x14ac:dyDescent="0.25">
      <c r="E104" s="21"/>
      <c r="I104"/>
    </row>
    <row r="105" spans="5:9" x14ac:dyDescent="0.25">
      <c r="E105" s="21"/>
      <c r="I105"/>
    </row>
    <row r="106" spans="5:9" x14ac:dyDescent="0.25">
      <c r="E106" s="21"/>
      <c r="I106"/>
    </row>
    <row r="107" spans="5:9" x14ac:dyDescent="0.25">
      <c r="E107" s="21"/>
      <c r="I107"/>
    </row>
    <row r="108" spans="5:9" x14ac:dyDescent="0.25">
      <c r="E108" s="21"/>
      <c r="I108"/>
    </row>
    <row r="109" spans="5:9" x14ac:dyDescent="0.25">
      <c r="E109" s="21"/>
      <c r="I109"/>
    </row>
    <row r="110" spans="5:9" x14ac:dyDescent="0.25">
      <c r="E110" s="21"/>
      <c r="I110"/>
    </row>
    <row r="111" spans="5:9" x14ac:dyDescent="0.25">
      <c r="E111" s="21"/>
      <c r="I111"/>
    </row>
    <row r="112" spans="5:9" x14ac:dyDescent="0.25">
      <c r="E112" s="21"/>
      <c r="I112"/>
    </row>
    <row r="113" spans="5:9" x14ac:dyDescent="0.25">
      <c r="E113" s="21"/>
      <c r="I113"/>
    </row>
    <row r="114" spans="5:9" x14ac:dyDescent="0.25">
      <c r="E114" s="21"/>
      <c r="I114"/>
    </row>
    <row r="115" spans="5:9" x14ac:dyDescent="0.25">
      <c r="E115" s="21"/>
      <c r="I115"/>
    </row>
    <row r="116" spans="5:9" x14ac:dyDescent="0.25">
      <c r="E116" s="21"/>
      <c r="I116"/>
    </row>
    <row r="117" spans="5:9" x14ac:dyDescent="0.25">
      <c r="E117" s="21"/>
      <c r="I117"/>
    </row>
    <row r="118" spans="5:9" x14ac:dyDescent="0.25">
      <c r="E118" s="21"/>
      <c r="I118"/>
    </row>
    <row r="119" spans="5:9" x14ac:dyDescent="0.25">
      <c r="E119" s="21"/>
      <c r="I119"/>
    </row>
    <row r="120" spans="5:9" x14ac:dyDescent="0.25">
      <c r="E120" s="21"/>
      <c r="I120"/>
    </row>
    <row r="121" spans="5:9" x14ac:dyDescent="0.25">
      <c r="E121" s="21"/>
      <c r="I121"/>
    </row>
    <row r="122" spans="5:9" x14ac:dyDescent="0.25">
      <c r="E122" s="21"/>
      <c r="I122"/>
    </row>
    <row r="123" spans="5:9" x14ac:dyDescent="0.25">
      <c r="E123" s="21"/>
      <c r="I123"/>
    </row>
    <row r="124" spans="5:9" x14ac:dyDescent="0.25">
      <c r="I124"/>
    </row>
    <row r="125" spans="5:9" x14ac:dyDescent="0.25">
      <c r="I125"/>
    </row>
    <row r="126" spans="5:9" x14ac:dyDescent="0.25">
      <c r="I126"/>
    </row>
    <row r="127" spans="5:9" x14ac:dyDescent="0.25">
      <c r="I127"/>
    </row>
    <row r="128" spans="5: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sheetData>
  <pageMargins left="0.7" right="0.7" top="0.75" bottom="0.75" header="0.3" footer="0.3"/>
  <pageSetup orientation="portrait" r:id="rId5"/>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83"/>
  <sheetViews>
    <sheetView zoomScale="90" zoomScaleNormal="90" workbookViewId="0">
      <pane xSplit="3" ySplit="2" topLeftCell="D72" activePane="bottomRight" state="frozen"/>
      <selection pane="topRight" activeCell="D1" sqref="D1"/>
      <selection pane="bottomLeft" activeCell="A3" sqref="A3"/>
      <selection pane="bottomRight" activeCell="K83" sqref="K83"/>
    </sheetView>
  </sheetViews>
  <sheetFormatPr defaultRowHeight="15" x14ac:dyDescent="0.25"/>
  <cols>
    <col min="1" max="2" width="9.140625" style="1"/>
    <col min="3" max="3" width="9.140625" style="3"/>
    <col min="4" max="4" width="11.42578125" style="1" customWidth="1"/>
    <col min="5" max="5" width="11.140625" style="1" customWidth="1"/>
    <col min="6" max="6" width="9.28515625" style="1" customWidth="1"/>
    <col min="7" max="7" width="9.140625" style="1"/>
    <col min="8" max="8" width="12.85546875" style="1" bestFit="1" customWidth="1"/>
    <col min="9" max="9" width="9.140625" style="1"/>
    <col min="10" max="10" width="12.7109375" style="1" customWidth="1"/>
    <col min="11" max="13" width="9.140625" style="5"/>
    <col min="14" max="14" width="9.140625" style="1"/>
    <col min="15" max="15" width="13" style="30" bestFit="1" customWidth="1"/>
    <col min="16" max="16384" width="9.140625" style="1"/>
  </cols>
  <sheetData>
    <row r="1" spans="1:18" x14ac:dyDescent="0.25">
      <c r="D1" s="337" t="s">
        <v>28</v>
      </c>
      <c r="E1" s="337"/>
      <c r="F1" s="337"/>
      <c r="G1" s="337"/>
      <c r="H1" s="337"/>
      <c r="I1" s="337"/>
      <c r="J1" s="337"/>
      <c r="K1" s="337"/>
      <c r="L1" s="337"/>
      <c r="M1" s="337"/>
      <c r="N1" s="6"/>
      <c r="O1" s="27"/>
      <c r="P1" s="6"/>
      <c r="Q1" s="6"/>
    </row>
    <row r="2" spans="1:18" s="2" customFormat="1" ht="45" x14ac:dyDescent="0.25">
      <c r="A2" s="1" t="s">
        <v>0</v>
      </c>
      <c r="B2" s="1" t="s">
        <v>1</v>
      </c>
      <c r="C2" s="3" t="s">
        <v>2</v>
      </c>
      <c r="D2" s="2" t="s">
        <v>45</v>
      </c>
      <c r="E2" s="2" t="s">
        <v>6</v>
      </c>
      <c r="F2" s="2" t="s">
        <v>7</v>
      </c>
      <c r="G2" s="2" t="s">
        <v>25</v>
      </c>
      <c r="H2" s="2" t="s">
        <v>8</v>
      </c>
      <c r="I2" s="2" t="s">
        <v>9</v>
      </c>
      <c r="J2" s="2" t="s">
        <v>10</v>
      </c>
      <c r="K2" s="4" t="s">
        <v>29</v>
      </c>
      <c r="L2" s="4" t="s">
        <v>26</v>
      </c>
      <c r="M2" s="2" t="s">
        <v>11</v>
      </c>
      <c r="N2" s="2" t="s">
        <v>52</v>
      </c>
      <c r="O2" s="28" t="s">
        <v>57</v>
      </c>
      <c r="Q2" s="2" t="s">
        <v>22</v>
      </c>
      <c r="R2" s="2" t="s">
        <v>23</v>
      </c>
    </row>
    <row r="3" spans="1:18" x14ac:dyDescent="0.25">
      <c r="A3" s="8" t="s">
        <v>4</v>
      </c>
      <c r="B3" s="8" t="s">
        <v>12</v>
      </c>
      <c r="C3" s="9">
        <v>38808</v>
      </c>
      <c r="D3" s="8" t="e">
        <f>#REF!+#REF!</f>
        <v>#REF!</v>
      </c>
      <c r="E3" s="8" t="e">
        <f>#REF!+#REF!</f>
        <v>#REF!</v>
      </c>
      <c r="F3" s="8" t="e">
        <f>#REF!+#REF!</f>
        <v>#REF!</v>
      </c>
      <c r="G3" s="8" t="e">
        <f>#REF!+#REF!</f>
        <v>#REF!</v>
      </c>
      <c r="H3" s="8" t="e">
        <f>#REF!+#REF!</f>
        <v>#REF!</v>
      </c>
      <c r="I3" s="8" t="e">
        <f>#REF!+#REF!</f>
        <v>#REF!</v>
      </c>
      <c r="J3" s="8" t="e">
        <f>#REF!+#REF!</f>
        <v>#REF!</v>
      </c>
      <c r="K3" s="23" t="e">
        <f>SUM(D3:J3)</f>
        <v>#REF!</v>
      </c>
      <c r="L3" s="23" t="e">
        <f>E3+F3</f>
        <v>#REF!</v>
      </c>
      <c r="M3" s="23" t="e">
        <f>D3+J3</f>
        <v>#REF!</v>
      </c>
      <c r="N3" s="24" t="e">
        <f>M3/K3</f>
        <v>#REF!</v>
      </c>
      <c r="O3" s="29"/>
      <c r="P3" s="24"/>
      <c r="Q3" s="8"/>
      <c r="R3" s="8"/>
    </row>
    <row r="4" spans="1:18" x14ac:dyDescent="0.25">
      <c r="A4" s="8" t="s">
        <v>4</v>
      </c>
      <c r="B4" s="8" t="s">
        <v>13</v>
      </c>
      <c r="C4" s="9">
        <v>38838</v>
      </c>
      <c r="D4" s="8" t="e">
        <f>#REF!+#REF!</f>
        <v>#REF!</v>
      </c>
      <c r="E4" s="8" t="e">
        <f>#REF!+#REF!</f>
        <v>#REF!</v>
      </c>
      <c r="F4" s="8" t="e">
        <f>#REF!+#REF!</f>
        <v>#REF!</v>
      </c>
      <c r="G4" s="8" t="e">
        <f>#REF!+#REF!</f>
        <v>#REF!</v>
      </c>
      <c r="H4" s="8" t="e">
        <f>#REF!+#REF!</f>
        <v>#REF!</v>
      </c>
      <c r="I4" s="8" t="e">
        <f>#REF!+#REF!</f>
        <v>#REF!</v>
      </c>
      <c r="J4" s="8" t="e">
        <f>#REF!+#REF!</f>
        <v>#REF!</v>
      </c>
      <c r="K4" s="23" t="e">
        <f t="shared" ref="K4:K67" si="0">SUM(D4:J4)</f>
        <v>#REF!</v>
      </c>
      <c r="L4" s="23" t="e">
        <f t="shared" ref="L4:L67" si="1">E4+F4</f>
        <v>#REF!</v>
      </c>
      <c r="M4" s="23" t="e">
        <f t="shared" ref="M4:M67" si="2">D4+J4</f>
        <v>#REF!</v>
      </c>
      <c r="N4" s="24" t="e">
        <f t="shared" ref="N4:N67" si="3">M4/K4</f>
        <v>#REF!</v>
      </c>
      <c r="O4" s="29"/>
      <c r="P4" s="24"/>
      <c r="Q4" s="8"/>
      <c r="R4" s="8"/>
    </row>
    <row r="5" spans="1:18" x14ac:dyDescent="0.25">
      <c r="A5" s="8" t="s">
        <v>4</v>
      </c>
      <c r="B5" s="8" t="s">
        <v>13</v>
      </c>
      <c r="C5" s="9">
        <v>38869</v>
      </c>
      <c r="D5" s="8" t="e">
        <f>#REF!+#REF!</f>
        <v>#REF!</v>
      </c>
      <c r="E5" s="8" t="e">
        <f>#REF!+#REF!</f>
        <v>#REF!</v>
      </c>
      <c r="F5" s="8" t="e">
        <f>#REF!+#REF!</f>
        <v>#REF!</v>
      </c>
      <c r="G5" s="8" t="e">
        <f>#REF!+#REF!</f>
        <v>#REF!</v>
      </c>
      <c r="H5" s="8" t="e">
        <f>#REF!+#REF!</f>
        <v>#REF!</v>
      </c>
      <c r="I5" s="8" t="e">
        <f>#REF!+#REF!</f>
        <v>#REF!</v>
      </c>
      <c r="J5" s="8" t="e">
        <f>#REF!+#REF!</f>
        <v>#REF!</v>
      </c>
      <c r="K5" s="23" t="e">
        <f t="shared" si="0"/>
        <v>#REF!</v>
      </c>
      <c r="L5" s="23" t="e">
        <f t="shared" si="1"/>
        <v>#REF!</v>
      </c>
      <c r="M5" s="23" t="e">
        <f t="shared" si="2"/>
        <v>#REF!</v>
      </c>
      <c r="N5" s="24" t="e">
        <f t="shared" si="3"/>
        <v>#REF!</v>
      </c>
      <c r="O5" s="29"/>
      <c r="P5" s="24"/>
      <c r="Q5" s="8"/>
      <c r="R5" s="8"/>
    </row>
    <row r="6" spans="1:18" x14ac:dyDescent="0.25">
      <c r="A6" s="8" t="s">
        <v>4</v>
      </c>
      <c r="B6" s="8" t="s">
        <v>13</v>
      </c>
      <c r="C6" s="9">
        <v>38899</v>
      </c>
      <c r="D6" s="8" t="e">
        <f>#REF!+#REF!</f>
        <v>#REF!</v>
      </c>
      <c r="E6" s="8" t="e">
        <f>#REF!+#REF!</f>
        <v>#REF!</v>
      </c>
      <c r="F6" s="8" t="e">
        <f>#REF!+#REF!</f>
        <v>#REF!</v>
      </c>
      <c r="G6" s="8" t="e">
        <f>#REF!+#REF!</f>
        <v>#REF!</v>
      </c>
      <c r="H6" s="8" t="e">
        <f>#REF!+#REF!</f>
        <v>#REF!</v>
      </c>
      <c r="I6" s="8" t="e">
        <f>#REF!+#REF!</f>
        <v>#REF!</v>
      </c>
      <c r="J6" s="8" t="e">
        <f>#REF!+#REF!</f>
        <v>#REF!</v>
      </c>
      <c r="K6" s="23" t="e">
        <f t="shared" si="0"/>
        <v>#REF!</v>
      </c>
      <c r="L6" s="23" t="e">
        <f t="shared" si="1"/>
        <v>#REF!</v>
      </c>
      <c r="M6" s="23" t="e">
        <f t="shared" si="2"/>
        <v>#REF!</v>
      </c>
      <c r="N6" s="24" t="e">
        <f t="shared" si="3"/>
        <v>#REF!</v>
      </c>
      <c r="O6" s="29"/>
      <c r="P6" s="24"/>
      <c r="Q6" s="8"/>
      <c r="R6" s="8"/>
    </row>
    <row r="7" spans="1:18" x14ac:dyDescent="0.25">
      <c r="A7" s="8" t="s">
        <v>4</v>
      </c>
      <c r="B7" s="8" t="s">
        <v>14</v>
      </c>
      <c r="C7" s="9">
        <v>38930</v>
      </c>
      <c r="D7" s="8" t="e">
        <f>#REF!+#REF!</f>
        <v>#REF!</v>
      </c>
      <c r="E7" s="8" t="e">
        <f>#REF!+#REF!</f>
        <v>#REF!</v>
      </c>
      <c r="F7" s="8" t="e">
        <f>#REF!+#REF!</f>
        <v>#REF!</v>
      </c>
      <c r="G7" s="8" t="e">
        <f>#REF!+#REF!</f>
        <v>#REF!</v>
      </c>
      <c r="H7" s="8" t="e">
        <f>#REF!+#REF!</f>
        <v>#REF!</v>
      </c>
      <c r="I7" s="8" t="e">
        <f>#REF!+#REF!</f>
        <v>#REF!</v>
      </c>
      <c r="J7" s="8" t="e">
        <f>#REF!+#REF!</f>
        <v>#REF!</v>
      </c>
      <c r="K7" s="23" t="e">
        <f t="shared" si="0"/>
        <v>#REF!</v>
      </c>
      <c r="L7" s="23" t="e">
        <f t="shared" si="1"/>
        <v>#REF!</v>
      </c>
      <c r="M7" s="23" t="e">
        <f t="shared" si="2"/>
        <v>#REF!</v>
      </c>
      <c r="N7" s="24" t="e">
        <f t="shared" si="3"/>
        <v>#REF!</v>
      </c>
      <c r="O7" s="29"/>
      <c r="P7" s="24"/>
      <c r="Q7" s="8"/>
      <c r="R7" s="8"/>
    </row>
    <row r="8" spans="1:18" x14ac:dyDescent="0.25">
      <c r="A8" s="8" t="s">
        <v>4</v>
      </c>
      <c r="B8" s="8" t="s">
        <v>14</v>
      </c>
      <c r="C8" s="9">
        <v>38961</v>
      </c>
      <c r="D8" s="8" t="e">
        <f>#REF!+#REF!</f>
        <v>#REF!</v>
      </c>
      <c r="E8" s="8" t="e">
        <f>#REF!+#REF!</f>
        <v>#REF!</v>
      </c>
      <c r="F8" s="8" t="e">
        <f>#REF!+#REF!</f>
        <v>#REF!</v>
      </c>
      <c r="G8" s="8" t="e">
        <f>#REF!+#REF!</f>
        <v>#REF!</v>
      </c>
      <c r="H8" s="8" t="e">
        <f>#REF!+#REF!</f>
        <v>#REF!</v>
      </c>
      <c r="I8" s="8" t="e">
        <f>#REF!+#REF!</f>
        <v>#REF!</v>
      </c>
      <c r="J8" s="8" t="e">
        <f>#REF!+#REF!</f>
        <v>#REF!</v>
      </c>
      <c r="K8" s="23" t="e">
        <f t="shared" si="0"/>
        <v>#REF!</v>
      </c>
      <c r="L8" s="23" t="e">
        <f t="shared" si="1"/>
        <v>#REF!</v>
      </c>
      <c r="M8" s="23" t="e">
        <f t="shared" si="2"/>
        <v>#REF!</v>
      </c>
      <c r="N8" s="24" t="e">
        <f t="shared" si="3"/>
        <v>#REF!</v>
      </c>
      <c r="O8" s="29"/>
      <c r="P8" s="24"/>
      <c r="Q8" s="8"/>
      <c r="R8" s="8"/>
    </row>
    <row r="9" spans="1:18" x14ac:dyDescent="0.25">
      <c r="A9" s="8" t="s">
        <v>4</v>
      </c>
      <c r="B9" s="8" t="s">
        <v>14</v>
      </c>
      <c r="C9" s="9">
        <v>38991</v>
      </c>
      <c r="D9" s="8" t="e">
        <f>#REF!+#REF!</f>
        <v>#REF!</v>
      </c>
      <c r="E9" s="8" t="e">
        <f>#REF!+#REF!</f>
        <v>#REF!</v>
      </c>
      <c r="F9" s="8" t="e">
        <f>#REF!+#REF!</f>
        <v>#REF!</v>
      </c>
      <c r="G9" s="8" t="e">
        <f>#REF!+#REF!</f>
        <v>#REF!</v>
      </c>
      <c r="H9" s="8" t="e">
        <f>#REF!+#REF!</f>
        <v>#REF!</v>
      </c>
      <c r="I9" s="8" t="e">
        <f>#REF!+#REF!</f>
        <v>#REF!</v>
      </c>
      <c r="J9" s="8" t="e">
        <f>#REF!+#REF!</f>
        <v>#REF!</v>
      </c>
      <c r="K9" s="23" t="e">
        <f t="shared" si="0"/>
        <v>#REF!</v>
      </c>
      <c r="L9" s="23" t="e">
        <f t="shared" si="1"/>
        <v>#REF!</v>
      </c>
      <c r="M9" s="23" t="e">
        <f t="shared" si="2"/>
        <v>#REF!</v>
      </c>
      <c r="N9" s="24" t="e">
        <f t="shared" si="3"/>
        <v>#REF!</v>
      </c>
      <c r="O9" s="29"/>
      <c r="P9" s="24"/>
      <c r="Q9" s="8"/>
      <c r="R9" s="8"/>
    </row>
    <row r="10" spans="1:18" x14ac:dyDescent="0.25">
      <c r="A10" s="8" t="s">
        <v>16</v>
      </c>
      <c r="B10" s="8" t="s">
        <v>15</v>
      </c>
      <c r="C10" s="9">
        <v>39022</v>
      </c>
      <c r="D10" s="8" t="e">
        <f>#REF!+#REF!</f>
        <v>#REF!</v>
      </c>
      <c r="E10" s="8" t="e">
        <f>#REF!+#REF!</f>
        <v>#REF!</v>
      </c>
      <c r="F10" s="8" t="e">
        <f>#REF!+#REF!</f>
        <v>#REF!</v>
      </c>
      <c r="G10" s="8" t="e">
        <f>#REF!+#REF!</f>
        <v>#REF!</v>
      </c>
      <c r="H10" s="8" t="e">
        <f>#REF!+#REF!</f>
        <v>#REF!</v>
      </c>
      <c r="I10" s="8" t="e">
        <f>#REF!+#REF!</f>
        <v>#REF!</v>
      </c>
      <c r="J10" s="8" t="e">
        <f>#REF!+#REF!</f>
        <v>#REF!</v>
      </c>
      <c r="K10" s="23" t="e">
        <f t="shared" si="0"/>
        <v>#REF!</v>
      </c>
      <c r="L10" s="23" t="e">
        <f t="shared" si="1"/>
        <v>#REF!</v>
      </c>
      <c r="M10" s="23" t="e">
        <f t="shared" si="2"/>
        <v>#REF!</v>
      </c>
      <c r="N10" s="24" t="e">
        <f t="shared" si="3"/>
        <v>#REF!</v>
      </c>
      <c r="O10" s="29"/>
      <c r="P10" s="24"/>
      <c r="Q10" s="8"/>
      <c r="R10" s="8"/>
    </row>
    <row r="11" spans="1:18" x14ac:dyDescent="0.25">
      <c r="A11" s="8" t="s">
        <v>16</v>
      </c>
      <c r="B11" s="8" t="s">
        <v>15</v>
      </c>
      <c r="C11" s="9">
        <v>39052</v>
      </c>
      <c r="D11" s="8" t="e">
        <f>#REF!+#REF!</f>
        <v>#REF!</v>
      </c>
      <c r="E11" s="8" t="e">
        <f>#REF!+#REF!</f>
        <v>#REF!</v>
      </c>
      <c r="F11" s="8" t="e">
        <f>#REF!+#REF!</f>
        <v>#REF!</v>
      </c>
      <c r="G11" s="8" t="e">
        <f>#REF!+#REF!</f>
        <v>#REF!</v>
      </c>
      <c r="H11" s="8" t="e">
        <f>#REF!+#REF!</f>
        <v>#REF!</v>
      </c>
      <c r="I11" s="8" t="e">
        <f>#REF!+#REF!</f>
        <v>#REF!</v>
      </c>
      <c r="J11" s="8" t="e">
        <f>#REF!+#REF!</f>
        <v>#REF!</v>
      </c>
      <c r="K11" s="23" t="e">
        <f t="shared" si="0"/>
        <v>#REF!</v>
      </c>
      <c r="L11" s="23" t="e">
        <f t="shared" si="1"/>
        <v>#REF!</v>
      </c>
      <c r="M11" s="23" t="e">
        <f t="shared" si="2"/>
        <v>#REF!</v>
      </c>
      <c r="N11" s="24" t="e">
        <f t="shared" si="3"/>
        <v>#REF!</v>
      </c>
      <c r="O11" s="29"/>
      <c r="P11" s="24"/>
      <c r="Q11" s="8"/>
      <c r="R11" s="8"/>
    </row>
    <row r="12" spans="1:18" x14ac:dyDescent="0.25">
      <c r="A12" s="8" t="s">
        <v>16</v>
      </c>
      <c r="B12" s="8" t="s">
        <v>15</v>
      </c>
      <c r="C12" s="9">
        <v>39083</v>
      </c>
      <c r="D12" s="8" t="e">
        <f>#REF!+#REF!</f>
        <v>#REF!</v>
      </c>
      <c r="E12" s="8" t="e">
        <f>#REF!+#REF!</f>
        <v>#REF!</v>
      </c>
      <c r="F12" s="8" t="e">
        <f>#REF!+#REF!</f>
        <v>#REF!</v>
      </c>
      <c r="G12" s="8" t="e">
        <f>#REF!+#REF!</f>
        <v>#REF!</v>
      </c>
      <c r="H12" s="8" t="e">
        <f>#REF!+#REF!</f>
        <v>#REF!</v>
      </c>
      <c r="I12" s="8" t="e">
        <f>#REF!+#REF!</f>
        <v>#REF!</v>
      </c>
      <c r="J12" s="8" t="e">
        <f>#REF!+#REF!</f>
        <v>#REF!</v>
      </c>
      <c r="K12" s="23" t="e">
        <f t="shared" si="0"/>
        <v>#REF!</v>
      </c>
      <c r="L12" s="23" t="e">
        <f t="shared" si="1"/>
        <v>#REF!</v>
      </c>
      <c r="M12" s="23" t="e">
        <f t="shared" si="2"/>
        <v>#REF!</v>
      </c>
      <c r="N12" s="24" t="e">
        <f t="shared" si="3"/>
        <v>#REF!</v>
      </c>
      <c r="O12" s="29"/>
      <c r="P12" s="24"/>
      <c r="Q12" s="8"/>
      <c r="R12" s="8"/>
    </row>
    <row r="13" spans="1:18" x14ac:dyDescent="0.25">
      <c r="A13" s="8" t="s">
        <v>16</v>
      </c>
      <c r="B13" s="8" t="s">
        <v>12</v>
      </c>
      <c r="C13" s="9">
        <v>39114</v>
      </c>
      <c r="D13" s="8" t="e">
        <f>#REF!+#REF!</f>
        <v>#REF!</v>
      </c>
      <c r="E13" s="8" t="e">
        <f>#REF!+#REF!</f>
        <v>#REF!</v>
      </c>
      <c r="F13" s="8" t="e">
        <f>#REF!+#REF!</f>
        <v>#REF!</v>
      </c>
      <c r="G13" s="8" t="e">
        <f>#REF!+#REF!</f>
        <v>#REF!</v>
      </c>
      <c r="H13" s="8" t="e">
        <f>#REF!+#REF!</f>
        <v>#REF!</v>
      </c>
      <c r="I13" s="8" t="e">
        <f>#REF!+#REF!</f>
        <v>#REF!</v>
      </c>
      <c r="J13" s="8" t="e">
        <f>#REF!+#REF!</f>
        <v>#REF!</v>
      </c>
      <c r="K13" s="23" t="e">
        <f t="shared" si="0"/>
        <v>#REF!</v>
      </c>
      <c r="L13" s="23" t="e">
        <f t="shared" si="1"/>
        <v>#REF!</v>
      </c>
      <c r="M13" s="23" t="e">
        <f t="shared" si="2"/>
        <v>#REF!</v>
      </c>
      <c r="N13" s="24" t="e">
        <f t="shared" si="3"/>
        <v>#REF!</v>
      </c>
      <c r="O13" s="29"/>
      <c r="P13" s="24"/>
      <c r="Q13" s="8"/>
      <c r="R13" s="8"/>
    </row>
    <row r="14" spans="1:18" x14ac:dyDescent="0.25">
      <c r="A14" s="8" t="s">
        <v>16</v>
      </c>
      <c r="B14" s="8" t="s">
        <v>12</v>
      </c>
      <c r="C14" s="9">
        <v>39142</v>
      </c>
      <c r="D14" s="8" t="e">
        <f>#REF!+#REF!</f>
        <v>#REF!</v>
      </c>
      <c r="E14" s="8" t="e">
        <f>#REF!+#REF!</f>
        <v>#REF!</v>
      </c>
      <c r="F14" s="8" t="e">
        <f>#REF!+#REF!</f>
        <v>#REF!</v>
      </c>
      <c r="G14" s="8" t="e">
        <f>#REF!+#REF!</f>
        <v>#REF!</v>
      </c>
      <c r="H14" s="8" t="e">
        <f>#REF!+#REF!</f>
        <v>#REF!</v>
      </c>
      <c r="I14" s="8" t="e">
        <f>#REF!+#REF!</f>
        <v>#REF!</v>
      </c>
      <c r="J14" s="8" t="e">
        <f>#REF!+#REF!</f>
        <v>#REF!</v>
      </c>
      <c r="K14" s="23" t="e">
        <f t="shared" si="0"/>
        <v>#REF!</v>
      </c>
      <c r="L14" s="23" t="e">
        <f t="shared" si="1"/>
        <v>#REF!</v>
      </c>
      <c r="M14" s="23" t="e">
        <f t="shared" si="2"/>
        <v>#REF!</v>
      </c>
      <c r="N14" s="24" t="e">
        <f t="shared" si="3"/>
        <v>#REF!</v>
      </c>
      <c r="O14" s="29"/>
      <c r="P14" s="24"/>
      <c r="Q14" s="8"/>
      <c r="R14" s="8"/>
    </row>
    <row r="15" spans="1:18" x14ac:dyDescent="0.25">
      <c r="A15" s="8" t="s">
        <v>16</v>
      </c>
      <c r="B15" s="8" t="s">
        <v>12</v>
      </c>
      <c r="C15" s="9">
        <v>39173</v>
      </c>
      <c r="D15" s="8" t="e">
        <f>#REF!+#REF!</f>
        <v>#REF!</v>
      </c>
      <c r="E15" s="8" t="e">
        <f>#REF!+#REF!</f>
        <v>#REF!</v>
      </c>
      <c r="F15" s="8" t="e">
        <f>#REF!+#REF!</f>
        <v>#REF!</v>
      </c>
      <c r="G15" s="8" t="e">
        <f>#REF!+#REF!</f>
        <v>#REF!</v>
      </c>
      <c r="H15" s="8" t="e">
        <f>#REF!+#REF!</f>
        <v>#REF!</v>
      </c>
      <c r="I15" s="8" t="e">
        <f>#REF!+#REF!</f>
        <v>#REF!</v>
      </c>
      <c r="J15" s="8" t="e">
        <f>#REF!+#REF!</f>
        <v>#REF!</v>
      </c>
      <c r="K15" s="23" t="e">
        <f t="shared" si="0"/>
        <v>#REF!</v>
      </c>
      <c r="L15" s="23" t="e">
        <f t="shared" si="1"/>
        <v>#REF!</v>
      </c>
      <c r="M15" s="23" t="e">
        <f t="shared" si="2"/>
        <v>#REF!</v>
      </c>
      <c r="N15" s="24" t="e">
        <f t="shared" si="3"/>
        <v>#REF!</v>
      </c>
      <c r="O15" s="29"/>
      <c r="P15" s="24"/>
      <c r="Q15" s="8"/>
      <c r="R15" s="8"/>
    </row>
    <row r="16" spans="1:18" x14ac:dyDescent="0.25">
      <c r="A16" s="8" t="s">
        <v>16</v>
      </c>
      <c r="B16" s="8" t="s">
        <v>13</v>
      </c>
      <c r="C16" s="9">
        <v>39203</v>
      </c>
      <c r="D16" s="8" t="e">
        <f>#REF!+#REF!</f>
        <v>#REF!</v>
      </c>
      <c r="E16" s="8" t="e">
        <f>#REF!+#REF!</f>
        <v>#REF!</v>
      </c>
      <c r="F16" s="8" t="e">
        <f>#REF!+#REF!</f>
        <v>#REF!</v>
      </c>
      <c r="G16" s="8" t="e">
        <f>#REF!+#REF!</f>
        <v>#REF!</v>
      </c>
      <c r="H16" s="8" t="e">
        <f>#REF!+#REF!</f>
        <v>#REF!</v>
      </c>
      <c r="I16" s="8" t="e">
        <f>#REF!+#REF!</f>
        <v>#REF!</v>
      </c>
      <c r="J16" s="8" t="e">
        <f>#REF!+#REF!</f>
        <v>#REF!</v>
      </c>
      <c r="K16" s="23" t="e">
        <f t="shared" si="0"/>
        <v>#REF!</v>
      </c>
      <c r="L16" s="23" t="e">
        <f t="shared" si="1"/>
        <v>#REF!</v>
      </c>
      <c r="M16" s="23" t="e">
        <f t="shared" si="2"/>
        <v>#REF!</v>
      </c>
      <c r="N16" s="24" t="e">
        <f t="shared" si="3"/>
        <v>#REF!</v>
      </c>
      <c r="O16" s="29"/>
      <c r="P16" s="24"/>
      <c r="Q16" s="8"/>
      <c r="R16" s="8"/>
    </row>
    <row r="17" spans="1:18" x14ac:dyDescent="0.25">
      <c r="A17" s="8" t="s">
        <v>16</v>
      </c>
      <c r="B17" s="8" t="s">
        <v>13</v>
      </c>
      <c r="C17" s="9">
        <v>39234</v>
      </c>
      <c r="D17" s="8" t="e">
        <f>#REF!+#REF!</f>
        <v>#REF!</v>
      </c>
      <c r="E17" s="8" t="e">
        <f>#REF!+#REF!</f>
        <v>#REF!</v>
      </c>
      <c r="F17" s="8" t="e">
        <f>#REF!+#REF!</f>
        <v>#REF!</v>
      </c>
      <c r="G17" s="8" t="e">
        <f>#REF!+#REF!</f>
        <v>#REF!</v>
      </c>
      <c r="H17" s="8" t="e">
        <f>#REF!+#REF!</f>
        <v>#REF!</v>
      </c>
      <c r="I17" s="8" t="e">
        <f>#REF!+#REF!</f>
        <v>#REF!</v>
      </c>
      <c r="J17" s="8" t="e">
        <f>#REF!+#REF!</f>
        <v>#REF!</v>
      </c>
      <c r="K17" s="23" t="e">
        <f t="shared" si="0"/>
        <v>#REF!</v>
      </c>
      <c r="L17" s="23" t="e">
        <f t="shared" si="1"/>
        <v>#REF!</v>
      </c>
      <c r="M17" s="23" t="e">
        <f t="shared" si="2"/>
        <v>#REF!</v>
      </c>
      <c r="N17" s="24" t="e">
        <f t="shared" si="3"/>
        <v>#REF!</v>
      </c>
      <c r="O17" s="29"/>
      <c r="P17" s="24"/>
      <c r="Q17" s="8"/>
      <c r="R17" s="8"/>
    </row>
    <row r="18" spans="1:18" x14ac:dyDescent="0.25">
      <c r="A18" s="8" t="s">
        <v>16</v>
      </c>
      <c r="B18" s="8" t="s">
        <v>13</v>
      </c>
      <c r="C18" s="9">
        <v>39264</v>
      </c>
      <c r="D18" s="8" t="e">
        <f>#REF!+#REF!</f>
        <v>#REF!</v>
      </c>
      <c r="E18" s="8" t="e">
        <f>#REF!+#REF!</f>
        <v>#REF!</v>
      </c>
      <c r="F18" s="8" t="e">
        <f>#REF!+#REF!</f>
        <v>#REF!</v>
      </c>
      <c r="G18" s="8" t="e">
        <f>#REF!+#REF!</f>
        <v>#REF!</v>
      </c>
      <c r="H18" s="8" t="e">
        <f>#REF!+#REF!</f>
        <v>#REF!</v>
      </c>
      <c r="I18" s="8" t="e">
        <f>#REF!+#REF!</f>
        <v>#REF!</v>
      </c>
      <c r="J18" s="8" t="e">
        <f>#REF!+#REF!</f>
        <v>#REF!</v>
      </c>
      <c r="K18" s="23" t="e">
        <f t="shared" si="0"/>
        <v>#REF!</v>
      </c>
      <c r="L18" s="23" t="e">
        <f t="shared" si="1"/>
        <v>#REF!</v>
      </c>
      <c r="M18" s="23" t="e">
        <f t="shared" si="2"/>
        <v>#REF!</v>
      </c>
      <c r="N18" s="24" t="e">
        <f t="shared" si="3"/>
        <v>#REF!</v>
      </c>
      <c r="O18" s="29"/>
      <c r="P18" s="24"/>
      <c r="Q18" s="8"/>
      <c r="R18" s="8"/>
    </row>
    <row r="19" spans="1:18" x14ac:dyDescent="0.25">
      <c r="A19" s="8" t="s">
        <v>16</v>
      </c>
      <c r="B19" s="8" t="s">
        <v>14</v>
      </c>
      <c r="C19" s="9">
        <v>39295</v>
      </c>
      <c r="D19" s="8" t="e">
        <f>#REF!+#REF!</f>
        <v>#REF!</v>
      </c>
      <c r="E19" s="8" t="e">
        <f>#REF!+#REF!</f>
        <v>#REF!</v>
      </c>
      <c r="F19" s="8" t="e">
        <f>#REF!+#REF!</f>
        <v>#REF!</v>
      </c>
      <c r="G19" s="8" t="e">
        <f>#REF!+#REF!</f>
        <v>#REF!</v>
      </c>
      <c r="H19" s="8" t="e">
        <f>#REF!+#REF!</f>
        <v>#REF!</v>
      </c>
      <c r="I19" s="8" t="e">
        <f>#REF!+#REF!</f>
        <v>#REF!</v>
      </c>
      <c r="J19" s="8" t="e">
        <f>#REF!+#REF!</f>
        <v>#REF!</v>
      </c>
      <c r="K19" s="23" t="e">
        <f t="shared" si="0"/>
        <v>#REF!</v>
      </c>
      <c r="L19" s="23" t="e">
        <f t="shared" si="1"/>
        <v>#REF!</v>
      </c>
      <c r="M19" s="23" t="e">
        <f t="shared" si="2"/>
        <v>#REF!</v>
      </c>
      <c r="N19" s="24" t="e">
        <f t="shared" si="3"/>
        <v>#REF!</v>
      </c>
      <c r="O19" s="29"/>
      <c r="P19" s="24"/>
      <c r="Q19" s="8"/>
      <c r="R19" s="8"/>
    </row>
    <row r="20" spans="1:18" x14ac:dyDescent="0.25">
      <c r="A20" s="8" t="s">
        <v>16</v>
      </c>
      <c r="B20" s="8" t="s">
        <v>14</v>
      </c>
      <c r="C20" s="9">
        <v>39326</v>
      </c>
      <c r="D20" s="8" t="e">
        <f>#REF!+#REF!</f>
        <v>#REF!</v>
      </c>
      <c r="E20" s="8" t="e">
        <f>#REF!+#REF!</f>
        <v>#REF!</v>
      </c>
      <c r="F20" s="8" t="e">
        <f>#REF!+#REF!</f>
        <v>#REF!</v>
      </c>
      <c r="G20" s="8" t="e">
        <f>#REF!+#REF!</f>
        <v>#REF!</v>
      </c>
      <c r="H20" s="8" t="e">
        <f>#REF!+#REF!</f>
        <v>#REF!</v>
      </c>
      <c r="I20" s="8" t="e">
        <f>#REF!+#REF!</f>
        <v>#REF!</v>
      </c>
      <c r="J20" s="8" t="e">
        <f>#REF!+#REF!</f>
        <v>#REF!</v>
      </c>
      <c r="K20" s="23" t="e">
        <f t="shared" si="0"/>
        <v>#REF!</v>
      </c>
      <c r="L20" s="23" t="e">
        <f t="shared" si="1"/>
        <v>#REF!</v>
      </c>
      <c r="M20" s="23" t="e">
        <f t="shared" si="2"/>
        <v>#REF!</v>
      </c>
      <c r="N20" s="24" t="e">
        <f t="shared" si="3"/>
        <v>#REF!</v>
      </c>
      <c r="O20" s="29"/>
      <c r="P20" s="24"/>
      <c r="Q20" s="8"/>
      <c r="R20" s="8"/>
    </row>
    <row r="21" spans="1:18" x14ac:dyDescent="0.25">
      <c r="A21" s="8" t="s">
        <v>16</v>
      </c>
      <c r="B21" s="8" t="s">
        <v>14</v>
      </c>
      <c r="C21" s="9">
        <v>39356</v>
      </c>
      <c r="D21" s="8" t="e">
        <f>#REF!+#REF!</f>
        <v>#REF!</v>
      </c>
      <c r="E21" s="8" t="e">
        <f>#REF!+#REF!</f>
        <v>#REF!</v>
      </c>
      <c r="F21" s="8" t="e">
        <f>#REF!+#REF!</f>
        <v>#REF!</v>
      </c>
      <c r="G21" s="8" t="e">
        <f>#REF!+#REF!</f>
        <v>#REF!</v>
      </c>
      <c r="H21" s="8" t="e">
        <f>#REF!+#REF!</f>
        <v>#REF!</v>
      </c>
      <c r="I21" s="8" t="e">
        <f>#REF!+#REF!</f>
        <v>#REF!</v>
      </c>
      <c r="J21" s="8" t="e">
        <f>#REF!+#REF!</f>
        <v>#REF!</v>
      </c>
      <c r="K21" s="23" t="e">
        <f t="shared" si="0"/>
        <v>#REF!</v>
      </c>
      <c r="L21" s="23" t="e">
        <f t="shared" si="1"/>
        <v>#REF!</v>
      </c>
      <c r="M21" s="23" t="e">
        <f t="shared" si="2"/>
        <v>#REF!</v>
      </c>
      <c r="N21" s="24" t="e">
        <f t="shared" si="3"/>
        <v>#REF!</v>
      </c>
      <c r="O21" s="29"/>
      <c r="P21" s="24"/>
      <c r="Q21" s="8"/>
      <c r="R21" s="8"/>
    </row>
    <row r="22" spans="1:18" x14ac:dyDescent="0.25">
      <c r="A22" s="8" t="s">
        <v>17</v>
      </c>
      <c r="B22" s="8" t="s">
        <v>15</v>
      </c>
      <c r="C22" s="9">
        <v>39387</v>
      </c>
      <c r="D22" s="8" t="e">
        <f>#REF!+#REF!</f>
        <v>#REF!</v>
      </c>
      <c r="E22" s="8" t="e">
        <f>#REF!+#REF!</f>
        <v>#REF!</v>
      </c>
      <c r="F22" s="8" t="e">
        <f>#REF!+#REF!</f>
        <v>#REF!</v>
      </c>
      <c r="G22" s="8" t="e">
        <f>#REF!+#REF!</f>
        <v>#REF!</v>
      </c>
      <c r="H22" s="8" t="e">
        <f>#REF!+#REF!</f>
        <v>#REF!</v>
      </c>
      <c r="I22" s="8" t="e">
        <f>#REF!+#REF!</f>
        <v>#REF!</v>
      </c>
      <c r="J22" s="8" t="e">
        <f>#REF!+#REF!</f>
        <v>#REF!</v>
      </c>
      <c r="K22" s="23" t="e">
        <f t="shared" si="0"/>
        <v>#REF!</v>
      </c>
      <c r="L22" s="23" t="e">
        <f t="shared" si="1"/>
        <v>#REF!</v>
      </c>
      <c r="M22" s="23" t="e">
        <f t="shared" si="2"/>
        <v>#REF!</v>
      </c>
      <c r="N22" s="24" t="e">
        <f t="shared" si="3"/>
        <v>#REF!</v>
      </c>
      <c r="O22" s="29"/>
      <c r="P22" s="24"/>
      <c r="Q22" s="8"/>
      <c r="R22" s="8"/>
    </row>
    <row r="23" spans="1:18" x14ac:dyDescent="0.25">
      <c r="A23" s="8" t="s">
        <v>17</v>
      </c>
      <c r="B23" s="8" t="s">
        <v>15</v>
      </c>
      <c r="C23" s="9">
        <v>39417</v>
      </c>
      <c r="D23" s="8" t="e">
        <f>#REF!+#REF!</f>
        <v>#REF!</v>
      </c>
      <c r="E23" s="8" t="e">
        <f>#REF!+#REF!</f>
        <v>#REF!</v>
      </c>
      <c r="F23" s="8" t="e">
        <f>#REF!+#REF!</f>
        <v>#REF!</v>
      </c>
      <c r="G23" s="8" t="e">
        <f>#REF!+#REF!</f>
        <v>#REF!</v>
      </c>
      <c r="H23" s="8" t="e">
        <f>#REF!+#REF!</f>
        <v>#REF!</v>
      </c>
      <c r="I23" s="8" t="e">
        <f>#REF!+#REF!</f>
        <v>#REF!</v>
      </c>
      <c r="J23" s="8" t="e">
        <f>#REF!+#REF!</f>
        <v>#REF!</v>
      </c>
      <c r="K23" s="23" t="e">
        <f t="shared" si="0"/>
        <v>#REF!</v>
      </c>
      <c r="L23" s="23" t="e">
        <f t="shared" si="1"/>
        <v>#REF!</v>
      </c>
      <c r="M23" s="23" t="e">
        <f t="shared" si="2"/>
        <v>#REF!</v>
      </c>
      <c r="N23" s="24" t="e">
        <f t="shared" si="3"/>
        <v>#REF!</v>
      </c>
      <c r="O23" s="29"/>
      <c r="P23" s="24"/>
      <c r="Q23" s="8"/>
      <c r="R23" s="8"/>
    </row>
    <row r="24" spans="1:18" x14ac:dyDescent="0.25">
      <c r="A24" s="8" t="s">
        <v>17</v>
      </c>
      <c r="B24" s="8" t="s">
        <v>15</v>
      </c>
      <c r="C24" s="9">
        <v>39448</v>
      </c>
      <c r="D24" s="8" t="e">
        <f>#REF!+#REF!</f>
        <v>#REF!</v>
      </c>
      <c r="E24" s="8" t="e">
        <f>#REF!+#REF!</f>
        <v>#REF!</v>
      </c>
      <c r="F24" s="8" t="e">
        <f>#REF!+#REF!</f>
        <v>#REF!</v>
      </c>
      <c r="G24" s="8" t="e">
        <f>#REF!+#REF!</f>
        <v>#REF!</v>
      </c>
      <c r="H24" s="8" t="e">
        <f>#REF!+#REF!</f>
        <v>#REF!</v>
      </c>
      <c r="I24" s="8" t="e">
        <f>#REF!+#REF!</f>
        <v>#REF!</v>
      </c>
      <c r="J24" s="8" t="e">
        <f>#REF!+#REF!</f>
        <v>#REF!</v>
      </c>
      <c r="K24" s="23" t="e">
        <f t="shared" si="0"/>
        <v>#REF!</v>
      </c>
      <c r="L24" s="23" t="e">
        <f t="shared" si="1"/>
        <v>#REF!</v>
      </c>
      <c r="M24" s="23" t="e">
        <f t="shared" si="2"/>
        <v>#REF!</v>
      </c>
      <c r="N24" s="24" t="e">
        <f t="shared" si="3"/>
        <v>#REF!</v>
      </c>
      <c r="O24" s="29"/>
      <c r="P24" s="24"/>
      <c r="Q24" s="8"/>
      <c r="R24" s="8"/>
    </row>
    <row r="25" spans="1:18" x14ac:dyDescent="0.25">
      <c r="A25" s="8" t="s">
        <v>17</v>
      </c>
      <c r="B25" s="8" t="s">
        <v>12</v>
      </c>
      <c r="C25" s="9">
        <v>39479</v>
      </c>
      <c r="D25" s="8" t="e">
        <f>#REF!+#REF!</f>
        <v>#REF!</v>
      </c>
      <c r="E25" s="8" t="e">
        <f>#REF!+#REF!</f>
        <v>#REF!</v>
      </c>
      <c r="F25" s="8" t="e">
        <f>#REF!+#REF!</f>
        <v>#REF!</v>
      </c>
      <c r="G25" s="8" t="e">
        <f>#REF!+#REF!</f>
        <v>#REF!</v>
      </c>
      <c r="H25" s="8" t="e">
        <f>#REF!+#REF!</f>
        <v>#REF!</v>
      </c>
      <c r="I25" s="8" t="e">
        <f>#REF!+#REF!</f>
        <v>#REF!</v>
      </c>
      <c r="J25" s="8" t="e">
        <f>#REF!+#REF!</f>
        <v>#REF!</v>
      </c>
      <c r="K25" s="23" t="e">
        <f t="shared" si="0"/>
        <v>#REF!</v>
      </c>
      <c r="L25" s="23" t="e">
        <f t="shared" si="1"/>
        <v>#REF!</v>
      </c>
      <c r="M25" s="23" t="e">
        <f t="shared" si="2"/>
        <v>#REF!</v>
      </c>
      <c r="N25" s="24" t="e">
        <f t="shared" si="3"/>
        <v>#REF!</v>
      </c>
      <c r="O25" s="29"/>
      <c r="P25" s="24"/>
      <c r="Q25" s="8"/>
      <c r="R25" s="8"/>
    </row>
    <row r="26" spans="1:18" x14ac:dyDescent="0.25">
      <c r="A26" s="8" t="s">
        <v>17</v>
      </c>
      <c r="B26" s="8" t="s">
        <v>12</v>
      </c>
      <c r="C26" s="9">
        <v>39508</v>
      </c>
      <c r="D26" s="8" t="e">
        <f>#REF!+#REF!</f>
        <v>#REF!</v>
      </c>
      <c r="E26" s="8" t="e">
        <f>#REF!+#REF!</f>
        <v>#REF!</v>
      </c>
      <c r="F26" s="8" t="e">
        <f>#REF!+#REF!</f>
        <v>#REF!</v>
      </c>
      <c r="G26" s="8" t="e">
        <f>#REF!+#REF!</f>
        <v>#REF!</v>
      </c>
      <c r="H26" s="8" t="e">
        <f>#REF!+#REF!</f>
        <v>#REF!</v>
      </c>
      <c r="I26" s="8" t="e">
        <f>#REF!+#REF!</f>
        <v>#REF!</v>
      </c>
      <c r="J26" s="8" t="e">
        <f>#REF!+#REF!</f>
        <v>#REF!</v>
      </c>
      <c r="K26" s="23" t="e">
        <f t="shared" si="0"/>
        <v>#REF!</v>
      </c>
      <c r="L26" s="23" t="e">
        <f t="shared" si="1"/>
        <v>#REF!</v>
      </c>
      <c r="M26" s="23" t="e">
        <f t="shared" si="2"/>
        <v>#REF!</v>
      </c>
      <c r="N26" s="24" t="e">
        <f t="shared" si="3"/>
        <v>#REF!</v>
      </c>
      <c r="O26" s="29"/>
      <c r="P26" s="24"/>
      <c r="Q26" s="8"/>
      <c r="R26" s="8"/>
    </row>
    <row r="27" spans="1:18" x14ac:dyDescent="0.25">
      <c r="A27" s="8" t="s">
        <v>17</v>
      </c>
      <c r="B27" s="8" t="s">
        <v>12</v>
      </c>
      <c r="C27" s="9">
        <v>39539</v>
      </c>
      <c r="D27" s="8" t="e">
        <f>#REF!+#REF!</f>
        <v>#REF!</v>
      </c>
      <c r="E27" s="8" t="e">
        <f>#REF!+#REF!</f>
        <v>#REF!</v>
      </c>
      <c r="F27" s="8" t="e">
        <f>#REF!+#REF!</f>
        <v>#REF!</v>
      </c>
      <c r="G27" s="8" t="e">
        <f>#REF!+#REF!</f>
        <v>#REF!</v>
      </c>
      <c r="H27" s="8" t="e">
        <f>#REF!+#REF!</f>
        <v>#REF!</v>
      </c>
      <c r="I27" s="8" t="e">
        <f>#REF!+#REF!</f>
        <v>#REF!</v>
      </c>
      <c r="J27" s="8" t="e">
        <f>#REF!+#REF!</f>
        <v>#REF!</v>
      </c>
      <c r="K27" s="23" t="e">
        <f t="shared" si="0"/>
        <v>#REF!</v>
      </c>
      <c r="L27" s="23" t="e">
        <f t="shared" si="1"/>
        <v>#REF!</v>
      </c>
      <c r="M27" s="23" t="e">
        <f t="shared" si="2"/>
        <v>#REF!</v>
      </c>
      <c r="N27" s="24" t="e">
        <f t="shared" si="3"/>
        <v>#REF!</v>
      </c>
      <c r="O27" s="29"/>
      <c r="P27" s="24"/>
      <c r="Q27" s="8"/>
      <c r="R27" s="8"/>
    </row>
    <row r="28" spans="1:18" x14ac:dyDescent="0.25">
      <c r="A28" s="8" t="s">
        <v>17</v>
      </c>
      <c r="B28" s="8" t="s">
        <v>13</v>
      </c>
      <c r="C28" s="9">
        <v>39569</v>
      </c>
      <c r="D28" s="8" t="e">
        <f>#REF!+#REF!</f>
        <v>#REF!</v>
      </c>
      <c r="E28" s="8" t="e">
        <f>#REF!+#REF!</f>
        <v>#REF!</v>
      </c>
      <c r="F28" s="8" t="e">
        <f>#REF!+#REF!</f>
        <v>#REF!</v>
      </c>
      <c r="G28" s="8" t="e">
        <f>#REF!+#REF!</f>
        <v>#REF!</v>
      </c>
      <c r="H28" s="8" t="e">
        <f>#REF!+#REF!</f>
        <v>#REF!</v>
      </c>
      <c r="I28" s="8" t="e">
        <f>#REF!+#REF!</f>
        <v>#REF!</v>
      </c>
      <c r="J28" s="8" t="e">
        <f>#REF!+#REF!</f>
        <v>#REF!</v>
      </c>
      <c r="K28" s="23" t="e">
        <f t="shared" si="0"/>
        <v>#REF!</v>
      </c>
      <c r="L28" s="23" t="e">
        <f t="shared" si="1"/>
        <v>#REF!</v>
      </c>
      <c r="M28" s="23" t="e">
        <f t="shared" si="2"/>
        <v>#REF!</v>
      </c>
      <c r="N28" s="24" t="e">
        <f t="shared" si="3"/>
        <v>#REF!</v>
      </c>
      <c r="O28" s="29"/>
      <c r="P28" s="24"/>
      <c r="Q28" s="8"/>
      <c r="R28" s="8"/>
    </row>
    <row r="29" spans="1:18" x14ac:dyDescent="0.25">
      <c r="A29" s="8" t="s">
        <v>17</v>
      </c>
      <c r="B29" s="8" t="s">
        <v>13</v>
      </c>
      <c r="C29" s="9">
        <v>39600</v>
      </c>
      <c r="D29" s="8" t="e">
        <f>#REF!+#REF!</f>
        <v>#REF!</v>
      </c>
      <c r="E29" s="8" t="e">
        <f>#REF!+#REF!</f>
        <v>#REF!</v>
      </c>
      <c r="F29" s="8" t="e">
        <f>#REF!+#REF!</f>
        <v>#REF!</v>
      </c>
      <c r="G29" s="8" t="e">
        <f>#REF!+#REF!</f>
        <v>#REF!</v>
      </c>
      <c r="H29" s="8" t="e">
        <f>#REF!+#REF!</f>
        <v>#REF!</v>
      </c>
      <c r="I29" s="8" t="e">
        <f>#REF!+#REF!</f>
        <v>#REF!</v>
      </c>
      <c r="J29" s="8" t="e">
        <f>#REF!+#REF!</f>
        <v>#REF!</v>
      </c>
      <c r="K29" s="23" t="e">
        <f t="shared" si="0"/>
        <v>#REF!</v>
      </c>
      <c r="L29" s="23" t="e">
        <f t="shared" si="1"/>
        <v>#REF!</v>
      </c>
      <c r="M29" s="23" t="e">
        <f t="shared" si="2"/>
        <v>#REF!</v>
      </c>
      <c r="N29" s="24" t="e">
        <f t="shared" si="3"/>
        <v>#REF!</v>
      </c>
      <c r="O29" s="29"/>
      <c r="P29" s="24"/>
      <c r="Q29" s="8"/>
      <c r="R29" s="8"/>
    </row>
    <row r="30" spans="1:18" x14ac:dyDescent="0.25">
      <c r="A30" s="8" t="s">
        <v>17</v>
      </c>
      <c r="B30" s="8" t="s">
        <v>13</v>
      </c>
      <c r="C30" s="9">
        <v>39630</v>
      </c>
      <c r="D30" s="8" t="e">
        <f>#REF!+#REF!</f>
        <v>#REF!</v>
      </c>
      <c r="E30" s="8" t="e">
        <f>#REF!+#REF!</f>
        <v>#REF!</v>
      </c>
      <c r="F30" s="8" t="e">
        <f>#REF!+#REF!</f>
        <v>#REF!</v>
      </c>
      <c r="G30" s="8" t="e">
        <f>#REF!+#REF!</f>
        <v>#REF!</v>
      </c>
      <c r="H30" s="8" t="e">
        <f>#REF!+#REF!</f>
        <v>#REF!</v>
      </c>
      <c r="I30" s="8" t="e">
        <f>#REF!+#REF!</f>
        <v>#REF!</v>
      </c>
      <c r="J30" s="8" t="e">
        <f>#REF!+#REF!</f>
        <v>#REF!</v>
      </c>
      <c r="K30" s="23" t="e">
        <f t="shared" si="0"/>
        <v>#REF!</v>
      </c>
      <c r="L30" s="23" t="e">
        <f t="shared" si="1"/>
        <v>#REF!</v>
      </c>
      <c r="M30" s="23" t="e">
        <f t="shared" si="2"/>
        <v>#REF!</v>
      </c>
      <c r="N30" s="24" t="e">
        <f t="shared" si="3"/>
        <v>#REF!</v>
      </c>
      <c r="O30" s="29"/>
      <c r="P30" s="24"/>
      <c r="Q30" s="8"/>
      <c r="R30" s="8"/>
    </row>
    <row r="31" spans="1:18" x14ac:dyDescent="0.25">
      <c r="A31" s="8" t="s">
        <v>17</v>
      </c>
      <c r="B31" s="8" t="s">
        <v>14</v>
      </c>
      <c r="C31" s="9">
        <v>39661</v>
      </c>
      <c r="D31" s="8" t="e">
        <f>#REF!+#REF!</f>
        <v>#REF!</v>
      </c>
      <c r="E31" s="8" t="e">
        <f>#REF!+#REF!</f>
        <v>#REF!</v>
      </c>
      <c r="F31" s="8" t="e">
        <f>#REF!+#REF!</f>
        <v>#REF!</v>
      </c>
      <c r="G31" s="8" t="e">
        <f>#REF!+#REF!</f>
        <v>#REF!</v>
      </c>
      <c r="H31" s="8" t="e">
        <f>#REF!+#REF!</f>
        <v>#REF!</v>
      </c>
      <c r="I31" s="8" t="e">
        <f>#REF!+#REF!</f>
        <v>#REF!</v>
      </c>
      <c r="J31" s="8" t="e">
        <f>#REF!+#REF!</f>
        <v>#REF!</v>
      </c>
      <c r="K31" s="23" t="e">
        <f t="shared" si="0"/>
        <v>#REF!</v>
      </c>
      <c r="L31" s="23" t="e">
        <f t="shared" si="1"/>
        <v>#REF!</v>
      </c>
      <c r="M31" s="23" t="e">
        <f t="shared" si="2"/>
        <v>#REF!</v>
      </c>
      <c r="N31" s="24" t="e">
        <f t="shared" si="3"/>
        <v>#REF!</v>
      </c>
      <c r="O31" s="29"/>
      <c r="P31" s="24"/>
      <c r="Q31" s="8"/>
      <c r="R31" s="8"/>
    </row>
    <row r="32" spans="1:18" x14ac:dyDescent="0.25">
      <c r="A32" s="8" t="s">
        <v>17</v>
      </c>
      <c r="B32" s="8" t="s">
        <v>14</v>
      </c>
      <c r="C32" s="9">
        <v>39692</v>
      </c>
      <c r="D32" s="8" t="e">
        <f>#REF!+#REF!</f>
        <v>#REF!</v>
      </c>
      <c r="E32" s="8" t="e">
        <f>#REF!+#REF!</f>
        <v>#REF!</v>
      </c>
      <c r="F32" s="8" t="e">
        <f>#REF!+#REF!</f>
        <v>#REF!</v>
      </c>
      <c r="G32" s="8" t="e">
        <f>#REF!+#REF!</f>
        <v>#REF!</v>
      </c>
      <c r="H32" s="8" t="e">
        <f>#REF!+#REF!</f>
        <v>#REF!</v>
      </c>
      <c r="I32" s="8" t="e">
        <f>#REF!+#REF!</f>
        <v>#REF!</v>
      </c>
      <c r="J32" s="8" t="e">
        <f>#REF!+#REF!</f>
        <v>#REF!</v>
      </c>
      <c r="K32" s="23" t="e">
        <f t="shared" si="0"/>
        <v>#REF!</v>
      </c>
      <c r="L32" s="23" t="e">
        <f t="shared" si="1"/>
        <v>#REF!</v>
      </c>
      <c r="M32" s="23" t="e">
        <f t="shared" si="2"/>
        <v>#REF!</v>
      </c>
      <c r="N32" s="24" t="e">
        <f t="shared" si="3"/>
        <v>#REF!</v>
      </c>
      <c r="O32" s="29"/>
      <c r="P32" s="24"/>
      <c r="Q32" s="8"/>
      <c r="R32" s="8"/>
    </row>
    <row r="33" spans="1:18" x14ac:dyDescent="0.25">
      <c r="A33" s="8" t="s">
        <v>17</v>
      </c>
      <c r="B33" s="8" t="s">
        <v>14</v>
      </c>
      <c r="C33" s="9">
        <v>39722</v>
      </c>
      <c r="D33" s="8" t="e">
        <f>#REF!+#REF!</f>
        <v>#REF!</v>
      </c>
      <c r="E33" s="8" t="e">
        <f>#REF!+#REF!</f>
        <v>#REF!</v>
      </c>
      <c r="F33" s="8" t="e">
        <f>#REF!+#REF!</f>
        <v>#REF!</v>
      </c>
      <c r="G33" s="8" t="e">
        <f>#REF!+#REF!</f>
        <v>#REF!</v>
      </c>
      <c r="H33" s="8" t="e">
        <f>#REF!+#REF!</f>
        <v>#REF!</v>
      </c>
      <c r="I33" s="8" t="e">
        <f>#REF!+#REF!</f>
        <v>#REF!</v>
      </c>
      <c r="J33" s="8" t="e">
        <f>#REF!+#REF!</f>
        <v>#REF!</v>
      </c>
      <c r="K33" s="23" t="e">
        <f t="shared" si="0"/>
        <v>#REF!</v>
      </c>
      <c r="L33" s="23" t="e">
        <f t="shared" si="1"/>
        <v>#REF!</v>
      </c>
      <c r="M33" s="23" t="e">
        <f t="shared" si="2"/>
        <v>#REF!</v>
      </c>
      <c r="N33" s="24" t="e">
        <f t="shared" si="3"/>
        <v>#REF!</v>
      </c>
      <c r="O33" s="29"/>
      <c r="P33" s="24"/>
      <c r="Q33" s="8"/>
      <c r="R33" s="8"/>
    </row>
    <row r="34" spans="1:18" x14ac:dyDescent="0.25">
      <c r="A34" s="8" t="s">
        <v>18</v>
      </c>
      <c r="B34" s="8" t="s">
        <v>15</v>
      </c>
      <c r="C34" s="9">
        <v>39753</v>
      </c>
      <c r="D34" s="8" t="e">
        <f>#REF!+#REF!</f>
        <v>#REF!</v>
      </c>
      <c r="E34" s="8" t="e">
        <f>#REF!+#REF!</f>
        <v>#REF!</v>
      </c>
      <c r="F34" s="8" t="e">
        <f>#REF!+#REF!</f>
        <v>#REF!</v>
      </c>
      <c r="G34" s="8" t="e">
        <f>#REF!+#REF!</f>
        <v>#REF!</v>
      </c>
      <c r="H34" s="8" t="e">
        <f>#REF!+#REF!</f>
        <v>#REF!</v>
      </c>
      <c r="I34" s="8" t="e">
        <f>#REF!+#REF!</f>
        <v>#REF!</v>
      </c>
      <c r="J34" s="8" t="e">
        <f>#REF!+#REF!</f>
        <v>#REF!</v>
      </c>
      <c r="K34" s="23" t="e">
        <f t="shared" si="0"/>
        <v>#REF!</v>
      </c>
      <c r="L34" s="23" t="e">
        <f t="shared" si="1"/>
        <v>#REF!</v>
      </c>
      <c r="M34" s="26" t="e">
        <f t="shared" si="2"/>
        <v>#REF!</v>
      </c>
      <c r="N34" s="24" t="e">
        <f t="shared" si="3"/>
        <v>#REF!</v>
      </c>
      <c r="O34" s="29"/>
      <c r="P34" s="24"/>
      <c r="Q34" s="8"/>
      <c r="R34" s="8"/>
    </row>
    <row r="35" spans="1:18" x14ac:dyDescent="0.25">
      <c r="A35" s="8" t="s">
        <v>18</v>
      </c>
      <c r="B35" s="8" t="s">
        <v>15</v>
      </c>
      <c r="C35" s="9">
        <v>39783</v>
      </c>
      <c r="D35" s="8" t="e">
        <f>#REF!+#REF!</f>
        <v>#REF!</v>
      </c>
      <c r="E35" s="8" t="e">
        <f>#REF!+#REF!</f>
        <v>#REF!</v>
      </c>
      <c r="F35" s="8" t="e">
        <f>#REF!+#REF!</f>
        <v>#REF!</v>
      </c>
      <c r="G35" s="8" t="e">
        <f>#REF!+#REF!</f>
        <v>#REF!</v>
      </c>
      <c r="H35" s="8" t="e">
        <f>#REF!+#REF!</f>
        <v>#REF!</v>
      </c>
      <c r="I35" s="8" t="e">
        <f>#REF!+#REF!</f>
        <v>#REF!</v>
      </c>
      <c r="J35" s="8" t="e">
        <f>#REF!+#REF!</f>
        <v>#REF!</v>
      </c>
      <c r="K35" s="23" t="e">
        <f t="shared" si="0"/>
        <v>#REF!</v>
      </c>
      <c r="L35" s="23" t="e">
        <f t="shared" si="1"/>
        <v>#REF!</v>
      </c>
      <c r="M35" s="26" t="e">
        <f t="shared" si="2"/>
        <v>#REF!</v>
      </c>
      <c r="N35" s="24" t="e">
        <f t="shared" si="3"/>
        <v>#REF!</v>
      </c>
      <c r="O35" s="29"/>
      <c r="P35" s="24"/>
      <c r="Q35" s="8"/>
      <c r="R35" s="8"/>
    </row>
    <row r="36" spans="1:18" x14ac:dyDescent="0.25">
      <c r="A36" s="8" t="s">
        <v>18</v>
      </c>
      <c r="B36" s="8" t="s">
        <v>15</v>
      </c>
      <c r="C36" s="9">
        <v>39814</v>
      </c>
      <c r="D36" s="8" t="e">
        <f>#REF!+#REF!</f>
        <v>#REF!</v>
      </c>
      <c r="E36" s="8" t="e">
        <f>#REF!+#REF!</f>
        <v>#REF!</v>
      </c>
      <c r="F36" s="8" t="e">
        <f>#REF!+#REF!</f>
        <v>#REF!</v>
      </c>
      <c r="G36" s="8" t="e">
        <f>#REF!+#REF!</f>
        <v>#REF!</v>
      </c>
      <c r="H36" s="8" t="e">
        <f>#REF!+#REF!</f>
        <v>#REF!</v>
      </c>
      <c r="I36" s="8" t="e">
        <f>#REF!+#REF!</f>
        <v>#REF!</v>
      </c>
      <c r="J36" s="8" t="e">
        <f>#REF!+#REF!</f>
        <v>#REF!</v>
      </c>
      <c r="K36" s="23" t="e">
        <f t="shared" si="0"/>
        <v>#REF!</v>
      </c>
      <c r="L36" s="23" t="e">
        <f t="shared" si="1"/>
        <v>#REF!</v>
      </c>
      <c r="M36" s="26" t="e">
        <f t="shared" si="2"/>
        <v>#REF!</v>
      </c>
      <c r="N36" s="24" t="e">
        <f t="shared" si="3"/>
        <v>#REF!</v>
      </c>
      <c r="O36" s="29"/>
      <c r="P36" s="24"/>
      <c r="Q36" s="8"/>
      <c r="R36" s="8"/>
    </row>
    <row r="37" spans="1:18" x14ac:dyDescent="0.25">
      <c r="A37" s="8" t="s">
        <v>18</v>
      </c>
      <c r="B37" s="8" t="s">
        <v>12</v>
      </c>
      <c r="C37" s="9">
        <v>39845</v>
      </c>
      <c r="D37" s="8" t="e">
        <f>#REF!+#REF!</f>
        <v>#REF!</v>
      </c>
      <c r="E37" s="8" t="e">
        <f>#REF!+#REF!</f>
        <v>#REF!</v>
      </c>
      <c r="F37" s="8" t="e">
        <f>#REF!+#REF!</f>
        <v>#REF!</v>
      </c>
      <c r="G37" s="8" t="e">
        <f>#REF!+#REF!</f>
        <v>#REF!</v>
      </c>
      <c r="H37" s="8" t="e">
        <f>#REF!+#REF!</f>
        <v>#REF!</v>
      </c>
      <c r="I37" s="8" t="e">
        <f>#REF!+#REF!</f>
        <v>#REF!</v>
      </c>
      <c r="J37" s="8" t="e">
        <f>#REF!+#REF!</f>
        <v>#REF!</v>
      </c>
      <c r="K37" s="23" t="e">
        <f t="shared" si="0"/>
        <v>#REF!</v>
      </c>
      <c r="L37" s="23" t="e">
        <f t="shared" si="1"/>
        <v>#REF!</v>
      </c>
      <c r="M37" s="26" t="e">
        <f t="shared" si="2"/>
        <v>#REF!</v>
      </c>
      <c r="N37" s="24" t="e">
        <f t="shared" si="3"/>
        <v>#REF!</v>
      </c>
      <c r="O37" s="29"/>
      <c r="P37" s="24"/>
      <c r="Q37" s="8"/>
      <c r="R37" s="8"/>
    </row>
    <row r="38" spans="1:18" x14ac:dyDescent="0.25">
      <c r="A38" s="8" t="s">
        <v>18</v>
      </c>
      <c r="B38" s="8" t="s">
        <v>12</v>
      </c>
      <c r="C38" s="9">
        <v>39873</v>
      </c>
      <c r="D38" s="8" t="e">
        <f>#REF!+#REF!</f>
        <v>#REF!</v>
      </c>
      <c r="E38" s="8" t="e">
        <f>#REF!+#REF!</f>
        <v>#REF!</v>
      </c>
      <c r="F38" s="8" t="e">
        <f>#REF!+#REF!</f>
        <v>#REF!</v>
      </c>
      <c r="G38" s="8" t="e">
        <f>#REF!+#REF!</f>
        <v>#REF!</v>
      </c>
      <c r="H38" s="8" t="e">
        <f>#REF!+#REF!</f>
        <v>#REF!</v>
      </c>
      <c r="I38" s="8" t="e">
        <f>#REF!+#REF!</f>
        <v>#REF!</v>
      </c>
      <c r="J38" s="8" t="e">
        <f>#REF!+#REF!</f>
        <v>#REF!</v>
      </c>
      <c r="K38" s="23" t="e">
        <f t="shared" si="0"/>
        <v>#REF!</v>
      </c>
      <c r="L38" s="23" t="e">
        <f t="shared" si="1"/>
        <v>#REF!</v>
      </c>
      <c r="M38" s="26" t="e">
        <f t="shared" si="2"/>
        <v>#REF!</v>
      </c>
      <c r="N38" s="24" t="e">
        <f t="shared" si="3"/>
        <v>#REF!</v>
      </c>
      <c r="O38" s="29"/>
      <c r="P38" s="24"/>
      <c r="Q38" s="8"/>
      <c r="R38" s="8"/>
    </row>
    <row r="39" spans="1:18" x14ac:dyDescent="0.25">
      <c r="A39" s="8" t="s">
        <v>18</v>
      </c>
      <c r="B39" s="8" t="s">
        <v>12</v>
      </c>
      <c r="C39" s="9">
        <v>39904</v>
      </c>
      <c r="D39" s="8" t="e">
        <f>#REF!+#REF!</f>
        <v>#REF!</v>
      </c>
      <c r="E39" s="8" t="e">
        <f>#REF!+#REF!</f>
        <v>#REF!</v>
      </c>
      <c r="F39" s="8" t="e">
        <f>#REF!+#REF!</f>
        <v>#REF!</v>
      </c>
      <c r="G39" s="8" t="e">
        <f>#REF!+#REF!</f>
        <v>#REF!</v>
      </c>
      <c r="H39" s="8" t="e">
        <f>#REF!+#REF!</f>
        <v>#REF!</v>
      </c>
      <c r="I39" s="8" t="e">
        <f>#REF!+#REF!</f>
        <v>#REF!</v>
      </c>
      <c r="J39" s="8" t="e">
        <f>#REF!+#REF!</f>
        <v>#REF!</v>
      </c>
      <c r="K39" s="23" t="e">
        <f t="shared" si="0"/>
        <v>#REF!</v>
      </c>
      <c r="L39" s="23" t="e">
        <f t="shared" si="1"/>
        <v>#REF!</v>
      </c>
      <c r="M39" s="26" t="e">
        <f t="shared" si="2"/>
        <v>#REF!</v>
      </c>
      <c r="N39" s="24" t="e">
        <f t="shared" si="3"/>
        <v>#REF!</v>
      </c>
      <c r="O39" s="29"/>
      <c r="P39" s="24"/>
      <c r="Q39" s="8"/>
      <c r="R39" s="8"/>
    </row>
    <row r="40" spans="1:18" x14ac:dyDescent="0.25">
      <c r="A40" s="8" t="s">
        <v>18</v>
      </c>
      <c r="B40" s="8" t="s">
        <v>13</v>
      </c>
      <c r="C40" s="9">
        <v>39934</v>
      </c>
      <c r="D40" s="8" t="e">
        <f>#REF!+#REF!</f>
        <v>#REF!</v>
      </c>
      <c r="E40" s="8" t="e">
        <f>#REF!+#REF!</f>
        <v>#REF!</v>
      </c>
      <c r="F40" s="8" t="e">
        <f>#REF!+#REF!</f>
        <v>#REF!</v>
      </c>
      <c r="G40" s="8" t="e">
        <f>#REF!+#REF!</f>
        <v>#REF!</v>
      </c>
      <c r="H40" s="8" t="e">
        <f>#REF!+#REF!</f>
        <v>#REF!</v>
      </c>
      <c r="I40" s="8" t="e">
        <f>#REF!+#REF!</f>
        <v>#REF!</v>
      </c>
      <c r="J40" s="8" t="e">
        <f>#REF!+#REF!</f>
        <v>#REF!</v>
      </c>
      <c r="K40" s="23" t="e">
        <f t="shared" si="0"/>
        <v>#REF!</v>
      </c>
      <c r="L40" s="23" t="e">
        <f t="shared" si="1"/>
        <v>#REF!</v>
      </c>
      <c r="M40" s="26" t="e">
        <f t="shared" si="2"/>
        <v>#REF!</v>
      </c>
      <c r="N40" s="24" t="e">
        <f t="shared" si="3"/>
        <v>#REF!</v>
      </c>
      <c r="O40" s="29"/>
      <c r="P40" s="24"/>
      <c r="Q40" s="8"/>
      <c r="R40" s="8"/>
    </row>
    <row r="41" spans="1:18" x14ac:dyDescent="0.25">
      <c r="A41" s="8" t="s">
        <v>18</v>
      </c>
      <c r="B41" s="8" t="s">
        <v>13</v>
      </c>
      <c r="C41" s="9">
        <v>39965</v>
      </c>
      <c r="D41" s="8" t="e">
        <f>#REF!+#REF!</f>
        <v>#REF!</v>
      </c>
      <c r="E41" s="8" t="e">
        <f>#REF!+#REF!</f>
        <v>#REF!</v>
      </c>
      <c r="F41" s="8" t="e">
        <f>#REF!+#REF!</f>
        <v>#REF!</v>
      </c>
      <c r="G41" s="8" t="e">
        <f>#REF!+#REF!</f>
        <v>#REF!</v>
      </c>
      <c r="H41" s="8" t="e">
        <f>#REF!+#REF!</f>
        <v>#REF!</v>
      </c>
      <c r="I41" s="8" t="e">
        <f>#REF!+#REF!</f>
        <v>#REF!</v>
      </c>
      <c r="J41" s="8" t="e">
        <f>#REF!+#REF!</f>
        <v>#REF!</v>
      </c>
      <c r="K41" s="23" t="e">
        <f t="shared" si="0"/>
        <v>#REF!</v>
      </c>
      <c r="L41" s="23" t="e">
        <f t="shared" si="1"/>
        <v>#REF!</v>
      </c>
      <c r="M41" s="26" t="e">
        <f t="shared" si="2"/>
        <v>#REF!</v>
      </c>
      <c r="N41" s="24" t="e">
        <f t="shared" si="3"/>
        <v>#REF!</v>
      </c>
      <c r="O41" s="29"/>
      <c r="P41" s="24"/>
      <c r="Q41" s="8"/>
      <c r="R41" s="8"/>
    </row>
    <row r="42" spans="1:18" x14ac:dyDescent="0.25">
      <c r="A42" s="8" t="s">
        <v>18</v>
      </c>
      <c r="B42" s="8" t="s">
        <v>13</v>
      </c>
      <c r="C42" s="9">
        <v>39995</v>
      </c>
      <c r="D42" s="8" t="e">
        <f>#REF!+#REF!</f>
        <v>#REF!</v>
      </c>
      <c r="E42" s="8" t="e">
        <f>#REF!+#REF!</f>
        <v>#REF!</v>
      </c>
      <c r="F42" s="8" t="e">
        <f>#REF!+#REF!</f>
        <v>#REF!</v>
      </c>
      <c r="G42" s="8" t="e">
        <f>#REF!+#REF!</f>
        <v>#REF!</v>
      </c>
      <c r="H42" s="8" t="e">
        <f>#REF!+#REF!</f>
        <v>#REF!</v>
      </c>
      <c r="I42" s="8" t="e">
        <f>#REF!+#REF!</f>
        <v>#REF!</v>
      </c>
      <c r="J42" s="8" t="e">
        <f>#REF!+#REF!</f>
        <v>#REF!</v>
      </c>
      <c r="K42" s="23" t="e">
        <f t="shared" si="0"/>
        <v>#REF!</v>
      </c>
      <c r="L42" s="23" t="e">
        <f t="shared" si="1"/>
        <v>#REF!</v>
      </c>
      <c r="M42" s="26" t="e">
        <f t="shared" si="2"/>
        <v>#REF!</v>
      </c>
      <c r="N42" s="24" t="e">
        <f t="shared" si="3"/>
        <v>#REF!</v>
      </c>
      <c r="O42" s="29"/>
      <c r="P42" s="24"/>
      <c r="Q42" s="8"/>
      <c r="R42" s="8"/>
    </row>
    <row r="43" spans="1:18" x14ac:dyDescent="0.25">
      <c r="A43" s="8" t="s">
        <v>18</v>
      </c>
      <c r="B43" s="8" t="s">
        <v>14</v>
      </c>
      <c r="C43" s="9">
        <v>40026</v>
      </c>
      <c r="D43" s="8" t="e">
        <f>#REF!+#REF!</f>
        <v>#REF!</v>
      </c>
      <c r="E43" s="8" t="e">
        <f>#REF!+#REF!</f>
        <v>#REF!</v>
      </c>
      <c r="F43" s="8" t="e">
        <f>#REF!+#REF!</f>
        <v>#REF!</v>
      </c>
      <c r="G43" s="8" t="e">
        <f>#REF!+#REF!</f>
        <v>#REF!</v>
      </c>
      <c r="H43" s="8" t="e">
        <f>#REF!+#REF!</f>
        <v>#REF!</v>
      </c>
      <c r="I43" s="8" t="e">
        <f>#REF!+#REF!</f>
        <v>#REF!</v>
      </c>
      <c r="J43" s="8" t="e">
        <f>#REF!+#REF!</f>
        <v>#REF!</v>
      </c>
      <c r="K43" s="23" t="e">
        <f t="shared" si="0"/>
        <v>#REF!</v>
      </c>
      <c r="L43" s="23" t="e">
        <f t="shared" si="1"/>
        <v>#REF!</v>
      </c>
      <c r="M43" s="26" t="e">
        <f t="shared" si="2"/>
        <v>#REF!</v>
      </c>
      <c r="N43" s="24" t="e">
        <f t="shared" si="3"/>
        <v>#REF!</v>
      </c>
      <c r="O43" s="29"/>
      <c r="P43" s="24"/>
      <c r="Q43" s="8"/>
      <c r="R43" s="8"/>
    </row>
    <row r="44" spans="1:18" x14ac:dyDescent="0.25">
      <c r="A44" s="8" t="s">
        <v>18</v>
      </c>
      <c r="B44" s="8" t="s">
        <v>14</v>
      </c>
      <c r="C44" s="9">
        <v>40057</v>
      </c>
      <c r="D44" s="8" t="e">
        <f>#REF!+#REF!</f>
        <v>#REF!</v>
      </c>
      <c r="E44" s="8" t="e">
        <f>#REF!+#REF!</f>
        <v>#REF!</v>
      </c>
      <c r="F44" s="8" t="e">
        <f>#REF!+#REF!</f>
        <v>#REF!</v>
      </c>
      <c r="G44" s="8" t="e">
        <f>#REF!+#REF!</f>
        <v>#REF!</v>
      </c>
      <c r="H44" s="8" t="e">
        <f>#REF!+#REF!</f>
        <v>#REF!</v>
      </c>
      <c r="I44" s="8" t="e">
        <f>#REF!+#REF!</f>
        <v>#REF!</v>
      </c>
      <c r="J44" s="8" t="e">
        <f>#REF!+#REF!</f>
        <v>#REF!</v>
      </c>
      <c r="K44" s="23" t="e">
        <f t="shared" si="0"/>
        <v>#REF!</v>
      </c>
      <c r="L44" s="23" t="e">
        <f t="shared" si="1"/>
        <v>#REF!</v>
      </c>
      <c r="M44" s="26" t="e">
        <f t="shared" si="2"/>
        <v>#REF!</v>
      </c>
      <c r="N44" s="24" t="e">
        <f t="shared" si="3"/>
        <v>#REF!</v>
      </c>
      <c r="O44" s="29"/>
      <c r="P44" s="24"/>
      <c r="Q44" s="8"/>
      <c r="R44" s="8"/>
    </row>
    <row r="45" spans="1:18" x14ac:dyDescent="0.25">
      <c r="A45" s="8" t="s">
        <v>18</v>
      </c>
      <c r="B45" s="8" t="s">
        <v>14</v>
      </c>
      <c r="C45" s="9">
        <v>40087</v>
      </c>
      <c r="D45" s="8" t="e">
        <f>#REF!+#REF!</f>
        <v>#REF!</v>
      </c>
      <c r="E45" s="8" t="e">
        <f>#REF!+#REF!</f>
        <v>#REF!</v>
      </c>
      <c r="F45" s="8" t="e">
        <f>#REF!+#REF!</f>
        <v>#REF!</v>
      </c>
      <c r="G45" s="8" t="e">
        <f>#REF!+#REF!</f>
        <v>#REF!</v>
      </c>
      <c r="H45" s="8" t="e">
        <f>#REF!+#REF!</f>
        <v>#REF!</v>
      </c>
      <c r="I45" s="8" t="e">
        <f>#REF!+#REF!</f>
        <v>#REF!</v>
      </c>
      <c r="J45" s="8" t="e">
        <f>#REF!+#REF!</f>
        <v>#REF!</v>
      </c>
      <c r="K45" s="23" t="e">
        <f t="shared" si="0"/>
        <v>#REF!</v>
      </c>
      <c r="L45" s="23" t="e">
        <f t="shared" si="1"/>
        <v>#REF!</v>
      </c>
      <c r="M45" s="26" t="e">
        <f t="shared" si="2"/>
        <v>#REF!</v>
      </c>
      <c r="N45" s="24" t="e">
        <f t="shared" si="3"/>
        <v>#REF!</v>
      </c>
      <c r="O45" s="29" t="e">
        <f>AVERAGE(M34:M45)</f>
        <v>#REF!</v>
      </c>
      <c r="P45" s="24"/>
      <c r="Q45" s="8"/>
      <c r="R45" s="8"/>
    </row>
    <row r="46" spans="1:18" x14ac:dyDescent="0.25">
      <c r="A46" s="8" t="s">
        <v>19</v>
      </c>
      <c r="B46" s="8" t="s">
        <v>15</v>
      </c>
      <c r="C46" s="9">
        <v>40118</v>
      </c>
      <c r="D46" s="8" t="e">
        <f>#REF!+#REF!</f>
        <v>#REF!</v>
      </c>
      <c r="E46" s="8" t="e">
        <f>#REF!+#REF!</f>
        <v>#REF!</v>
      </c>
      <c r="F46" s="8" t="e">
        <f>#REF!+#REF!</f>
        <v>#REF!</v>
      </c>
      <c r="G46" s="8" t="e">
        <f>#REF!+#REF!</f>
        <v>#REF!</v>
      </c>
      <c r="H46" s="8" t="e">
        <f>#REF!+#REF!</f>
        <v>#REF!</v>
      </c>
      <c r="I46" s="8" t="e">
        <f>#REF!+#REF!</f>
        <v>#REF!</v>
      </c>
      <c r="J46" s="8" t="e">
        <f>#REF!+#REF!</f>
        <v>#REF!</v>
      </c>
      <c r="K46" s="23" t="e">
        <f t="shared" si="0"/>
        <v>#REF!</v>
      </c>
      <c r="L46" s="23" t="e">
        <f t="shared" si="1"/>
        <v>#REF!</v>
      </c>
      <c r="M46" s="23" t="e">
        <f t="shared" si="2"/>
        <v>#REF!</v>
      </c>
      <c r="N46" s="24" t="e">
        <f t="shared" si="3"/>
        <v>#REF!</v>
      </c>
      <c r="O46" s="29" t="e">
        <f>AVERAGE(M35:M46)</f>
        <v>#REF!</v>
      </c>
      <c r="P46" s="24"/>
      <c r="Q46" s="8"/>
      <c r="R46" s="8"/>
    </row>
    <row r="47" spans="1:18" x14ac:dyDescent="0.25">
      <c r="A47" s="8" t="s">
        <v>19</v>
      </c>
      <c r="B47" s="8" t="s">
        <v>15</v>
      </c>
      <c r="C47" s="9">
        <v>40148</v>
      </c>
      <c r="D47" s="8" t="e">
        <f>#REF!+#REF!</f>
        <v>#REF!</v>
      </c>
      <c r="E47" s="8" t="e">
        <f>#REF!+#REF!</f>
        <v>#REF!</v>
      </c>
      <c r="F47" s="8" t="e">
        <f>#REF!+#REF!</f>
        <v>#REF!</v>
      </c>
      <c r="G47" s="8" t="e">
        <f>#REF!+#REF!</f>
        <v>#REF!</v>
      </c>
      <c r="H47" s="8" t="e">
        <f>#REF!+#REF!</f>
        <v>#REF!</v>
      </c>
      <c r="I47" s="8" t="e">
        <f>#REF!+#REF!</f>
        <v>#REF!</v>
      </c>
      <c r="J47" s="8" t="e">
        <f>#REF!+#REF!</f>
        <v>#REF!</v>
      </c>
      <c r="K47" s="23" t="e">
        <f t="shared" si="0"/>
        <v>#REF!</v>
      </c>
      <c r="L47" s="23" t="e">
        <f t="shared" si="1"/>
        <v>#REF!</v>
      </c>
      <c r="M47" s="23" t="e">
        <f t="shared" si="2"/>
        <v>#REF!</v>
      </c>
      <c r="N47" s="24" t="e">
        <f t="shared" si="3"/>
        <v>#REF!</v>
      </c>
      <c r="O47" s="29" t="e">
        <f t="shared" ref="O47:O83" si="4">AVERAGE(M36:M47)</f>
        <v>#REF!</v>
      </c>
      <c r="P47" s="24"/>
      <c r="Q47" s="8"/>
      <c r="R47" s="8"/>
    </row>
    <row r="48" spans="1:18" x14ac:dyDescent="0.25">
      <c r="A48" s="8" t="s">
        <v>19</v>
      </c>
      <c r="B48" s="8" t="s">
        <v>15</v>
      </c>
      <c r="C48" s="9">
        <v>40179</v>
      </c>
      <c r="D48" s="8" t="e">
        <f>#REF!+#REF!</f>
        <v>#REF!</v>
      </c>
      <c r="E48" s="8" t="e">
        <f>#REF!+#REF!</f>
        <v>#REF!</v>
      </c>
      <c r="F48" s="8" t="e">
        <f>#REF!+#REF!</f>
        <v>#REF!</v>
      </c>
      <c r="G48" s="8" t="e">
        <f>#REF!+#REF!</f>
        <v>#REF!</v>
      </c>
      <c r="H48" s="8" t="e">
        <f>#REF!+#REF!</f>
        <v>#REF!</v>
      </c>
      <c r="I48" s="8" t="e">
        <f>#REF!+#REF!</f>
        <v>#REF!</v>
      </c>
      <c r="J48" s="8" t="e">
        <f>#REF!+#REF!</f>
        <v>#REF!</v>
      </c>
      <c r="K48" s="23" t="e">
        <f t="shared" si="0"/>
        <v>#REF!</v>
      </c>
      <c r="L48" s="23" t="e">
        <f t="shared" si="1"/>
        <v>#REF!</v>
      </c>
      <c r="M48" s="23" t="e">
        <f t="shared" si="2"/>
        <v>#REF!</v>
      </c>
      <c r="N48" s="24" t="e">
        <f t="shared" si="3"/>
        <v>#REF!</v>
      </c>
      <c r="O48" s="29" t="e">
        <f t="shared" si="4"/>
        <v>#REF!</v>
      </c>
      <c r="P48" s="24"/>
      <c r="Q48" s="8"/>
      <c r="R48" s="8"/>
    </row>
    <row r="49" spans="1:18" x14ac:dyDescent="0.25">
      <c r="A49" s="8" t="s">
        <v>19</v>
      </c>
      <c r="B49" s="8" t="s">
        <v>12</v>
      </c>
      <c r="C49" s="9">
        <v>40210</v>
      </c>
      <c r="D49" s="8" t="e">
        <f>#REF!+#REF!</f>
        <v>#REF!</v>
      </c>
      <c r="E49" s="8" t="e">
        <f>#REF!+#REF!</f>
        <v>#REF!</v>
      </c>
      <c r="F49" s="8" t="e">
        <f>#REF!+#REF!</f>
        <v>#REF!</v>
      </c>
      <c r="G49" s="8" t="e">
        <f>#REF!+#REF!</f>
        <v>#REF!</v>
      </c>
      <c r="H49" s="8" t="e">
        <f>#REF!+#REF!</f>
        <v>#REF!</v>
      </c>
      <c r="I49" s="8" t="e">
        <f>#REF!+#REF!</f>
        <v>#REF!</v>
      </c>
      <c r="J49" s="8" t="e">
        <f>#REF!+#REF!</f>
        <v>#REF!</v>
      </c>
      <c r="K49" s="23" t="e">
        <f t="shared" si="0"/>
        <v>#REF!</v>
      </c>
      <c r="L49" s="23" t="e">
        <f t="shared" si="1"/>
        <v>#REF!</v>
      </c>
      <c r="M49" s="23" t="e">
        <f t="shared" si="2"/>
        <v>#REF!</v>
      </c>
      <c r="N49" s="24" t="e">
        <f t="shared" si="3"/>
        <v>#REF!</v>
      </c>
      <c r="O49" s="29" t="e">
        <f t="shared" si="4"/>
        <v>#REF!</v>
      </c>
      <c r="P49" s="24"/>
      <c r="Q49" s="8"/>
      <c r="R49" s="8"/>
    </row>
    <row r="50" spans="1:18" x14ac:dyDescent="0.25">
      <c r="A50" s="8" t="s">
        <v>19</v>
      </c>
      <c r="B50" s="8" t="s">
        <v>12</v>
      </c>
      <c r="C50" s="9">
        <v>40238</v>
      </c>
      <c r="D50" s="8" t="e">
        <f>#REF!+#REF!</f>
        <v>#REF!</v>
      </c>
      <c r="E50" s="8" t="e">
        <f>#REF!+#REF!</f>
        <v>#REF!</v>
      </c>
      <c r="F50" s="8" t="e">
        <f>#REF!+#REF!</f>
        <v>#REF!</v>
      </c>
      <c r="G50" s="8" t="e">
        <f>#REF!+#REF!</f>
        <v>#REF!</v>
      </c>
      <c r="H50" s="8" t="e">
        <f>#REF!+#REF!</f>
        <v>#REF!</v>
      </c>
      <c r="I50" s="8" t="e">
        <f>#REF!+#REF!</f>
        <v>#REF!</v>
      </c>
      <c r="J50" s="8" t="e">
        <f>#REF!+#REF!</f>
        <v>#REF!</v>
      </c>
      <c r="K50" s="23" t="e">
        <f t="shared" si="0"/>
        <v>#REF!</v>
      </c>
      <c r="L50" s="23" t="e">
        <f t="shared" si="1"/>
        <v>#REF!</v>
      </c>
      <c r="M50" s="23" t="e">
        <f t="shared" si="2"/>
        <v>#REF!</v>
      </c>
      <c r="N50" s="24" t="e">
        <f t="shared" si="3"/>
        <v>#REF!</v>
      </c>
      <c r="O50" s="29" t="e">
        <f t="shared" si="4"/>
        <v>#REF!</v>
      </c>
      <c r="P50" s="24"/>
      <c r="Q50" s="8"/>
      <c r="R50" s="8"/>
    </row>
    <row r="51" spans="1:18" x14ac:dyDescent="0.25">
      <c r="A51" s="8" t="s">
        <v>19</v>
      </c>
      <c r="B51" s="8" t="s">
        <v>12</v>
      </c>
      <c r="C51" s="9">
        <v>40269</v>
      </c>
      <c r="D51" s="8" t="e">
        <f>#REF!+#REF!</f>
        <v>#REF!</v>
      </c>
      <c r="E51" s="8" t="e">
        <f>#REF!+#REF!</f>
        <v>#REF!</v>
      </c>
      <c r="F51" s="8" t="e">
        <f>#REF!+#REF!</f>
        <v>#REF!</v>
      </c>
      <c r="G51" s="8" t="e">
        <f>#REF!+#REF!</f>
        <v>#REF!</v>
      </c>
      <c r="H51" s="8" t="e">
        <f>#REF!+#REF!</f>
        <v>#REF!</v>
      </c>
      <c r="I51" s="8" t="e">
        <f>#REF!+#REF!</f>
        <v>#REF!</v>
      </c>
      <c r="J51" s="8" t="e">
        <f>#REF!+#REF!</f>
        <v>#REF!</v>
      </c>
      <c r="K51" s="23" t="e">
        <f t="shared" si="0"/>
        <v>#REF!</v>
      </c>
      <c r="L51" s="23" t="e">
        <f t="shared" si="1"/>
        <v>#REF!</v>
      </c>
      <c r="M51" s="23" t="e">
        <f t="shared" si="2"/>
        <v>#REF!</v>
      </c>
      <c r="N51" s="24" t="e">
        <f t="shared" si="3"/>
        <v>#REF!</v>
      </c>
      <c r="O51" s="29" t="e">
        <f t="shared" si="4"/>
        <v>#REF!</v>
      </c>
      <c r="P51" s="24"/>
      <c r="Q51" s="8"/>
      <c r="R51" s="8"/>
    </row>
    <row r="52" spans="1:18" x14ac:dyDescent="0.25">
      <c r="A52" s="8" t="s">
        <v>19</v>
      </c>
      <c r="B52" s="8" t="s">
        <v>13</v>
      </c>
      <c r="C52" s="9">
        <v>40299</v>
      </c>
      <c r="D52" s="8" t="e">
        <f>#REF!+#REF!</f>
        <v>#REF!</v>
      </c>
      <c r="E52" s="8" t="e">
        <f>#REF!+#REF!</f>
        <v>#REF!</v>
      </c>
      <c r="F52" s="8" t="e">
        <f>#REF!+#REF!</f>
        <v>#REF!</v>
      </c>
      <c r="G52" s="8" t="e">
        <f>#REF!+#REF!</f>
        <v>#REF!</v>
      </c>
      <c r="H52" s="8" t="e">
        <f>#REF!+#REF!</f>
        <v>#REF!</v>
      </c>
      <c r="I52" s="8" t="e">
        <f>#REF!+#REF!</f>
        <v>#REF!</v>
      </c>
      <c r="J52" s="8" t="e">
        <f>#REF!+#REF!</f>
        <v>#REF!</v>
      </c>
      <c r="K52" s="23" t="e">
        <f t="shared" si="0"/>
        <v>#REF!</v>
      </c>
      <c r="L52" s="23" t="e">
        <f t="shared" si="1"/>
        <v>#REF!</v>
      </c>
      <c r="M52" s="23" t="e">
        <f t="shared" si="2"/>
        <v>#REF!</v>
      </c>
      <c r="N52" s="24" t="e">
        <f t="shared" si="3"/>
        <v>#REF!</v>
      </c>
      <c r="O52" s="29" t="e">
        <f t="shared" si="4"/>
        <v>#REF!</v>
      </c>
      <c r="P52" s="24"/>
      <c r="Q52" s="8"/>
      <c r="R52" s="8"/>
    </row>
    <row r="53" spans="1:18" x14ac:dyDescent="0.25">
      <c r="A53" s="8" t="s">
        <v>19</v>
      </c>
      <c r="B53" s="8" t="s">
        <v>13</v>
      </c>
      <c r="C53" s="9">
        <v>40330</v>
      </c>
      <c r="D53" s="8" t="e">
        <f>#REF!+#REF!</f>
        <v>#REF!</v>
      </c>
      <c r="E53" s="8" t="e">
        <f>#REF!+#REF!</f>
        <v>#REF!</v>
      </c>
      <c r="F53" s="8" t="e">
        <f>#REF!+#REF!</f>
        <v>#REF!</v>
      </c>
      <c r="G53" s="8" t="e">
        <f>#REF!+#REF!</f>
        <v>#REF!</v>
      </c>
      <c r="H53" s="8" t="e">
        <f>#REF!+#REF!</f>
        <v>#REF!</v>
      </c>
      <c r="I53" s="8" t="e">
        <f>#REF!+#REF!</f>
        <v>#REF!</v>
      </c>
      <c r="J53" s="8" t="e">
        <f>#REF!+#REF!</f>
        <v>#REF!</v>
      </c>
      <c r="K53" s="23" t="e">
        <f t="shared" si="0"/>
        <v>#REF!</v>
      </c>
      <c r="L53" s="23" t="e">
        <f t="shared" si="1"/>
        <v>#REF!</v>
      </c>
      <c r="M53" s="23" t="e">
        <f t="shared" si="2"/>
        <v>#REF!</v>
      </c>
      <c r="N53" s="24" t="e">
        <f t="shared" si="3"/>
        <v>#REF!</v>
      </c>
      <c r="O53" s="29" t="e">
        <f t="shared" si="4"/>
        <v>#REF!</v>
      </c>
      <c r="P53" s="24"/>
      <c r="Q53" s="8"/>
      <c r="R53" s="8"/>
    </row>
    <row r="54" spans="1:18" x14ac:dyDescent="0.25">
      <c r="A54" s="8" t="s">
        <v>19</v>
      </c>
      <c r="B54" s="8" t="s">
        <v>13</v>
      </c>
      <c r="C54" s="9">
        <v>40360</v>
      </c>
      <c r="D54" s="8" t="e">
        <f>#REF!+#REF!</f>
        <v>#REF!</v>
      </c>
      <c r="E54" s="8" t="e">
        <f>#REF!+#REF!</f>
        <v>#REF!</v>
      </c>
      <c r="F54" s="8" t="e">
        <f>#REF!+#REF!</f>
        <v>#REF!</v>
      </c>
      <c r="G54" s="8" t="e">
        <f>#REF!+#REF!</f>
        <v>#REF!</v>
      </c>
      <c r="H54" s="8" t="e">
        <f>#REF!+#REF!</f>
        <v>#REF!</v>
      </c>
      <c r="I54" s="8" t="e">
        <f>#REF!+#REF!</f>
        <v>#REF!</v>
      </c>
      <c r="J54" s="8" t="e">
        <f>#REF!+#REF!</f>
        <v>#REF!</v>
      </c>
      <c r="K54" s="23" t="e">
        <f t="shared" si="0"/>
        <v>#REF!</v>
      </c>
      <c r="L54" s="23" t="e">
        <f t="shared" si="1"/>
        <v>#REF!</v>
      </c>
      <c r="M54" s="23" t="e">
        <f t="shared" si="2"/>
        <v>#REF!</v>
      </c>
      <c r="N54" s="24" t="e">
        <f t="shared" si="3"/>
        <v>#REF!</v>
      </c>
      <c r="O54" s="29" t="e">
        <f t="shared" si="4"/>
        <v>#REF!</v>
      </c>
      <c r="P54" s="24"/>
      <c r="Q54" s="8"/>
      <c r="R54" s="8"/>
    </row>
    <row r="55" spans="1:18" x14ac:dyDescent="0.25">
      <c r="A55" s="8" t="s">
        <v>19</v>
      </c>
      <c r="B55" s="8" t="s">
        <v>14</v>
      </c>
      <c r="C55" s="9">
        <v>40391</v>
      </c>
      <c r="D55" s="8" t="e">
        <f>#REF!+#REF!</f>
        <v>#REF!</v>
      </c>
      <c r="E55" s="8" t="e">
        <f>#REF!+#REF!</f>
        <v>#REF!</v>
      </c>
      <c r="F55" s="8" t="e">
        <f>#REF!+#REF!</f>
        <v>#REF!</v>
      </c>
      <c r="G55" s="8" t="e">
        <f>#REF!+#REF!</f>
        <v>#REF!</v>
      </c>
      <c r="H55" s="8" t="e">
        <f>#REF!+#REF!</f>
        <v>#REF!</v>
      </c>
      <c r="I55" s="8" t="e">
        <f>#REF!+#REF!</f>
        <v>#REF!</v>
      </c>
      <c r="J55" s="8" t="e">
        <f>#REF!+#REF!</f>
        <v>#REF!</v>
      </c>
      <c r="K55" s="23" t="e">
        <f t="shared" si="0"/>
        <v>#REF!</v>
      </c>
      <c r="L55" s="23" t="e">
        <f t="shared" si="1"/>
        <v>#REF!</v>
      </c>
      <c r="M55" s="23" t="e">
        <f t="shared" si="2"/>
        <v>#REF!</v>
      </c>
      <c r="N55" s="24" t="e">
        <f t="shared" si="3"/>
        <v>#REF!</v>
      </c>
      <c r="O55" s="29" t="e">
        <f t="shared" si="4"/>
        <v>#REF!</v>
      </c>
      <c r="P55" s="24"/>
      <c r="Q55" s="8"/>
      <c r="R55" s="8"/>
    </row>
    <row r="56" spans="1:18" x14ac:dyDescent="0.25">
      <c r="A56" s="8" t="s">
        <v>19</v>
      </c>
      <c r="B56" s="8" t="s">
        <v>14</v>
      </c>
      <c r="C56" s="9">
        <v>40422</v>
      </c>
      <c r="D56" s="8" t="e">
        <f>#REF!+#REF!</f>
        <v>#REF!</v>
      </c>
      <c r="E56" s="8" t="e">
        <f>#REF!+#REF!</f>
        <v>#REF!</v>
      </c>
      <c r="F56" s="8" t="e">
        <f>#REF!+#REF!</f>
        <v>#REF!</v>
      </c>
      <c r="G56" s="8" t="e">
        <f>#REF!+#REF!</f>
        <v>#REF!</v>
      </c>
      <c r="H56" s="8" t="e">
        <f>#REF!+#REF!</f>
        <v>#REF!</v>
      </c>
      <c r="I56" s="8" t="e">
        <f>#REF!+#REF!</f>
        <v>#REF!</v>
      </c>
      <c r="J56" s="8" t="e">
        <f>#REF!+#REF!</f>
        <v>#REF!</v>
      </c>
      <c r="K56" s="23" t="e">
        <f t="shared" si="0"/>
        <v>#REF!</v>
      </c>
      <c r="L56" s="23" t="e">
        <f t="shared" si="1"/>
        <v>#REF!</v>
      </c>
      <c r="M56" s="23" t="e">
        <f t="shared" si="2"/>
        <v>#REF!</v>
      </c>
      <c r="N56" s="24" t="e">
        <f t="shared" si="3"/>
        <v>#REF!</v>
      </c>
      <c r="O56" s="29" t="e">
        <f t="shared" si="4"/>
        <v>#REF!</v>
      </c>
      <c r="P56" s="24"/>
      <c r="Q56" s="8"/>
      <c r="R56" s="8"/>
    </row>
    <row r="57" spans="1:18" x14ac:dyDescent="0.25">
      <c r="A57" s="8" t="s">
        <v>19</v>
      </c>
      <c r="B57" s="8" t="s">
        <v>14</v>
      </c>
      <c r="C57" s="9">
        <v>40452</v>
      </c>
      <c r="D57" s="8" t="e">
        <f>#REF!+#REF!</f>
        <v>#REF!</v>
      </c>
      <c r="E57" s="8" t="e">
        <f>#REF!+#REF!</f>
        <v>#REF!</v>
      </c>
      <c r="F57" s="8" t="e">
        <f>#REF!+#REF!</f>
        <v>#REF!</v>
      </c>
      <c r="G57" s="8" t="e">
        <f>#REF!+#REF!</f>
        <v>#REF!</v>
      </c>
      <c r="H57" s="8" t="e">
        <f>#REF!+#REF!</f>
        <v>#REF!</v>
      </c>
      <c r="I57" s="8" t="e">
        <f>#REF!+#REF!</f>
        <v>#REF!</v>
      </c>
      <c r="J57" s="8" t="e">
        <f>#REF!+#REF!</f>
        <v>#REF!</v>
      </c>
      <c r="K57" s="23" t="e">
        <f t="shared" si="0"/>
        <v>#REF!</v>
      </c>
      <c r="L57" s="23" t="e">
        <f t="shared" si="1"/>
        <v>#REF!</v>
      </c>
      <c r="M57" s="23" t="e">
        <f t="shared" si="2"/>
        <v>#REF!</v>
      </c>
      <c r="N57" s="24" t="e">
        <f t="shared" si="3"/>
        <v>#REF!</v>
      </c>
      <c r="O57" s="29" t="e">
        <f t="shared" si="4"/>
        <v>#REF!</v>
      </c>
      <c r="P57" s="24"/>
      <c r="Q57" s="8"/>
      <c r="R57" s="8"/>
    </row>
    <row r="58" spans="1:18" x14ac:dyDescent="0.25">
      <c r="A58" s="8" t="s">
        <v>20</v>
      </c>
      <c r="B58" s="8" t="s">
        <v>15</v>
      </c>
      <c r="C58" s="9">
        <v>40483</v>
      </c>
      <c r="D58" s="8" t="e">
        <f>#REF!+#REF!</f>
        <v>#REF!</v>
      </c>
      <c r="E58" s="8" t="e">
        <f>#REF!+#REF!</f>
        <v>#REF!</v>
      </c>
      <c r="F58" s="8" t="e">
        <f>#REF!+#REF!</f>
        <v>#REF!</v>
      </c>
      <c r="G58" s="8" t="e">
        <f>#REF!+#REF!</f>
        <v>#REF!</v>
      </c>
      <c r="H58" s="8" t="e">
        <f>#REF!+#REF!</f>
        <v>#REF!</v>
      </c>
      <c r="I58" s="8" t="e">
        <f>#REF!+#REF!</f>
        <v>#REF!</v>
      </c>
      <c r="J58" s="8" t="e">
        <f>#REF!+#REF!</f>
        <v>#REF!</v>
      </c>
      <c r="K58" s="23" t="e">
        <f t="shared" si="0"/>
        <v>#REF!</v>
      </c>
      <c r="L58" s="23" t="e">
        <f t="shared" si="1"/>
        <v>#REF!</v>
      </c>
      <c r="M58" s="23" t="e">
        <f t="shared" si="2"/>
        <v>#REF!</v>
      </c>
      <c r="N58" s="24" t="e">
        <f t="shared" si="3"/>
        <v>#REF!</v>
      </c>
      <c r="O58" s="29" t="e">
        <f t="shared" si="4"/>
        <v>#REF!</v>
      </c>
      <c r="P58" s="24"/>
      <c r="Q58" s="8"/>
      <c r="R58" s="8"/>
    </row>
    <row r="59" spans="1:18" x14ac:dyDescent="0.25">
      <c r="A59" s="8" t="s">
        <v>20</v>
      </c>
      <c r="B59" s="8" t="s">
        <v>15</v>
      </c>
      <c r="C59" s="9">
        <v>40513</v>
      </c>
      <c r="D59" s="8" t="e">
        <f>#REF!+#REF!</f>
        <v>#REF!</v>
      </c>
      <c r="E59" s="8" t="e">
        <f>#REF!+#REF!</f>
        <v>#REF!</v>
      </c>
      <c r="F59" s="8" t="e">
        <f>#REF!+#REF!</f>
        <v>#REF!</v>
      </c>
      <c r="G59" s="8" t="e">
        <f>#REF!+#REF!</f>
        <v>#REF!</v>
      </c>
      <c r="H59" s="8" t="e">
        <f>#REF!+#REF!</f>
        <v>#REF!</v>
      </c>
      <c r="I59" s="8" t="e">
        <f>#REF!+#REF!</f>
        <v>#REF!</v>
      </c>
      <c r="J59" s="8" t="e">
        <f>#REF!+#REF!</f>
        <v>#REF!</v>
      </c>
      <c r="K59" s="23" t="e">
        <f t="shared" si="0"/>
        <v>#REF!</v>
      </c>
      <c r="L59" s="23" t="e">
        <f t="shared" si="1"/>
        <v>#REF!</v>
      </c>
      <c r="M59" s="23" t="e">
        <f t="shared" si="2"/>
        <v>#REF!</v>
      </c>
      <c r="N59" s="24" t="e">
        <f t="shared" si="3"/>
        <v>#REF!</v>
      </c>
      <c r="O59" s="29" t="e">
        <f t="shared" si="4"/>
        <v>#REF!</v>
      </c>
      <c r="P59" s="24"/>
      <c r="Q59" s="8"/>
      <c r="R59" s="8"/>
    </row>
    <row r="60" spans="1:18" x14ac:dyDescent="0.25">
      <c r="A60" s="8" t="s">
        <v>20</v>
      </c>
      <c r="B60" s="8" t="s">
        <v>15</v>
      </c>
      <c r="C60" s="9">
        <v>40544</v>
      </c>
      <c r="D60" s="8" t="e">
        <f>#REF!+#REF!</f>
        <v>#REF!</v>
      </c>
      <c r="E60" s="8" t="e">
        <f>#REF!+#REF!</f>
        <v>#REF!</v>
      </c>
      <c r="F60" s="8" t="e">
        <f>#REF!+#REF!</f>
        <v>#REF!</v>
      </c>
      <c r="G60" s="8" t="e">
        <f>#REF!+#REF!</f>
        <v>#REF!</v>
      </c>
      <c r="H60" s="8" t="e">
        <f>#REF!+#REF!</f>
        <v>#REF!</v>
      </c>
      <c r="I60" s="8" t="e">
        <f>#REF!+#REF!</f>
        <v>#REF!</v>
      </c>
      <c r="J60" s="8" t="e">
        <f>#REF!+#REF!</f>
        <v>#REF!</v>
      </c>
      <c r="K60" s="23" t="e">
        <f t="shared" si="0"/>
        <v>#REF!</v>
      </c>
      <c r="L60" s="23" t="e">
        <f t="shared" si="1"/>
        <v>#REF!</v>
      </c>
      <c r="M60" s="23" t="e">
        <f t="shared" si="2"/>
        <v>#REF!</v>
      </c>
      <c r="N60" s="24" t="e">
        <f t="shared" si="3"/>
        <v>#REF!</v>
      </c>
      <c r="O60" s="29" t="e">
        <f t="shared" si="4"/>
        <v>#REF!</v>
      </c>
      <c r="P60" s="24"/>
      <c r="Q60" s="8"/>
      <c r="R60" s="8"/>
    </row>
    <row r="61" spans="1:18" x14ac:dyDescent="0.25">
      <c r="A61" s="8" t="s">
        <v>20</v>
      </c>
      <c r="B61" s="8" t="s">
        <v>12</v>
      </c>
      <c r="C61" s="9">
        <v>40575</v>
      </c>
      <c r="D61" s="8" t="e">
        <f>#REF!+#REF!</f>
        <v>#REF!</v>
      </c>
      <c r="E61" s="8" t="e">
        <f>#REF!+#REF!</f>
        <v>#REF!</v>
      </c>
      <c r="F61" s="8" t="e">
        <f>#REF!+#REF!</f>
        <v>#REF!</v>
      </c>
      <c r="G61" s="8" t="e">
        <f>#REF!+#REF!</f>
        <v>#REF!</v>
      </c>
      <c r="H61" s="8" t="e">
        <f>#REF!+#REF!</f>
        <v>#REF!</v>
      </c>
      <c r="I61" s="8" t="e">
        <f>#REF!+#REF!</f>
        <v>#REF!</v>
      </c>
      <c r="J61" s="8" t="e">
        <f>#REF!+#REF!</f>
        <v>#REF!</v>
      </c>
      <c r="K61" s="23" t="e">
        <f t="shared" si="0"/>
        <v>#REF!</v>
      </c>
      <c r="L61" s="23" t="e">
        <f t="shared" si="1"/>
        <v>#REF!</v>
      </c>
      <c r="M61" s="23" t="e">
        <f t="shared" si="2"/>
        <v>#REF!</v>
      </c>
      <c r="N61" s="24" t="e">
        <f t="shared" si="3"/>
        <v>#REF!</v>
      </c>
      <c r="O61" s="29" t="e">
        <f t="shared" si="4"/>
        <v>#REF!</v>
      </c>
      <c r="P61" s="24"/>
      <c r="Q61" s="8"/>
      <c r="R61" s="8"/>
    </row>
    <row r="62" spans="1:18" x14ac:dyDescent="0.25">
      <c r="A62" s="8" t="s">
        <v>20</v>
      </c>
      <c r="B62" s="8" t="s">
        <v>12</v>
      </c>
      <c r="C62" s="9">
        <v>40603</v>
      </c>
      <c r="D62" s="8" t="e">
        <f>#REF!+#REF!</f>
        <v>#REF!</v>
      </c>
      <c r="E62" s="8" t="e">
        <f>#REF!+#REF!</f>
        <v>#REF!</v>
      </c>
      <c r="F62" s="8" t="e">
        <f>#REF!+#REF!</f>
        <v>#REF!</v>
      </c>
      <c r="G62" s="8" t="e">
        <f>#REF!+#REF!</f>
        <v>#REF!</v>
      </c>
      <c r="H62" s="8" t="e">
        <f>#REF!+#REF!</f>
        <v>#REF!</v>
      </c>
      <c r="I62" s="8" t="e">
        <f>#REF!+#REF!</f>
        <v>#REF!</v>
      </c>
      <c r="J62" s="8" t="e">
        <f>#REF!+#REF!</f>
        <v>#REF!</v>
      </c>
      <c r="K62" s="23" t="e">
        <f t="shared" si="0"/>
        <v>#REF!</v>
      </c>
      <c r="L62" s="23" t="e">
        <f t="shared" si="1"/>
        <v>#REF!</v>
      </c>
      <c r="M62" s="23" t="e">
        <f t="shared" si="2"/>
        <v>#REF!</v>
      </c>
      <c r="N62" s="24" t="e">
        <f t="shared" si="3"/>
        <v>#REF!</v>
      </c>
      <c r="O62" s="29" t="e">
        <f t="shared" si="4"/>
        <v>#REF!</v>
      </c>
      <c r="P62" s="24"/>
      <c r="Q62" s="8"/>
      <c r="R62" s="8"/>
    </row>
    <row r="63" spans="1:18" x14ac:dyDescent="0.25">
      <c r="A63" s="8" t="s">
        <v>20</v>
      </c>
      <c r="B63" s="8" t="s">
        <v>12</v>
      </c>
      <c r="C63" s="9">
        <v>40634</v>
      </c>
      <c r="D63" s="8" t="e">
        <f>#REF!+#REF!</f>
        <v>#REF!</v>
      </c>
      <c r="E63" s="8" t="e">
        <f>#REF!+#REF!</f>
        <v>#REF!</v>
      </c>
      <c r="F63" s="8" t="e">
        <f>#REF!+#REF!</f>
        <v>#REF!</v>
      </c>
      <c r="G63" s="8" t="e">
        <f>#REF!+#REF!</f>
        <v>#REF!</v>
      </c>
      <c r="H63" s="8" t="e">
        <f>#REF!+#REF!</f>
        <v>#REF!</v>
      </c>
      <c r="I63" s="8" t="e">
        <f>#REF!+#REF!</f>
        <v>#REF!</v>
      </c>
      <c r="J63" s="8" t="e">
        <f>#REF!+#REF!</f>
        <v>#REF!</v>
      </c>
      <c r="K63" s="23" t="e">
        <f t="shared" si="0"/>
        <v>#REF!</v>
      </c>
      <c r="L63" s="23" t="e">
        <f t="shared" si="1"/>
        <v>#REF!</v>
      </c>
      <c r="M63" s="23" t="e">
        <f t="shared" si="2"/>
        <v>#REF!</v>
      </c>
      <c r="N63" s="24" t="e">
        <f t="shared" si="3"/>
        <v>#REF!</v>
      </c>
      <c r="O63" s="29" t="e">
        <f t="shared" si="4"/>
        <v>#REF!</v>
      </c>
      <c r="P63" s="24"/>
      <c r="Q63" s="8"/>
      <c r="R63" s="8"/>
    </row>
    <row r="64" spans="1:18" x14ac:dyDescent="0.25">
      <c r="A64" s="8" t="s">
        <v>20</v>
      </c>
      <c r="B64" s="8" t="s">
        <v>13</v>
      </c>
      <c r="C64" s="9">
        <v>40664</v>
      </c>
      <c r="D64" s="8" t="e">
        <f>#REF!+#REF!</f>
        <v>#REF!</v>
      </c>
      <c r="E64" s="8" t="e">
        <f>#REF!+#REF!</f>
        <v>#REF!</v>
      </c>
      <c r="F64" s="8" t="e">
        <f>#REF!+#REF!</f>
        <v>#REF!</v>
      </c>
      <c r="G64" s="8" t="e">
        <f>#REF!+#REF!</f>
        <v>#REF!</v>
      </c>
      <c r="H64" s="8" t="e">
        <f>#REF!+#REF!</f>
        <v>#REF!</v>
      </c>
      <c r="I64" s="8" t="e">
        <f>#REF!+#REF!</f>
        <v>#REF!</v>
      </c>
      <c r="J64" s="8" t="e">
        <f>#REF!+#REF!</f>
        <v>#REF!</v>
      </c>
      <c r="K64" s="23" t="e">
        <f t="shared" si="0"/>
        <v>#REF!</v>
      </c>
      <c r="L64" s="23" t="e">
        <f t="shared" si="1"/>
        <v>#REF!</v>
      </c>
      <c r="M64" s="23" t="e">
        <f t="shared" si="2"/>
        <v>#REF!</v>
      </c>
      <c r="N64" s="24" t="e">
        <f t="shared" si="3"/>
        <v>#REF!</v>
      </c>
      <c r="O64" s="29" t="e">
        <f t="shared" si="4"/>
        <v>#REF!</v>
      </c>
      <c r="P64" s="24"/>
      <c r="Q64" s="8"/>
      <c r="R64" s="8"/>
    </row>
    <row r="65" spans="1:18" x14ac:dyDescent="0.25">
      <c r="A65" s="8" t="s">
        <v>20</v>
      </c>
      <c r="B65" s="8" t="s">
        <v>13</v>
      </c>
      <c r="C65" s="9">
        <v>40695</v>
      </c>
      <c r="D65" s="8" t="e">
        <f>#REF!+#REF!</f>
        <v>#REF!</v>
      </c>
      <c r="E65" s="8" t="e">
        <f>#REF!+#REF!</f>
        <v>#REF!</v>
      </c>
      <c r="F65" s="8" t="e">
        <f>#REF!+#REF!</f>
        <v>#REF!</v>
      </c>
      <c r="G65" s="8" t="e">
        <f>#REF!+#REF!</f>
        <v>#REF!</v>
      </c>
      <c r="H65" s="8" t="e">
        <f>#REF!+#REF!</f>
        <v>#REF!</v>
      </c>
      <c r="I65" s="8" t="e">
        <f>#REF!+#REF!</f>
        <v>#REF!</v>
      </c>
      <c r="J65" s="8" t="e">
        <f>#REF!+#REF!</f>
        <v>#REF!</v>
      </c>
      <c r="K65" s="23" t="e">
        <f t="shared" si="0"/>
        <v>#REF!</v>
      </c>
      <c r="L65" s="23" t="e">
        <f t="shared" si="1"/>
        <v>#REF!</v>
      </c>
      <c r="M65" s="23" t="e">
        <f t="shared" si="2"/>
        <v>#REF!</v>
      </c>
      <c r="N65" s="24" t="e">
        <f t="shared" si="3"/>
        <v>#REF!</v>
      </c>
      <c r="O65" s="29" t="e">
        <f t="shared" si="4"/>
        <v>#REF!</v>
      </c>
      <c r="P65" s="24"/>
      <c r="Q65" s="8"/>
      <c r="R65" s="8"/>
    </row>
    <row r="66" spans="1:18" x14ac:dyDescent="0.25">
      <c r="A66" s="8" t="s">
        <v>20</v>
      </c>
      <c r="B66" s="8" t="s">
        <v>13</v>
      </c>
      <c r="C66" s="9">
        <v>40725</v>
      </c>
      <c r="D66" s="8" t="e">
        <f>#REF!+#REF!</f>
        <v>#REF!</v>
      </c>
      <c r="E66" s="8" t="e">
        <f>#REF!+#REF!</f>
        <v>#REF!</v>
      </c>
      <c r="F66" s="8" t="e">
        <f>#REF!+#REF!</f>
        <v>#REF!</v>
      </c>
      <c r="G66" s="8" t="e">
        <f>#REF!+#REF!</f>
        <v>#REF!</v>
      </c>
      <c r="H66" s="8" t="e">
        <f>#REF!+#REF!</f>
        <v>#REF!</v>
      </c>
      <c r="I66" s="8" t="e">
        <f>#REF!+#REF!</f>
        <v>#REF!</v>
      </c>
      <c r="J66" s="8" t="e">
        <f>#REF!+#REF!</f>
        <v>#REF!</v>
      </c>
      <c r="K66" s="23" t="e">
        <f t="shared" si="0"/>
        <v>#REF!</v>
      </c>
      <c r="L66" s="23" t="e">
        <f t="shared" si="1"/>
        <v>#REF!</v>
      </c>
      <c r="M66" s="23" t="e">
        <f t="shared" si="2"/>
        <v>#REF!</v>
      </c>
      <c r="N66" s="24" t="e">
        <f t="shared" si="3"/>
        <v>#REF!</v>
      </c>
      <c r="O66" s="29" t="e">
        <f t="shared" si="4"/>
        <v>#REF!</v>
      </c>
      <c r="P66" s="24"/>
      <c r="Q66" s="8"/>
      <c r="R66" s="8"/>
    </row>
    <row r="67" spans="1:18" x14ac:dyDescent="0.25">
      <c r="A67" s="8" t="s">
        <v>20</v>
      </c>
      <c r="B67" s="8" t="s">
        <v>14</v>
      </c>
      <c r="C67" s="9">
        <v>40756</v>
      </c>
      <c r="D67" s="8" t="e">
        <f>#REF!+#REF!</f>
        <v>#REF!</v>
      </c>
      <c r="E67" s="8" t="e">
        <f>#REF!+#REF!</f>
        <v>#REF!</v>
      </c>
      <c r="F67" s="8" t="e">
        <f>#REF!+#REF!</f>
        <v>#REF!</v>
      </c>
      <c r="G67" s="8" t="e">
        <f>#REF!+#REF!</f>
        <v>#REF!</v>
      </c>
      <c r="H67" s="8" t="e">
        <f>#REF!+#REF!</f>
        <v>#REF!</v>
      </c>
      <c r="I67" s="8" t="e">
        <f>#REF!+#REF!</f>
        <v>#REF!</v>
      </c>
      <c r="J67" s="8" t="e">
        <f>#REF!+#REF!</f>
        <v>#REF!</v>
      </c>
      <c r="K67" s="23" t="e">
        <f t="shared" si="0"/>
        <v>#REF!</v>
      </c>
      <c r="L67" s="23" t="e">
        <f t="shared" si="1"/>
        <v>#REF!</v>
      </c>
      <c r="M67" s="23" t="e">
        <f t="shared" si="2"/>
        <v>#REF!</v>
      </c>
      <c r="N67" s="24" t="e">
        <f t="shared" si="3"/>
        <v>#REF!</v>
      </c>
      <c r="O67" s="29" t="e">
        <f t="shared" si="4"/>
        <v>#REF!</v>
      </c>
      <c r="P67" s="24"/>
      <c r="Q67" s="8"/>
      <c r="R67" s="8"/>
    </row>
    <row r="68" spans="1:18" x14ac:dyDescent="0.25">
      <c r="A68" s="8" t="s">
        <v>20</v>
      </c>
      <c r="B68" s="8" t="s">
        <v>14</v>
      </c>
      <c r="C68" s="9">
        <v>40787</v>
      </c>
      <c r="D68" s="8" t="e">
        <f>#REF!+#REF!</f>
        <v>#REF!</v>
      </c>
      <c r="E68" s="8" t="e">
        <f>#REF!+#REF!</f>
        <v>#REF!</v>
      </c>
      <c r="F68" s="8" t="e">
        <f>#REF!+#REF!</f>
        <v>#REF!</v>
      </c>
      <c r="G68" s="8" t="e">
        <f>#REF!+#REF!</f>
        <v>#REF!</v>
      </c>
      <c r="H68" s="8" t="e">
        <f>#REF!+#REF!</f>
        <v>#REF!</v>
      </c>
      <c r="I68" s="8" t="e">
        <f>#REF!+#REF!</f>
        <v>#REF!</v>
      </c>
      <c r="J68" s="8" t="e">
        <f>#REF!+#REF!</f>
        <v>#REF!</v>
      </c>
      <c r="K68" s="23" t="e">
        <f>SUM(D68:J68)</f>
        <v>#REF!</v>
      </c>
      <c r="L68" s="23" t="e">
        <f>E68+F68</f>
        <v>#REF!</v>
      </c>
      <c r="M68" s="23" t="e">
        <f>D68+J68</f>
        <v>#REF!</v>
      </c>
      <c r="N68" s="24" t="e">
        <f>M68/K68</f>
        <v>#REF!</v>
      </c>
      <c r="O68" s="29" t="e">
        <f t="shared" si="4"/>
        <v>#REF!</v>
      </c>
      <c r="P68" s="24"/>
      <c r="Q68" s="8"/>
      <c r="R68" s="8"/>
    </row>
    <row r="69" spans="1:18" x14ac:dyDescent="0.25">
      <c r="A69" s="8" t="s">
        <v>20</v>
      </c>
      <c r="B69" s="8" t="s">
        <v>14</v>
      </c>
      <c r="C69" s="9">
        <v>40817</v>
      </c>
      <c r="D69" s="8" t="e">
        <f>#REF!+#REF!</f>
        <v>#REF!</v>
      </c>
      <c r="E69" s="8" t="e">
        <f>#REF!+#REF!</f>
        <v>#REF!</v>
      </c>
      <c r="F69" s="8" t="e">
        <f>#REF!+#REF!</f>
        <v>#REF!</v>
      </c>
      <c r="G69" s="8" t="e">
        <f>#REF!+#REF!</f>
        <v>#REF!</v>
      </c>
      <c r="H69" s="8" t="e">
        <f>#REF!+#REF!</f>
        <v>#REF!</v>
      </c>
      <c r="I69" s="8" t="e">
        <f>#REF!+#REF!</f>
        <v>#REF!</v>
      </c>
      <c r="J69" s="8" t="e">
        <f>#REF!+#REF!</f>
        <v>#REF!</v>
      </c>
      <c r="K69" s="23" t="e">
        <f>SUM(D69:J69)</f>
        <v>#REF!</v>
      </c>
      <c r="L69" s="23" t="e">
        <f>E69+F69</f>
        <v>#REF!</v>
      </c>
      <c r="M69" s="23" t="e">
        <f>D69+J69</f>
        <v>#REF!</v>
      </c>
      <c r="N69" s="24" t="e">
        <f>M69/K69</f>
        <v>#REF!</v>
      </c>
      <c r="O69" s="29" t="e">
        <f t="shared" si="4"/>
        <v>#REF!</v>
      </c>
      <c r="P69" s="24"/>
      <c r="Q69" s="8"/>
      <c r="R69" s="8"/>
    </row>
    <row r="70" spans="1:18" x14ac:dyDescent="0.25">
      <c r="A70" s="8" t="s">
        <v>21</v>
      </c>
      <c r="B70" s="8" t="s">
        <v>15</v>
      </c>
      <c r="C70" s="9">
        <v>40848</v>
      </c>
      <c r="D70" s="8" t="e">
        <f>#REF!+#REF!</f>
        <v>#REF!</v>
      </c>
      <c r="E70" s="8" t="e">
        <f>#REF!+#REF!</f>
        <v>#REF!</v>
      </c>
      <c r="F70" s="8" t="e">
        <f>#REF!+#REF!</f>
        <v>#REF!</v>
      </c>
      <c r="G70" s="8" t="e">
        <f>#REF!+#REF!</f>
        <v>#REF!</v>
      </c>
      <c r="H70" s="8" t="e">
        <f>#REF!+#REF!</f>
        <v>#REF!</v>
      </c>
      <c r="I70" s="8" t="e">
        <f>#REF!+#REF!</f>
        <v>#REF!</v>
      </c>
      <c r="J70" s="8" t="e">
        <f>#REF!+#REF!</f>
        <v>#REF!</v>
      </c>
      <c r="K70" s="23" t="e">
        <f>SUM(D70:J70)</f>
        <v>#REF!</v>
      </c>
      <c r="L70" s="23" t="e">
        <f>E70+F70</f>
        <v>#REF!</v>
      </c>
      <c r="M70" s="23" t="e">
        <f>D70+J70</f>
        <v>#REF!</v>
      </c>
      <c r="N70" s="24" t="e">
        <f>M70/K70</f>
        <v>#REF!</v>
      </c>
      <c r="O70" s="29" t="e">
        <f t="shared" si="4"/>
        <v>#REF!</v>
      </c>
      <c r="P70" s="24"/>
      <c r="Q70" s="8"/>
      <c r="R70" s="8"/>
    </row>
    <row r="71" spans="1:18" x14ac:dyDescent="0.25">
      <c r="A71" s="8" t="s">
        <v>21</v>
      </c>
      <c r="B71" s="8" t="s">
        <v>15</v>
      </c>
      <c r="C71" s="9">
        <v>40878</v>
      </c>
      <c r="D71" s="8" t="e">
        <f>#REF!+#REF!</f>
        <v>#REF!</v>
      </c>
      <c r="E71" s="8" t="e">
        <f>#REF!+#REF!</f>
        <v>#REF!</v>
      </c>
      <c r="F71" s="8" t="e">
        <f>#REF!+#REF!</f>
        <v>#REF!</v>
      </c>
      <c r="G71" s="8" t="e">
        <f>#REF!+#REF!</f>
        <v>#REF!</v>
      </c>
      <c r="H71" s="8" t="e">
        <f>#REF!+#REF!</f>
        <v>#REF!</v>
      </c>
      <c r="I71" s="8" t="e">
        <f>#REF!+#REF!</f>
        <v>#REF!</v>
      </c>
      <c r="J71" s="8" t="e">
        <f>#REF!+#REF!</f>
        <v>#REF!</v>
      </c>
      <c r="K71" s="23" t="e">
        <f>SUM(D71:J71)</f>
        <v>#REF!</v>
      </c>
      <c r="L71" s="23" t="e">
        <f>E71+F71</f>
        <v>#REF!</v>
      </c>
      <c r="M71" s="23" t="e">
        <f>D71+J71</f>
        <v>#REF!</v>
      </c>
      <c r="N71" s="24" t="e">
        <f>M71/K71</f>
        <v>#REF!</v>
      </c>
      <c r="O71" s="29" t="e">
        <f t="shared" si="4"/>
        <v>#REF!</v>
      </c>
      <c r="P71" s="24"/>
      <c r="Q71" s="8"/>
      <c r="R71" s="8"/>
    </row>
    <row r="72" spans="1:18" x14ac:dyDescent="0.25">
      <c r="A72" s="8" t="s">
        <v>21</v>
      </c>
      <c r="B72" s="8" t="s">
        <v>15</v>
      </c>
      <c r="C72" s="9">
        <v>40909</v>
      </c>
      <c r="D72" s="8" t="e">
        <f>#REF!+#REF!</f>
        <v>#REF!</v>
      </c>
      <c r="E72" s="8" t="e">
        <f>#REF!+#REF!</f>
        <v>#REF!</v>
      </c>
      <c r="F72" s="8" t="e">
        <f>#REF!+#REF!</f>
        <v>#REF!</v>
      </c>
      <c r="G72" s="8" t="e">
        <f>#REF!+#REF!</f>
        <v>#REF!</v>
      </c>
      <c r="H72" s="8" t="e">
        <f>#REF!+#REF!</f>
        <v>#REF!</v>
      </c>
      <c r="I72" s="8" t="e">
        <f>#REF!+#REF!</f>
        <v>#REF!</v>
      </c>
      <c r="J72" s="8" t="e">
        <f>#REF!+#REF!</f>
        <v>#REF!</v>
      </c>
      <c r="K72" s="23" t="e">
        <f t="shared" ref="K72:K83" si="5">SUM(D72:J72)</f>
        <v>#REF!</v>
      </c>
      <c r="L72" s="23" t="e">
        <f t="shared" ref="L72:L83" si="6">E72+F72</f>
        <v>#REF!</v>
      </c>
      <c r="M72" s="23" t="e">
        <f t="shared" ref="M72:M83" si="7">D72+J72</f>
        <v>#REF!</v>
      </c>
      <c r="N72" s="24" t="e">
        <f t="shared" ref="N72:N83" si="8">M72/K72</f>
        <v>#REF!</v>
      </c>
      <c r="O72" s="29" t="e">
        <f t="shared" si="4"/>
        <v>#REF!</v>
      </c>
      <c r="P72" s="24"/>
    </row>
    <row r="73" spans="1:18" x14ac:dyDescent="0.25">
      <c r="A73" s="8" t="s">
        <v>21</v>
      </c>
      <c r="B73" s="8" t="s">
        <v>12</v>
      </c>
      <c r="C73" s="9">
        <v>40940</v>
      </c>
      <c r="D73" s="8" t="e">
        <f>#REF!+#REF!</f>
        <v>#REF!</v>
      </c>
      <c r="E73" s="8" t="e">
        <f>#REF!+#REF!</f>
        <v>#REF!</v>
      </c>
      <c r="F73" s="8" t="e">
        <f>#REF!+#REF!</f>
        <v>#REF!</v>
      </c>
      <c r="G73" s="8" t="e">
        <f>#REF!+#REF!</f>
        <v>#REF!</v>
      </c>
      <c r="H73" s="8" t="e">
        <f>#REF!+#REF!</f>
        <v>#REF!</v>
      </c>
      <c r="I73" s="8" t="e">
        <f>#REF!+#REF!</f>
        <v>#REF!</v>
      </c>
      <c r="J73" s="8" t="e">
        <f>#REF!+#REF!</f>
        <v>#REF!</v>
      </c>
      <c r="K73" s="23" t="e">
        <f t="shared" si="5"/>
        <v>#REF!</v>
      </c>
      <c r="L73" s="23" t="e">
        <f t="shared" si="6"/>
        <v>#REF!</v>
      </c>
      <c r="M73" s="23" t="e">
        <f t="shared" si="7"/>
        <v>#REF!</v>
      </c>
      <c r="N73" s="24" t="e">
        <f t="shared" si="8"/>
        <v>#REF!</v>
      </c>
      <c r="O73" s="29" t="e">
        <f t="shared" si="4"/>
        <v>#REF!</v>
      </c>
      <c r="P73" s="24"/>
    </row>
    <row r="74" spans="1:18" x14ac:dyDescent="0.25">
      <c r="A74" s="8" t="s">
        <v>21</v>
      </c>
      <c r="B74" s="8" t="s">
        <v>12</v>
      </c>
      <c r="C74" s="9">
        <v>40969</v>
      </c>
      <c r="D74" s="8" t="e">
        <f>#REF!+#REF!</f>
        <v>#REF!</v>
      </c>
      <c r="E74" s="8" t="e">
        <f>#REF!+#REF!</f>
        <v>#REF!</v>
      </c>
      <c r="F74" s="8" t="e">
        <f>#REF!+#REF!</f>
        <v>#REF!</v>
      </c>
      <c r="G74" s="8" t="e">
        <f>#REF!+#REF!</f>
        <v>#REF!</v>
      </c>
      <c r="H74" s="8" t="e">
        <f>#REF!+#REF!</f>
        <v>#REF!</v>
      </c>
      <c r="I74" s="8" t="e">
        <f>#REF!+#REF!</f>
        <v>#REF!</v>
      </c>
      <c r="J74" s="8" t="e">
        <f>#REF!+#REF!</f>
        <v>#REF!</v>
      </c>
      <c r="K74" s="23" t="e">
        <f t="shared" si="5"/>
        <v>#REF!</v>
      </c>
      <c r="L74" s="23" t="e">
        <f t="shared" si="6"/>
        <v>#REF!</v>
      </c>
      <c r="M74" s="23" t="e">
        <f t="shared" si="7"/>
        <v>#REF!</v>
      </c>
      <c r="N74" s="24" t="e">
        <f t="shared" si="8"/>
        <v>#REF!</v>
      </c>
      <c r="O74" s="29" t="e">
        <f t="shared" si="4"/>
        <v>#REF!</v>
      </c>
      <c r="P74" s="24"/>
    </row>
    <row r="75" spans="1:18" x14ac:dyDescent="0.25">
      <c r="A75" s="8" t="s">
        <v>21</v>
      </c>
      <c r="B75" s="8" t="s">
        <v>12</v>
      </c>
      <c r="C75" s="9">
        <v>41000</v>
      </c>
      <c r="D75" s="8" t="e">
        <f>#REF!+#REF!</f>
        <v>#REF!</v>
      </c>
      <c r="E75" s="8" t="e">
        <f>#REF!+#REF!</f>
        <v>#REF!</v>
      </c>
      <c r="F75" s="8" t="e">
        <f>#REF!+#REF!</f>
        <v>#REF!</v>
      </c>
      <c r="G75" s="8" t="e">
        <f>#REF!+#REF!</f>
        <v>#REF!</v>
      </c>
      <c r="H75" s="8" t="e">
        <f>#REF!+#REF!</f>
        <v>#REF!</v>
      </c>
      <c r="I75" s="8" t="e">
        <f>#REF!+#REF!</f>
        <v>#REF!</v>
      </c>
      <c r="J75" s="8" t="e">
        <f>#REF!+#REF!</f>
        <v>#REF!</v>
      </c>
      <c r="K75" s="23" t="e">
        <f t="shared" si="5"/>
        <v>#REF!</v>
      </c>
      <c r="L75" s="23" t="e">
        <f t="shared" si="6"/>
        <v>#REF!</v>
      </c>
      <c r="M75" s="23" t="e">
        <f t="shared" si="7"/>
        <v>#REF!</v>
      </c>
      <c r="N75" s="24" t="e">
        <f t="shared" si="8"/>
        <v>#REF!</v>
      </c>
      <c r="O75" s="29" t="e">
        <f t="shared" si="4"/>
        <v>#REF!</v>
      </c>
      <c r="P75" s="24"/>
    </row>
    <row r="76" spans="1:18" x14ac:dyDescent="0.25">
      <c r="A76" s="8" t="s">
        <v>21</v>
      </c>
      <c r="B76" s="8" t="s">
        <v>13</v>
      </c>
      <c r="C76" s="9">
        <v>41030</v>
      </c>
      <c r="D76" s="8" t="e">
        <f>#REF!+#REF!</f>
        <v>#REF!</v>
      </c>
      <c r="E76" s="8" t="e">
        <f>#REF!+#REF!</f>
        <v>#REF!</v>
      </c>
      <c r="F76" s="8" t="e">
        <f>#REF!+#REF!</f>
        <v>#REF!</v>
      </c>
      <c r="G76" s="8" t="e">
        <f>#REF!+#REF!</f>
        <v>#REF!</v>
      </c>
      <c r="H76" s="8" t="e">
        <f>#REF!+#REF!</f>
        <v>#REF!</v>
      </c>
      <c r="I76" s="8" t="e">
        <f>#REF!+#REF!</f>
        <v>#REF!</v>
      </c>
      <c r="J76" s="8" t="e">
        <f>#REF!+#REF!</f>
        <v>#REF!</v>
      </c>
      <c r="K76" s="23" t="e">
        <f t="shared" si="5"/>
        <v>#REF!</v>
      </c>
      <c r="L76" s="23" t="e">
        <f t="shared" si="6"/>
        <v>#REF!</v>
      </c>
      <c r="M76" s="23" t="e">
        <f t="shared" si="7"/>
        <v>#REF!</v>
      </c>
      <c r="N76" s="24" t="e">
        <f t="shared" si="8"/>
        <v>#REF!</v>
      </c>
      <c r="O76" s="29" t="e">
        <f t="shared" si="4"/>
        <v>#REF!</v>
      </c>
      <c r="P76" s="24"/>
    </row>
    <row r="77" spans="1:18" x14ac:dyDescent="0.25">
      <c r="A77" s="8" t="s">
        <v>21</v>
      </c>
      <c r="B77" s="8" t="s">
        <v>13</v>
      </c>
      <c r="C77" s="9">
        <v>41061</v>
      </c>
      <c r="D77" s="8" t="e">
        <f>#REF!+#REF!</f>
        <v>#REF!</v>
      </c>
      <c r="E77" s="8" t="e">
        <f>#REF!+#REF!</f>
        <v>#REF!</v>
      </c>
      <c r="F77" s="8" t="e">
        <f>#REF!+#REF!</f>
        <v>#REF!</v>
      </c>
      <c r="G77" s="8" t="e">
        <f>#REF!+#REF!</f>
        <v>#REF!</v>
      </c>
      <c r="H77" s="8" t="e">
        <f>#REF!+#REF!</f>
        <v>#REF!</v>
      </c>
      <c r="I77" s="8" t="e">
        <f>#REF!+#REF!</f>
        <v>#REF!</v>
      </c>
      <c r="J77" s="8" t="e">
        <f>#REF!+#REF!</f>
        <v>#REF!</v>
      </c>
      <c r="K77" s="23" t="e">
        <f t="shared" si="5"/>
        <v>#REF!</v>
      </c>
      <c r="L77" s="23" t="e">
        <f t="shared" si="6"/>
        <v>#REF!</v>
      </c>
      <c r="M77" s="23" t="e">
        <f t="shared" si="7"/>
        <v>#REF!</v>
      </c>
      <c r="N77" s="24" t="e">
        <f t="shared" si="8"/>
        <v>#REF!</v>
      </c>
      <c r="O77" s="29" t="e">
        <f t="shared" si="4"/>
        <v>#REF!</v>
      </c>
      <c r="P77" s="24"/>
    </row>
    <row r="78" spans="1:18" x14ac:dyDescent="0.25">
      <c r="A78" s="8" t="s">
        <v>21</v>
      </c>
      <c r="B78" s="8" t="s">
        <v>13</v>
      </c>
      <c r="C78" s="9">
        <v>41091</v>
      </c>
      <c r="D78" s="8" t="e">
        <f>#REF!+#REF!</f>
        <v>#REF!</v>
      </c>
      <c r="E78" s="8" t="e">
        <f>#REF!+#REF!</f>
        <v>#REF!</v>
      </c>
      <c r="F78" s="8" t="e">
        <f>#REF!+#REF!</f>
        <v>#REF!</v>
      </c>
      <c r="G78" s="8" t="e">
        <f>#REF!+#REF!</f>
        <v>#REF!</v>
      </c>
      <c r="H78" s="8" t="e">
        <f>#REF!+#REF!</f>
        <v>#REF!</v>
      </c>
      <c r="I78" s="8" t="e">
        <f>#REF!+#REF!</f>
        <v>#REF!</v>
      </c>
      <c r="J78" s="8" t="e">
        <f>#REF!+#REF!</f>
        <v>#REF!</v>
      </c>
      <c r="K78" s="23" t="e">
        <f t="shared" si="5"/>
        <v>#REF!</v>
      </c>
      <c r="L78" s="23" t="e">
        <f t="shared" si="6"/>
        <v>#REF!</v>
      </c>
      <c r="M78" s="23" t="e">
        <f t="shared" si="7"/>
        <v>#REF!</v>
      </c>
      <c r="N78" s="24" t="e">
        <f t="shared" si="8"/>
        <v>#REF!</v>
      </c>
      <c r="O78" s="29" t="e">
        <f t="shared" si="4"/>
        <v>#REF!</v>
      </c>
      <c r="P78" s="24"/>
    </row>
    <row r="79" spans="1:18" x14ac:dyDescent="0.25">
      <c r="A79" s="8" t="s">
        <v>21</v>
      </c>
      <c r="B79" s="8" t="s">
        <v>14</v>
      </c>
      <c r="C79" s="9">
        <v>41122</v>
      </c>
      <c r="D79" s="8" t="e">
        <f>#REF!+#REF!</f>
        <v>#REF!</v>
      </c>
      <c r="E79" s="8" t="e">
        <f>#REF!+#REF!</f>
        <v>#REF!</v>
      </c>
      <c r="F79" s="8" t="e">
        <f>#REF!+#REF!</f>
        <v>#REF!</v>
      </c>
      <c r="G79" s="8" t="e">
        <f>#REF!+#REF!</f>
        <v>#REF!</v>
      </c>
      <c r="H79" s="8" t="e">
        <f>#REF!+#REF!</f>
        <v>#REF!</v>
      </c>
      <c r="I79" s="8" t="e">
        <f>#REF!+#REF!</f>
        <v>#REF!</v>
      </c>
      <c r="J79" s="8" t="e">
        <f>#REF!+#REF!</f>
        <v>#REF!</v>
      </c>
      <c r="K79" s="23" t="e">
        <f t="shared" si="5"/>
        <v>#REF!</v>
      </c>
      <c r="L79" s="23" t="e">
        <f t="shared" si="6"/>
        <v>#REF!</v>
      </c>
      <c r="M79" s="23" t="e">
        <f t="shared" si="7"/>
        <v>#REF!</v>
      </c>
      <c r="N79" s="24" t="e">
        <f t="shared" si="8"/>
        <v>#REF!</v>
      </c>
      <c r="O79" s="29" t="e">
        <f t="shared" si="4"/>
        <v>#REF!</v>
      </c>
      <c r="P79" s="24"/>
    </row>
    <row r="80" spans="1:18" x14ac:dyDescent="0.25">
      <c r="A80" s="8" t="s">
        <v>21</v>
      </c>
      <c r="B80" s="8" t="s">
        <v>14</v>
      </c>
      <c r="C80" s="9">
        <v>41153</v>
      </c>
      <c r="D80" s="8" t="e">
        <f>#REF!+#REF!</f>
        <v>#REF!</v>
      </c>
      <c r="E80" s="8" t="e">
        <f>#REF!+#REF!</f>
        <v>#REF!</v>
      </c>
      <c r="F80" s="8" t="e">
        <f>#REF!+#REF!</f>
        <v>#REF!</v>
      </c>
      <c r="G80" s="8" t="e">
        <f>#REF!+#REF!</f>
        <v>#REF!</v>
      </c>
      <c r="H80" s="8" t="e">
        <f>#REF!+#REF!</f>
        <v>#REF!</v>
      </c>
      <c r="I80" s="8" t="e">
        <f>#REF!+#REF!</f>
        <v>#REF!</v>
      </c>
      <c r="J80" s="8" t="e">
        <f>#REF!+#REF!</f>
        <v>#REF!</v>
      </c>
      <c r="K80" s="23" t="e">
        <f t="shared" si="5"/>
        <v>#REF!</v>
      </c>
      <c r="L80" s="23" t="e">
        <f t="shared" si="6"/>
        <v>#REF!</v>
      </c>
      <c r="M80" s="23" t="e">
        <f t="shared" si="7"/>
        <v>#REF!</v>
      </c>
      <c r="N80" s="24" t="e">
        <f t="shared" si="8"/>
        <v>#REF!</v>
      </c>
      <c r="O80" s="29" t="e">
        <f t="shared" si="4"/>
        <v>#REF!</v>
      </c>
      <c r="P80" s="24"/>
    </row>
    <row r="81" spans="1:16" x14ac:dyDescent="0.25">
      <c r="A81" s="8" t="s">
        <v>21</v>
      </c>
      <c r="B81" s="8" t="s">
        <v>14</v>
      </c>
      <c r="C81" s="9">
        <v>41183</v>
      </c>
      <c r="D81" s="8" t="e">
        <f>#REF!+#REF!</f>
        <v>#REF!</v>
      </c>
      <c r="E81" s="8" t="e">
        <f>#REF!+#REF!</f>
        <v>#REF!</v>
      </c>
      <c r="F81" s="8" t="e">
        <f>#REF!+#REF!</f>
        <v>#REF!</v>
      </c>
      <c r="G81" s="8" t="e">
        <f>#REF!+#REF!</f>
        <v>#REF!</v>
      </c>
      <c r="H81" s="8" t="e">
        <f>#REF!+#REF!</f>
        <v>#REF!</v>
      </c>
      <c r="I81" s="8" t="e">
        <f>#REF!+#REF!</f>
        <v>#REF!</v>
      </c>
      <c r="J81" s="8" t="e">
        <f>#REF!+#REF!</f>
        <v>#REF!</v>
      </c>
      <c r="K81" s="23" t="e">
        <f t="shared" si="5"/>
        <v>#REF!</v>
      </c>
      <c r="L81" s="23" t="e">
        <f t="shared" si="6"/>
        <v>#REF!</v>
      </c>
      <c r="M81" s="23" t="e">
        <f t="shared" si="7"/>
        <v>#REF!</v>
      </c>
      <c r="N81" s="24" t="e">
        <f t="shared" si="8"/>
        <v>#REF!</v>
      </c>
      <c r="O81" s="29" t="e">
        <f t="shared" si="4"/>
        <v>#REF!</v>
      </c>
      <c r="P81" s="24"/>
    </row>
    <row r="82" spans="1:16" x14ac:dyDescent="0.25">
      <c r="A82" s="8" t="s">
        <v>56</v>
      </c>
      <c r="B82" s="8" t="s">
        <v>15</v>
      </c>
      <c r="C82" s="9">
        <v>41214</v>
      </c>
      <c r="D82" s="8" t="e">
        <f>#REF!+#REF!</f>
        <v>#REF!</v>
      </c>
      <c r="E82" s="8" t="e">
        <f>#REF!+#REF!</f>
        <v>#REF!</v>
      </c>
      <c r="F82" s="8" t="e">
        <f>#REF!+#REF!</f>
        <v>#REF!</v>
      </c>
      <c r="G82" s="8" t="e">
        <f>#REF!+#REF!</f>
        <v>#REF!</v>
      </c>
      <c r="H82" s="8" t="e">
        <f>#REF!+#REF!</f>
        <v>#REF!</v>
      </c>
      <c r="I82" s="8" t="e">
        <f>#REF!+#REF!</f>
        <v>#REF!</v>
      </c>
      <c r="J82" s="8" t="e">
        <f>#REF!+#REF!</f>
        <v>#REF!</v>
      </c>
      <c r="K82" s="23" t="e">
        <f t="shared" si="5"/>
        <v>#REF!</v>
      </c>
      <c r="L82" s="23" t="e">
        <f t="shared" si="6"/>
        <v>#REF!</v>
      </c>
      <c r="M82" s="23" t="e">
        <f t="shared" si="7"/>
        <v>#REF!</v>
      </c>
      <c r="N82" s="24" t="e">
        <f t="shared" si="8"/>
        <v>#REF!</v>
      </c>
      <c r="O82" s="29" t="e">
        <f t="shared" si="4"/>
        <v>#REF!</v>
      </c>
      <c r="P82" s="24"/>
    </row>
    <row r="83" spans="1:16" x14ac:dyDescent="0.25">
      <c r="A83" s="8" t="s">
        <v>56</v>
      </c>
      <c r="B83" s="8" t="s">
        <v>15</v>
      </c>
      <c r="C83" s="9">
        <v>41244</v>
      </c>
      <c r="D83" s="8" t="e">
        <f>#REF!+#REF!</f>
        <v>#REF!</v>
      </c>
      <c r="E83" s="8" t="e">
        <f>#REF!+#REF!</f>
        <v>#REF!</v>
      </c>
      <c r="F83" s="8" t="e">
        <f>#REF!+#REF!</f>
        <v>#REF!</v>
      </c>
      <c r="G83" s="8" t="e">
        <f>#REF!+#REF!</f>
        <v>#REF!</v>
      </c>
      <c r="H83" s="8" t="e">
        <f>#REF!+#REF!</f>
        <v>#REF!</v>
      </c>
      <c r="I83" s="8" t="e">
        <f>#REF!+#REF!</f>
        <v>#REF!</v>
      </c>
      <c r="J83" s="8" t="e">
        <f>#REF!+#REF!</f>
        <v>#REF!</v>
      </c>
      <c r="K83" s="23" t="e">
        <f t="shared" si="5"/>
        <v>#REF!</v>
      </c>
      <c r="L83" s="23" t="e">
        <f t="shared" si="6"/>
        <v>#REF!</v>
      </c>
      <c r="M83" s="23" t="e">
        <f t="shared" si="7"/>
        <v>#REF!</v>
      </c>
      <c r="N83" s="24" t="e">
        <f t="shared" si="8"/>
        <v>#REF!</v>
      </c>
      <c r="O83" s="29" t="e">
        <f t="shared" si="4"/>
        <v>#REF!</v>
      </c>
      <c r="P83" s="24"/>
    </row>
  </sheetData>
  <mergeCells count="1">
    <mergeCell ref="D1:M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3399"/>
  </sheetPr>
  <dimension ref="A8:C29"/>
  <sheetViews>
    <sheetView showGridLines="0" zoomScaleNormal="100" workbookViewId="0">
      <pane ySplit="6" topLeftCell="A7" activePane="bottomLeft" state="frozen"/>
      <selection pane="bottomLeft"/>
    </sheetView>
  </sheetViews>
  <sheetFormatPr defaultRowHeight="15" x14ac:dyDescent="0.25"/>
  <cols>
    <col min="1" max="1" width="12.42578125" bestFit="1" customWidth="1"/>
    <col min="2" max="2" width="75" customWidth="1"/>
    <col min="3" max="3" width="16" bestFit="1" customWidth="1"/>
    <col min="4" max="5" width="9.140625" customWidth="1"/>
    <col min="10" max="10" width="9.140625" customWidth="1"/>
    <col min="13" max="13" width="9.140625" customWidth="1"/>
  </cols>
  <sheetData>
    <row r="8" spans="1:3" x14ac:dyDescent="0.25">
      <c r="A8" s="338" t="s">
        <v>74</v>
      </c>
      <c r="B8" s="338"/>
      <c r="C8" s="338"/>
    </row>
    <row r="9" spans="1:3" s="1" customFormat="1" x14ac:dyDescent="0.25">
      <c r="A9" s="5"/>
    </row>
    <row r="10" spans="1:3" x14ac:dyDescent="0.25">
      <c r="A10" s="1" t="s">
        <v>114</v>
      </c>
      <c r="B10" s="1" t="s">
        <v>113</v>
      </c>
      <c r="C10" s="1" t="s">
        <v>115</v>
      </c>
    </row>
    <row r="11" spans="1:3" x14ac:dyDescent="0.25">
      <c r="A11" t="s">
        <v>75</v>
      </c>
      <c r="B11" t="s">
        <v>76</v>
      </c>
    </row>
    <row r="12" spans="1:3" x14ac:dyDescent="0.25">
      <c r="A12" t="s">
        <v>77</v>
      </c>
      <c r="B12" t="s">
        <v>79</v>
      </c>
    </row>
    <row r="13" spans="1:3" x14ac:dyDescent="0.25">
      <c r="A13" t="s">
        <v>78</v>
      </c>
      <c r="B13" t="s">
        <v>80</v>
      </c>
    </row>
    <row r="14" spans="1:3" x14ac:dyDescent="0.25">
      <c r="A14" t="s">
        <v>81</v>
      </c>
      <c r="B14" t="s">
        <v>82</v>
      </c>
    </row>
    <row r="15" spans="1:3" x14ac:dyDescent="0.25">
      <c r="A15" t="s">
        <v>83</v>
      </c>
      <c r="B15" t="s">
        <v>84</v>
      </c>
    </row>
    <row r="16" spans="1:3" x14ac:dyDescent="0.25">
      <c r="A16" t="s">
        <v>85</v>
      </c>
      <c r="B16" t="s">
        <v>86</v>
      </c>
    </row>
    <row r="17" spans="1:3" x14ac:dyDescent="0.25">
      <c r="A17" t="s">
        <v>87</v>
      </c>
      <c r="B17" t="s">
        <v>88</v>
      </c>
    </row>
    <row r="18" spans="1:3" x14ac:dyDescent="0.25">
      <c r="A18" t="s">
        <v>89</v>
      </c>
      <c r="B18" t="s">
        <v>90</v>
      </c>
    </row>
    <row r="19" spans="1:3" x14ac:dyDescent="0.25">
      <c r="A19" t="s">
        <v>91</v>
      </c>
      <c r="B19" t="s">
        <v>92</v>
      </c>
    </row>
    <row r="20" spans="1:3" x14ac:dyDescent="0.25">
      <c r="A20" t="s">
        <v>93</v>
      </c>
      <c r="B20" t="s">
        <v>94</v>
      </c>
    </row>
    <row r="21" spans="1:3" x14ac:dyDescent="0.25">
      <c r="A21" t="s">
        <v>95</v>
      </c>
      <c r="B21" t="s">
        <v>96</v>
      </c>
    </row>
    <row r="22" spans="1:3" x14ac:dyDescent="0.25">
      <c r="A22" t="s">
        <v>97</v>
      </c>
      <c r="B22" t="s">
        <v>98</v>
      </c>
    </row>
    <row r="23" spans="1:3" x14ac:dyDescent="0.25">
      <c r="A23" t="s">
        <v>99</v>
      </c>
      <c r="B23" t="s">
        <v>100</v>
      </c>
      <c r="C23" s="82" t="s">
        <v>127</v>
      </c>
    </row>
    <row r="24" spans="1:3" x14ac:dyDescent="0.25">
      <c r="A24" t="s">
        <v>101</v>
      </c>
      <c r="B24" t="s">
        <v>102</v>
      </c>
    </row>
    <row r="25" spans="1:3" x14ac:dyDescent="0.25">
      <c r="A25" t="s">
        <v>103</v>
      </c>
      <c r="B25" t="s">
        <v>104</v>
      </c>
    </row>
    <row r="26" spans="1:3" ht="30" x14ac:dyDescent="0.25">
      <c r="A26" s="68" t="s">
        <v>105</v>
      </c>
      <c r="B26" s="69" t="s">
        <v>106</v>
      </c>
    </row>
    <row r="27" spans="1:3" x14ac:dyDescent="0.25">
      <c r="A27" t="s">
        <v>107</v>
      </c>
      <c r="B27" t="s">
        <v>108</v>
      </c>
    </row>
    <row r="28" spans="1:3" x14ac:dyDescent="0.25">
      <c r="A28" t="s">
        <v>109</v>
      </c>
      <c r="B28" t="s">
        <v>110</v>
      </c>
      <c r="C28" s="82" t="s">
        <v>127</v>
      </c>
    </row>
    <row r="29" spans="1:3" x14ac:dyDescent="0.25">
      <c r="A29" t="s">
        <v>111</v>
      </c>
      <c r="B29" t="s">
        <v>112</v>
      </c>
    </row>
  </sheetData>
  <mergeCells count="1">
    <mergeCell ref="A8:C8"/>
  </mergeCells>
  <hyperlinks>
    <hyperlink ref="C23" location="Emissions!A1" display="[x]"/>
    <hyperlink ref="C28" location="Labour!A1" display="[x]"/>
  </hyperlink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499984740745262"/>
  </sheetPr>
  <dimension ref="E2:AA60"/>
  <sheetViews>
    <sheetView showGridLines="0" topLeftCell="N78" zoomScaleNormal="100" workbookViewId="0">
      <selection activeCell="AA93" sqref="AA93"/>
    </sheetView>
  </sheetViews>
  <sheetFormatPr defaultRowHeight="15" x14ac:dyDescent="0.25"/>
  <cols>
    <col min="1" max="16384" width="9.140625" style="1"/>
  </cols>
  <sheetData>
    <row r="2" spans="16:27" x14ac:dyDescent="0.25">
      <c r="AA2" s="103">
        <f>ROUNDUP(ROWS(WasteTable[])/2,0)</f>
        <v>6</v>
      </c>
    </row>
    <row r="8" spans="16:27" x14ac:dyDescent="0.25">
      <c r="P8" s="287" t="s">
        <v>338</v>
      </c>
      <c r="Q8" s="286">
        <f>ROUNDUP(ROWS(WasteTable[])/2,0)</f>
        <v>6</v>
      </c>
    </row>
    <row r="60" spans="5:5" x14ac:dyDescent="0.25">
      <c r="E6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Scroll Bar 2">
              <controlPr defaultSize="0" autoPict="0" macro="[0]!ScrollBar2_Change">
                <anchor moveWithCells="1">
                  <from>
                    <xdr:col>0</xdr:col>
                    <xdr:colOff>142875</xdr:colOff>
                    <xdr:row>7</xdr:row>
                    <xdr:rowOff>95250</xdr:rowOff>
                  </from>
                  <to>
                    <xdr:col>1</xdr:col>
                    <xdr:colOff>28575</xdr:colOff>
                    <xdr:row>27</xdr:row>
                    <xdr:rowOff>66675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499984740745262"/>
  </sheetPr>
  <dimension ref="A1"/>
  <sheetViews>
    <sheetView showGridLines="0" topLeftCell="A16" zoomScaleNormal="100" workbookViewId="0"/>
  </sheetViews>
  <sheetFormatPr defaultRowHeight="15" x14ac:dyDescent="0.25"/>
  <cols>
    <col min="1" max="16384" width="9.140625" style="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AG266"/>
  <sheetViews>
    <sheetView zoomScaleNormal="100" workbookViewId="0">
      <selection activeCell="C29" sqref="C29"/>
    </sheetView>
  </sheetViews>
  <sheetFormatPr defaultRowHeight="12.75" x14ac:dyDescent="0.2"/>
  <cols>
    <col min="1" max="1" width="17.42578125" style="49" customWidth="1"/>
    <col min="2" max="2" width="16.5703125" style="49" bestFit="1" customWidth="1"/>
    <col min="3" max="3" width="18.42578125" style="49" bestFit="1" customWidth="1"/>
    <col min="4" max="4" width="14.85546875" style="49" bestFit="1" customWidth="1"/>
    <col min="5" max="5" width="16.5703125" style="49" bestFit="1" customWidth="1"/>
    <col min="6" max="8" width="18.5703125" style="49" bestFit="1" customWidth="1"/>
    <col min="9" max="9" width="13.140625" style="49" customWidth="1"/>
    <col min="10" max="10" width="14.28515625" style="49" customWidth="1"/>
    <col min="11" max="11" width="11.42578125" style="49" bestFit="1" customWidth="1"/>
    <col min="12" max="12" width="7.42578125" style="49" customWidth="1"/>
    <col min="13" max="13" width="11" style="49" customWidth="1"/>
    <col min="14" max="15" width="8" style="49" bestFit="1" customWidth="1"/>
    <col min="16" max="32" width="8" style="49" customWidth="1"/>
    <col min="33" max="33" width="7.28515625" style="49" customWidth="1"/>
    <col min="34" max="34" width="11.28515625" style="49" customWidth="1"/>
    <col min="35" max="80" width="12" style="49" customWidth="1"/>
    <col min="81" max="116" width="29.42578125" style="49" bestFit="1" customWidth="1"/>
    <col min="117" max="118" width="29.42578125" style="49" customWidth="1"/>
    <col min="119" max="119" width="27.28515625" style="49" bestFit="1" customWidth="1"/>
    <col min="120" max="120" width="32.5703125" style="49" customWidth="1"/>
    <col min="121" max="121" width="29.42578125" style="49" bestFit="1" customWidth="1"/>
    <col min="122" max="122" width="29.42578125" style="49" customWidth="1"/>
    <col min="123" max="123" width="29.42578125" style="49" bestFit="1" customWidth="1"/>
    <col min="124" max="124" width="29.42578125" style="49" customWidth="1"/>
    <col min="125" max="125" width="29.42578125" style="49" bestFit="1" customWidth="1"/>
    <col min="126" max="126" width="29.42578125" style="49" customWidth="1"/>
    <col min="127" max="127" width="29.42578125" style="49" bestFit="1" customWidth="1"/>
    <col min="128" max="128" width="29.42578125" style="49" customWidth="1"/>
    <col min="129" max="129" width="29.42578125" style="49" bestFit="1" customWidth="1"/>
    <col min="130" max="130" width="29.42578125" style="49" customWidth="1"/>
    <col min="131" max="131" width="29.42578125" style="49" bestFit="1" customWidth="1"/>
    <col min="132" max="132" width="29.42578125" style="49" customWidth="1"/>
    <col min="133" max="133" width="29.42578125" style="49" bestFit="1" customWidth="1"/>
    <col min="134" max="134" width="29.42578125" style="49" customWidth="1"/>
    <col min="135" max="135" width="29.42578125" style="49" bestFit="1" customWidth="1"/>
    <col min="136" max="136" width="29.42578125" style="49" customWidth="1"/>
    <col min="137" max="137" width="29.42578125" style="49" bestFit="1" customWidth="1"/>
    <col min="138" max="138" width="29.42578125" style="49" customWidth="1"/>
    <col min="139" max="139" width="29.42578125" style="49" bestFit="1" customWidth="1"/>
    <col min="140" max="140" width="29.42578125" style="49" customWidth="1"/>
    <col min="141" max="141" width="29.42578125" style="49" bestFit="1" customWidth="1"/>
    <col min="142" max="142" width="29.42578125" style="49" customWidth="1"/>
    <col min="143" max="143" width="29.42578125" style="49" bestFit="1" customWidth="1"/>
    <col min="144" max="144" width="29.42578125" style="49" customWidth="1"/>
    <col min="145" max="145" width="29.42578125" style="49" bestFit="1" customWidth="1"/>
    <col min="146" max="146" width="29.42578125" style="49" customWidth="1"/>
    <col min="147" max="147" width="29.42578125" style="49" bestFit="1" customWidth="1"/>
    <col min="148" max="148" width="29.42578125" style="49" customWidth="1"/>
    <col min="149" max="149" width="29.42578125" style="49" bestFit="1" customWidth="1"/>
    <col min="150" max="150" width="29.42578125" style="49" customWidth="1"/>
    <col min="151" max="153" width="29.42578125" style="49" bestFit="1" customWidth="1"/>
    <col min="154" max="154" width="29.42578125" style="49" customWidth="1"/>
    <col min="155" max="156" width="29.42578125" style="49" bestFit="1" customWidth="1"/>
    <col min="157" max="157" width="27.28515625" style="49" bestFit="1" customWidth="1"/>
    <col min="158" max="158" width="32.5703125" style="49" bestFit="1" customWidth="1"/>
    <col min="159" max="159" width="28.85546875" style="49" bestFit="1" customWidth="1"/>
    <col min="160" max="160" width="34.28515625" style="49" bestFit="1" customWidth="1"/>
    <col min="161" max="16384" width="9.140625" style="49"/>
  </cols>
  <sheetData>
    <row r="1" spans="1:33" ht="15" customHeight="1" x14ac:dyDescent="0.25">
      <c r="A1" s="65" t="s">
        <v>117</v>
      </c>
      <c r="E1" s="70"/>
      <c r="F1" s="70"/>
      <c r="G1" s="71"/>
      <c r="H1" s="71"/>
      <c r="I1" s="71"/>
      <c r="J1" s="71"/>
      <c r="K1" s="71"/>
      <c r="L1" s="71"/>
    </row>
    <row r="2" spans="1:33" x14ac:dyDescent="0.2">
      <c r="A2" s="48"/>
      <c r="B2" s="52" t="s">
        <v>3</v>
      </c>
      <c r="C2" s="53" t="s">
        <v>24</v>
      </c>
      <c r="D2" s="54" t="s">
        <v>70</v>
      </c>
      <c r="E2" s="54" t="s">
        <v>27</v>
      </c>
      <c r="F2" s="54"/>
      <c r="G2" s="66">
        <f ca="1">OFFSET('Link to Chart'!A4,$J$6,0)</f>
        <v>42156</v>
      </c>
      <c r="H2" s="66">
        <f ca="1">OFFSET('Link to Chart'!A5,$J$6,0)</f>
        <v>42186</v>
      </c>
      <c r="I2" s="66">
        <f ca="1">OFFSET('Link to Chart'!A6,$J$6,0)</f>
        <v>42217</v>
      </c>
      <c r="J2" s="66">
        <f ca="1">OFFSET('Link to Chart'!A7,$J$6,0)</f>
        <v>42248</v>
      </c>
      <c r="K2" s="66">
        <f ca="1">OFFSET('Link to Chart'!A8,$J$6,0)</f>
        <v>42278</v>
      </c>
      <c r="L2" s="66">
        <f ca="1">OFFSET('Link to Chart'!A9,$J$6,0)</f>
        <v>42309</v>
      </c>
    </row>
    <row r="3" spans="1:33" ht="15" x14ac:dyDescent="0.25">
      <c r="A3" s="50"/>
      <c r="B3" s="55"/>
      <c r="C3" s="55"/>
      <c r="D3" s="55"/>
      <c r="E3" s="55"/>
      <c r="F3" s="77"/>
      <c r="G3" s="67">
        <f ca="1">OFFSET('Link to Chart'!B4,$J$6,0)</f>
        <v>0.7318592660432145</v>
      </c>
      <c r="H3" s="67">
        <f ca="1">OFFSET('Link to Chart'!B5,$J$6,0)</f>
        <v>0.73060098788589811</v>
      </c>
      <c r="I3" s="67">
        <f ca="1">OFFSET('Link to Chart'!B6,$J$6,0)</f>
        <v>0.73244353025915099</v>
      </c>
      <c r="J3" s="67">
        <f ca="1">OFFSET('Link to Chart'!B7,$J$6,0)</f>
        <v>0.78053637547529819</v>
      </c>
      <c r="K3" s="67">
        <f ca="1">OFFSET('Link to Chart'!B8,$J$6,0)</f>
        <v>0.74574753801321825</v>
      </c>
      <c r="L3" s="67">
        <f ca="1">OFFSET('Link to Chart'!B9,$J$6,0)</f>
        <v>0.75203367388227516</v>
      </c>
    </row>
    <row r="4" spans="1:33" ht="12.75" customHeight="1" x14ac:dyDescent="0.2">
      <c r="A4" s="342" t="s">
        <v>71</v>
      </c>
      <c r="B4" s="343"/>
      <c r="C4" s="343"/>
      <c r="D4" s="343"/>
      <c r="E4" s="343"/>
      <c r="F4" s="78"/>
    </row>
    <row r="5" spans="1:33" ht="12.75" customHeight="1" x14ac:dyDescent="0.2">
      <c r="A5" s="51"/>
      <c r="B5" s="339" t="s">
        <v>72</v>
      </c>
      <c r="C5" s="340"/>
      <c r="D5" s="340"/>
      <c r="E5" s="341"/>
      <c r="F5" s="79"/>
    </row>
    <row r="6" spans="1:33" x14ac:dyDescent="0.2">
      <c r="A6" s="48"/>
      <c r="B6" s="52" t="s">
        <v>3</v>
      </c>
      <c r="C6" s="52" t="s">
        <v>24</v>
      </c>
      <c r="D6" s="52" t="s">
        <v>70</v>
      </c>
      <c r="E6" s="56" t="s">
        <v>27</v>
      </c>
      <c r="F6" s="80"/>
      <c r="H6" s="65" t="s">
        <v>73</v>
      </c>
      <c r="J6" s="49">
        <v>6</v>
      </c>
    </row>
    <row r="7" spans="1:33" ht="30" x14ac:dyDescent="0.25">
      <c r="A7" s="57" t="s">
        <v>69</v>
      </c>
      <c r="B7" s="60">
        <f ca="1">OFFSET('Link to Chart'!C9,'EHS National Report Chart'!$J$6,0)</f>
        <v>0.5227408746306218</v>
      </c>
      <c r="C7" s="60">
        <f ca="1">OFFSET('Link to Chart'!F9,'EHS National Report Chart'!$J$6,0)</f>
        <v>0</v>
      </c>
      <c r="D7" s="60">
        <f ca="1">OFFSET('Link to Chart'!I9,'EHS National Report Chart'!$J$6,0)</f>
        <v>0.39286510088453924</v>
      </c>
      <c r="E7" s="60">
        <f ca="1">OFFSET('Link to Chart'!L9,'EHS National Report Chart'!$J$6,0)</f>
        <v>0.758513847478125</v>
      </c>
      <c r="F7" s="64"/>
      <c r="I7" s="1"/>
      <c r="J7" s="1"/>
    </row>
    <row r="8" spans="1:33" ht="15" x14ac:dyDescent="0.25">
      <c r="A8" s="58" t="s">
        <v>68</v>
      </c>
      <c r="B8" s="60">
        <f ca="1">OFFSET('Link to Chart'!D9,'EHS National Report Chart'!$J$6,0)</f>
        <v>0.23762438339789602</v>
      </c>
      <c r="C8" s="60">
        <f ca="1">OFFSET('Link to Chart'!G9,'EHS National Report Chart'!$J$6,0)</f>
        <v>1</v>
      </c>
      <c r="D8" s="60">
        <f ca="1">OFFSET('Link to Chart'!J9,'EHS National Report Chart'!$J$6,0)</f>
        <v>9.639048913791852E-2</v>
      </c>
      <c r="E8" s="60">
        <f ca="1">OFFSET('Link to Chart'!M9,'EHS National Report Chart'!$J$6,0)</f>
        <v>0</v>
      </c>
      <c r="F8" s="64"/>
      <c r="I8" s="1"/>
      <c r="J8" s="1"/>
    </row>
    <row r="9" spans="1:33" ht="30" x14ac:dyDescent="0.25">
      <c r="A9" s="57" t="s">
        <v>51</v>
      </c>
      <c r="B9" s="60">
        <f ca="1">OFFSET('Link to Chart'!E9,'EHS National Report Chart'!$J$6,0)</f>
        <v>0.2396347419714823</v>
      </c>
      <c r="C9" s="60">
        <f ca="1">OFFSET('Link to Chart'!H9,'EHS National Report Chart'!$J$6,0)</f>
        <v>0</v>
      </c>
      <c r="D9" s="60">
        <f ca="1">OFFSET('Link to Chart'!K9,'EHS National Report Chart'!$J$6,0)</f>
        <v>0.51074440997754222</v>
      </c>
      <c r="E9" s="60">
        <f ca="1">OFFSET('Link to Chart'!N9,'EHS National Report Chart'!$J$6,0)</f>
        <v>0.24148615252187494</v>
      </c>
      <c r="F9" s="64"/>
      <c r="I9" s="1"/>
      <c r="J9" s="1"/>
    </row>
    <row r="10" spans="1:33" ht="15" x14ac:dyDescent="0.25">
      <c r="A10" s="62"/>
      <c r="C10" s="63"/>
      <c r="I10"/>
      <c r="J10"/>
    </row>
    <row r="11" spans="1:33" ht="15" x14ac:dyDescent="0.25">
      <c r="I11" s="72" t="s">
        <v>41</v>
      </c>
      <c r="J11" s="1" t="s">
        <v>121</v>
      </c>
    </row>
    <row r="12" spans="1:33" ht="15" x14ac:dyDescent="0.25">
      <c r="A12" s="81" t="s">
        <v>116</v>
      </c>
      <c r="I12" s="72" t="s">
        <v>40</v>
      </c>
      <c r="J12" s="1" t="s">
        <v>121</v>
      </c>
    </row>
    <row r="13" spans="1:33" ht="15" x14ac:dyDescent="0.25">
      <c r="A13" s="65" t="s">
        <v>41</v>
      </c>
      <c r="B13" s="65" t="s">
        <v>40</v>
      </c>
      <c r="C13" s="65" t="s">
        <v>119</v>
      </c>
      <c r="D13" s="65" t="s">
        <v>2</v>
      </c>
      <c r="E13" s="65" t="s">
        <v>0</v>
      </c>
      <c r="F13" s="65" t="s">
        <v>124</v>
      </c>
      <c r="G13" s="65" t="s">
        <v>125</v>
      </c>
      <c r="H13" s="62"/>
      <c r="I13" s="72" t="s">
        <v>124</v>
      </c>
      <c r="J13" s="1" t="s">
        <v>121</v>
      </c>
      <c r="K13"/>
      <c r="M13"/>
      <c r="N13"/>
      <c r="O13"/>
      <c r="P13"/>
      <c r="Q13"/>
      <c r="R13"/>
      <c r="S13"/>
      <c r="T13"/>
      <c r="U13"/>
      <c r="V13"/>
      <c r="W13"/>
      <c r="X13"/>
      <c r="Y13"/>
      <c r="Z13"/>
      <c r="AA13"/>
      <c r="AB13"/>
      <c r="AC13"/>
      <c r="AD13"/>
      <c r="AE13"/>
      <c r="AF13"/>
      <c r="AG13"/>
    </row>
    <row r="14" spans="1:33" ht="15" x14ac:dyDescent="0.25">
      <c r="A14" s="62" t="s">
        <v>122</v>
      </c>
      <c r="B14" s="8" t="s">
        <v>3</v>
      </c>
      <c r="C14" s="74">
        <v>42005</v>
      </c>
      <c r="D14" s="75" t="str">
        <f>CHOOSE(MONTH(C14),"January","February","March","April","May","June","July","August","September","October","November","December")</f>
        <v>January</v>
      </c>
      <c r="E14" s="76">
        <v>2015</v>
      </c>
      <c r="F14" s="105" t="s">
        <v>5</v>
      </c>
      <c r="G14" s="1">
        <v>11150</v>
      </c>
      <c r="H14" s="25"/>
      <c r="I14" s="72" t="s">
        <v>0</v>
      </c>
      <c r="J14" s="1" t="s">
        <v>121</v>
      </c>
      <c r="K14"/>
      <c r="M14"/>
      <c r="N14"/>
      <c r="O14"/>
      <c r="P14"/>
      <c r="Q14"/>
      <c r="R14"/>
      <c r="S14"/>
      <c r="T14"/>
      <c r="U14"/>
      <c r="V14"/>
      <c r="W14"/>
      <c r="X14"/>
      <c r="Y14"/>
      <c r="Z14"/>
      <c r="AA14"/>
      <c r="AB14"/>
      <c r="AC14"/>
      <c r="AD14"/>
      <c r="AE14"/>
      <c r="AF14"/>
      <c r="AG14"/>
    </row>
    <row r="15" spans="1:33" ht="15" x14ac:dyDescent="0.25">
      <c r="A15" s="62" t="s">
        <v>122</v>
      </c>
      <c r="B15" s="8" t="s">
        <v>3</v>
      </c>
      <c r="C15" s="74">
        <v>42036</v>
      </c>
      <c r="D15" s="75" t="str">
        <f t="shared" ref="D15:D90" si="0">CHOOSE(MONTH(C15),"January","February","March","April","May","June","July","August","September","October","November","December")</f>
        <v>February</v>
      </c>
      <c r="E15" s="76">
        <v>2015</v>
      </c>
      <c r="F15" s="105" t="s">
        <v>5</v>
      </c>
      <c r="G15" s="1">
        <v>10300</v>
      </c>
      <c r="H15" s="25"/>
      <c r="I15" s="72" t="s">
        <v>119</v>
      </c>
      <c r="J15" s="1" t="s">
        <v>121</v>
      </c>
      <c r="K15"/>
      <c r="M15"/>
      <c r="N15"/>
      <c r="O15"/>
      <c r="P15"/>
      <c r="Q15"/>
      <c r="R15"/>
      <c r="S15"/>
      <c r="T15"/>
      <c r="U15"/>
      <c r="V15"/>
      <c r="W15"/>
      <c r="X15"/>
      <c r="Y15"/>
      <c r="Z15"/>
      <c r="AA15"/>
      <c r="AB15"/>
      <c r="AC15"/>
      <c r="AD15"/>
      <c r="AE15"/>
      <c r="AF15"/>
      <c r="AG15"/>
    </row>
    <row r="16" spans="1:33" ht="15" x14ac:dyDescent="0.25">
      <c r="A16" s="62" t="s">
        <v>122</v>
      </c>
      <c r="B16" s="8" t="s">
        <v>3</v>
      </c>
      <c r="C16" s="74">
        <v>42064</v>
      </c>
      <c r="D16" s="75" t="str">
        <f>CHOOSE(MONTH(C16),"January","February","March","April","May","June","July","August","September","October","November","December")</f>
        <v>March</v>
      </c>
      <c r="E16" s="76">
        <v>2015</v>
      </c>
      <c r="F16" s="105" t="s">
        <v>5</v>
      </c>
      <c r="G16" s="1">
        <v>12270</v>
      </c>
      <c r="H16" s="25"/>
      <c r="I16" s="73"/>
      <c r="J16" s="47"/>
      <c r="K16"/>
      <c r="M16"/>
      <c r="N16"/>
      <c r="O16"/>
      <c r="P16"/>
      <c r="Q16"/>
      <c r="R16"/>
      <c r="S16"/>
      <c r="T16"/>
      <c r="U16"/>
      <c r="V16"/>
      <c r="W16"/>
      <c r="X16"/>
      <c r="Y16"/>
      <c r="Z16"/>
      <c r="AA16"/>
      <c r="AB16"/>
      <c r="AC16"/>
      <c r="AD16"/>
      <c r="AE16"/>
      <c r="AF16"/>
      <c r="AG16"/>
    </row>
    <row r="17" spans="1:33" ht="15" x14ac:dyDescent="0.25">
      <c r="A17" s="62" t="s">
        <v>122</v>
      </c>
      <c r="B17" s="8" t="s">
        <v>3</v>
      </c>
      <c r="C17" s="74">
        <v>42095</v>
      </c>
      <c r="D17" s="75" t="str">
        <f t="shared" si="0"/>
        <v>April</v>
      </c>
      <c r="E17" s="76">
        <v>2015</v>
      </c>
      <c r="F17" s="105" t="s">
        <v>5</v>
      </c>
      <c r="G17" s="1">
        <v>15340</v>
      </c>
      <c r="H17" s="25"/>
      <c r="I17" s="72" t="s">
        <v>120</v>
      </c>
      <c r="J17" t="s">
        <v>126</v>
      </c>
      <c r="K17"/>
      <c r="M17"/>
      <c r="N17"/>
      <c r="O17"/>
      <c r="P17"/>
      <c r="Q17"/>
      <c r="R17"/>
      <c r="S17"/>
      <c r="T17"/>
      <c r="U17"/>
      <c r="V17"/>
      <c r="W17"/>
      <c r="X17"/>
      <c r="Y17"/>
      <c r="Z17"/>
      <c r="AA17"/>
      <c r="AB17"/>
      <c r="AC17"/>
      <c r="AD17"/>
      <c r="AE17"/>
      <c r="AF17"/>
      <c r="AG17"/>
    </row>
    <row r="18" spans="1:33" ht="15" x14ac:dyDescent="0.25">
      <c r="A18" s="62" t="s">
        <v>122</v>
      </c>
      <c r="B18" s="8" t="s">
        <v>3</v>
      </c>
      <c r="C18" s="74">
        <v>42125</v>
      </c>
      <c r="D18" s="75" t="str">
        <f t="shared" si="0"/>
        <v>May</v>
      </c>
      <c r="E18" s="76">
        <v>2015</v>
      </c>
      <c r="F18" s="105" t="s">
        <v>5</v>
      </c>
      <c r="G18" s="61">
        <v>15340</v>
      </c>
      <c r="H18" s="25"/>
      <c r="I18" s="108" t="s">
        <v>334</v>
      </c>
      <c r="J18" s="47">
        <v>85745.041400000002</v>
      </c>
      <c r="K18"/>
      <c r="M18"/>
      <c r="N18"/>
      <c r="O18"/>
      <c r="P18"/>
      <c r="Q18"/>
      <c r="R18"/>
      <c r="S18"/>
      <c r="T18"/>
      <c r="U18"/>
      <c r="V18"/>
      <c r="W18"/>
      <c r="X18"/>
      <c r="Y18"/>
      <c r="Z18"/>
      <c r="AA18"/>
      <c r="AB18"/>
      <c r="AC18"/>
      <c r="AD18"/>
      <c r="AE18"/>
      <c r="AF18"/>
      <c r="AG18"/>
    </row>
    <row r="19" spans="1:33" ht="15" x14ac:dyDescent="0.25">
      <c r="A19" s="62" t="s">
        <v>122</v>
      </c>
      <c r="B19" s="8" t="s">
        <v>3</v>
      </c>
      <c r="C19" s="74">
        <v>42156</v>
      </c>
      <c r="D19" s="75" t="str">
        <f t="shared" si="0"/>
        <v>June</v>
      </c>
      <c r="E19" s="76">
        <v>2015</v>
      </c>
      <c r="F19" s="105" t="s">
        <v>5</v>
      </c>
      <c r="G19" s="61">
        <v>12440</v>
      </c>
      <c r="H19" s="25"/>
      <c r="I19" s="108" t="s">
        <v>467</v>
      </c>
      <c r="J19" s="47">
        <v>88129.534799999994</v>
      </c>
      <c r="K19"/>
      <c r="M19"/>
      <c r="N19"/>
      <c r="O19"/>
      <c r="P19"/>
      <c r="Q19"/>
      <c r="R19"/>
      <c r="S19"/>
      <c r="T19"/>
      <c r="U19"/>
      <c r="V19"/>
      <c r="W19"/>
      <c r="X19"/>
      <c r="Y19"/>
      <c r="Z19"/>
      <c r="AA19"/>
      <c r="AB19"/>
      <c r="AC19"/>
      <c r="AD19"/>
      <c r="AE19"/>
      <c r="AF19"/>
      <c r="AG19"/>
    </row>
    <row r="20" spans="1:33" ht="15" x14ac:dyDescent="0.25">
      <c r="A20" s="62" t="s">
        <v>122</v>
      </c>
      <c r="B20" s="8" t="s">
        <v>3</v>
      </c>
      <c r="C20" s="74">
        <v>42186</v>
      </c>
      <c r="D20" s="75" t="str">
        <f t="shared" si="0"/>
        <v>July</v>
      </c>
      <c r="E20" s="76">
        <v>2015</v>
      </c>
      <c r="F20" s="105" t="s">
        <v>5</v>
      </c>
      <c r="G20" s="61">
        <v>12170</v>
      </c>
      <c r="H20" s="25"/>
      <c r="I20" s="108" t="s">
        <v>335</v>
      </c>
      <c r="J20" s="47">
        <v>89842.93</v>
      </c>
      <c r="K20"/>
      <c r="M20"/>
      <c r="N20"/>
      <c r="O20"/>
      <c r="P20"/>
      <c r="Q20"/>
      <c r="R20"/>
      <c r="S20"/>
      <c r="T20"/>
      <c r="U20"/>
      <c r="V20"/>
      <c r="W20"/>
      <c r="X20"/>
      <c r="Y20"/>
      <c r="Z20"/>
      <c r="AA20"/>
      <c r="AB20"/>
      <c r="AC20"/>
      <c r="AD20"/>
      <c r="AE20"/>
      <c r="AF20"/>
      <c r="AG20"/>
    </row>
    <row r="21" spans="1:33" ht="15" x14ac:dyDescent="0.25">
      <c r="A21" s="62" t="s">
        <v>122</v>
      </c>
      <c r="B21" s="8" t="s">
        <v>3</v>
      </c>
      <c r="C21" s="74">
        <v>42217</v>
      </c>
      <c r="D21" s="75" t="str">
        <f t="shared" si="0"/>
        <v>August</v>
      </c>
      <c r="E21" s="76">
        <v>2015</v>
      </c>
      <c r="F21" s="105" t="s">
        <v>5</v>
      </c>
      <c r="G21" s="61">
        <v>10670</v>
      </c>
      <c r="H21" s="25"/>
      <c r="I21" s="108" t="s">
        <v>468</v>
      </c>
      <c r="J21" s="47">
        <v>100545.06</v>
      </c>
      <c r="K21"/>
      <c r="M21"/>
      <c r="N21"/>
      <c r="O21"/>
      <c r="P21"/>
      <c r="Q21"/>
      <c r="R21"/>
      <c r="S21"/>
      <c r="T21"/>
      <c r="U21"/>
      <c r="V21"/>
      <c r="W21"/>
      <c r="X21"/>
      <c r="Y21"/>
      <c r="Z21"/>
      <c r="AA21"/>
      <c r="AB21"/>
      <c r="AC21"/>
      <c r="AD21"/>
      <c r="AE21"/>
      <c r="AF21"/>
      <c r="AG21"/>
    </row>
    <row r="22" spans="1:33" ht="15" x14ac:dyDescent="0.25">
      <c r="A22" s="62" t="s">
        <v>122</v>
      </c>
      <c r="B22" s="7" t="s">
        <v>3</v>
      </c>
      <c r="C22" s="74">
        <v>42248</v>
      </c>
      <c r="D22" s="75" t="str">
        <f t="shared" si="0"/>
        <v>September</v>
      </c>
      <c r="E22" s="76">
        <v>2015</v>
      </c>
      <c r="F22" s="105" t="s">
        <v>5</v>
      </c>
      <c r="G22" s="61">
        <f>9.82*1000</f>
        <v>9820</v>
      </c>
      <c r="H22" s="25"/>
      <c r="I22" s="108" t="s">
        <v>249</v>
      </c>
      <c r="J22" s="47">
        <v>93147</v>
      </c>
      <c r="K22"/>
      <c r="M22"/>
      <c r="N22"/>
      <c r="O22"/>
      <c r="P22"/>
      <c r="Q22"/>
      <c r="R22"/>
      <c r="S22"/>
      <c r="T22"/>
      <c r="U22"/>
      <c r="V22"/>
      <c r="W22"/>
      <c r="X22"/>
      <c r="Y22"/>
      <c r="Z22"/>
      <c r="AA22"/>
      <c r="AB22"/>
      <c r="AC22"/>
      <c r="AD22"/>
      <c r="AE22"/>
      <c r="AF22"/>
      <c r="AG22"/>
    </row>
    <row r="23" spans="1:33" ht="15" x14ac:dyDescent="0.25">
      <c r="A23" s="62" t="s">
        <v>122</v>
      </c>
      <c r="B23" s="7" t="s">
        <v>3</v>
      </c>
      <c r="C23" s="74">
        <v>42278</v>
      </c>
      <c r="D23" s="75" t="str">
        <f t="shared" si="0"/>
        <v>October</v>
      </c>
      <c r="E23" s="76">
        <v>2015</v>
      </c>
      <c r="F23" s="105" t="s">
        <v>5</v>
      </c>
      <c r="G23" s="61">
        <f>12.5*1000</f>
        <v>12500</v>
      </c>
      <c r="H23" s="25"/>
      <c r="I23" s="108" t="s">
        <v>257</v>
      </c>
      <c r="J23" s="47">
        <v>93907</v>
      </c>
      <c r="K23"/>
      <c r="M23"/>
      <c r="N23"/>
      <c r="O23"/>
      <c r="P23"/>
      <c r="Q23"/>
      <c r="R23"/>
      <c r="S23"/>
      <c r="T23"/>
      <c r="U23"/>
      <c r="V23"/>
      <c r="W23"/>
      <c r="X23"/>
      <c r="Y23"/>
      <c r="Z23"/>
      <c r="AA23"/>
      <c r="AB23"/>
      <c r="AC23"/>
      <c r="AD23"/>
      <c r="AE23"/>
      <c r="AF23"/>
      <c r="AG23"/>
    </row>
    <row r="24" spans="1:33" ht="15" x14ac:dyDescent="0.25">
      <c r="A24" s="62" t="s">
        <v>122</v>
      </c>
      <c r="B24" s="7" t="s">
        <v>3</v>
      </c>
      <c r="C24" s="74">
        <v>42309</v>
      </c>
      <c r="D24" s="75" t="str">
        <f>CHOOSE(MONTH(C24),"January","February","March","April","May","June","July","August","September","October","November","December")</f>
        <v>November</v>
      </c>
      <c r="E24" s="76">
        <v>2015</v>
      </c>
      <c r="F24" s="106" t="s">
        <v>5</v>
      </c>
      <c r="G24" s="61">
        <v>11920</v>
      </c>
      <c r="H24" s="25"/>
      <c r="I24" s="108" t="s">
        <v>258</v>
      </c>
      <c r="J24" s="47">
        <v>94205</v>
      </c>
      <c r="K24"/>
      <c r="M24"/>
      <c r="N24"/>
      <c r="O24"/>
      <c r="P24"/>
      <c r="Q24"/>
      <c r="R24"/>
      <c r="S24"/>
      <c r="T24"/>
      <c r="U24"/>
      <c r="V24"/>
      <c r="W24"/>
      <c r="X24"/>
      <c r="Y24"/>
      <c r="Z24"/>
      <c r="AA24"/>
      <c r="AB24"/>
      <c r="AC24"/>
      <c r="AD24"/>
      <c r="AE24"/>
      <c r="AF24"/>
      <c r="AG24"/>
    </row>
    <row r="25" spans="1:33" ht="15" x14ac:dyDescent="0.25">
      <c r="A25" s="62" t="s">
        <v>122</v>
      </c>
      <c r="B25" s="7" t="s">
        <v>3</v>
      </c>
      <c r="C25" s="74">
        <v>42339</v>
      </c>
      <c r="D25" s="75" t="str">
        <f>CHOOSE(MONTH(C25),"January","February","March","April","May","June","July","August","September","October","November","December")</f>
        <v>December</v>
      </c>
      <c r="E25" s="76">
        <v>2015</v>
      </c>
      <c r="F25" s="106" t="s">
        <v>5</v>
      </c>
      <c r="G25" s="61">
        <v>10840</v>
      </c>
      <c r="H25" s="25"/>
      <c r="I25" s="108" t="s">
        <v>259</v>
      </c>
      <c r="J25" s="47">
        <v>87634</v>
      </c>
      <c r="K25"/>
      <c r="M25"/>
      <c r="N25"/>
      <c r="O25"/>
      <c r="P25"/>
      <c r="Q25"/>
      <c r="R25"/>
      <c r="S25"/>
      <c r="T25"/>
      <c r="U25"/>
      <c r="V25"/>
      <c r="W25"/>
      <c r="X25"/>
      <c r="Y25"/>
      <c r="Z25"/>
      <c r="AA25"/>
      <c r="AB25"/>
      <c r="AC25"/>
      <c r="AD25"/>
      <c r="AE25"/>
      <c r="AF25"/>
      <c r="AG25"/>
    </row>
    <row r="26" spans="1:33" ht="15" x14ac:dyDescent="0.25">
      <c r="A26" s="102" t="s">
        <v>122</v>
      </c>
      <c r="B26" s="8" t="s">
        <v>44</v>
      </c>
      <c r="C26" s="74">
        <v>42005</v>
      </c>
      <c r="D26" s="75" t="str">
        <f t="shared" si="0"/>
        <v>January</v>
      </c>
      <c r="E26" s="76">
        <v>2015</v>
      </c>
      <c r="F26" s="105" t="s">
        <v>5</v>
      </c>
      <c r="G26" s="1">
        <v>4080</v>
      </c>
      <c r="H26" s="25"/>
      <c r="I26" s="108" t="s">
        <v>260</v>
      </c>
      <c r="J26" s="47">
        <v>97097.65</v>
      </c>
      <c r="K26"/>
      <c r="M26"/>
      <c r="N26"/>
      <c r="O26"/>
      <c r="P26"/>
      <c r="Q26"/>
      <c r="R26"/>
      <c r="S26"/>
      <c r="T26"/>
      <c r="U26"/>
      <c r="V26"/>
      <c r="W26"/>
      <c r="X26"/>
      <c r="Y26"/>
      <c r="Z26"/>
      <c r="AA26"/>
      <c r="AB26"/>
      <c r="AC26"/>
      <c r="AD26"/>
      <c r="AE26"/>
      <c r="AF26"/>
      <c r="AG26"/>
    </row>
    <row r="27" spans="1:33" ht="15" x14ac:dyDescent="0.25">
      <c r="A27" s="102" t="s">
        <v>122</v>
      </c>
      <c r="B27" s="8" t="s">
        <v>44</v>
      </c>
      <c r="C27" s="74">
        <v>42036</v>
      </c>
      <c r="D27" s="75" t="str">
        <f t="shared" si="0"/>
        <v>February</v>
      </c>
      <c r="E27" s="76">
        <v>2015</v>
      </c>
      <c r="F27" s="105" t="s">
        <v>5</v>
      </c>
      <c r="G27" s="1">
        <v>3630</v>
      </c>
      <c r="H27" s="25"/>
      <c r="I27" s="108" t="s">
        <v>261</v>
      </c>
      <c r="J27" s="47">
        <v>101972</v>
      </c>
      <c r="K27"/>
      <c r="M27"/>
    </row>
    <row r="28" spans="1:33" ht="15" x14ac:dyDescent="0.25">
      <c r="A28" s="102" t="s">
        <v>122</v>
      </c>
      <c r="B28" s="8" t="s">
        <v>44</v>
      </c>
      <c r="C28" s="74">
        <v>42064</v>
      </c>
      <c r="D28" s="75" t="str">
        <f t="shared" si="0"/>
        <v>March</v>
      </c>
      <c r="E28" s="76">
        <v>2015</v>
      </c>
      <c r="F28" s="105" t="s">
        <v>5</v>
      </c>
      <c r="G28" s="1">
        <v>4080</v>
      </c>
      <c r="H28" s="25"/>
      <c r="I28" s="108" t="s">
        <v>336</v>
      </c>
      <c r="J28" s="47">
        <v>100035</v>
      </c>
      <c r="K28"/>
      <c r="M28"/>
    </row>
    <row r="29" spans="1:33" ht="15" x14ac:dyDescent="0.25">
      <c r="A29" s="102" t="s">
        <v>122</v>
      </c>
      <c r="B29" s="8" t="s">
        <v>44</v>
      </c>
      <c r="C29" s="74">
        <v>42095</v>
      </c>
      <c r="D29" s="75" t="str">
        <f t="shared" si="0"/>
        <v>April</v>
      </c>
      <c r="E29" s="76">
        <v>2015</v>
      </c>
      <c r="F29" s="105" t="s">
        <v>5</v>
      </c>
      <c r="G29" s="1">
        <v>4080</v>
      </c>
      <c r="H29" s="25"/>
      <c r="I29" s="108" t="s">
        <v>337</v>
      </c>
      <c r="J29" s="47">
        <v>62420</v>
      </c>
      <c r="K29"/>
      <c r="M29"/>
    </row>
    <row r="30" spans="1:33" ht="15" x14ac:dyDescent="0.25">
      <c r="A30" s="102" t="s">
        <v>122</v>
      </c>
      <c r="B30" s="8" t="s">
        <v>44</v>
      </c>
      <c r="C30" s="74">
        <v>42125</v>
      </c>
      <c r="D30" s="75" t="str">
        <f t="shared" si="0"/>
        <v>May</v>
      </c>
      <c r="E30" s="76">
        <v>2015</v>
      </c>
      <c r="F30" s="105" t="s">
        <v>5</v>
      </c>
      <c r="G30" s="61">
        <v>3630</v>
      </c>
      <c r="H30" s="25"/>
      <c r="I30" s="108" t="s">
        <v>53</v>
      </c>
      <c r="J30" s="47">
        <v>1094680.2162000001</v>
      </c>
      <c r="K30"/>
      <c r="M30"/>
    </row>
    <row r="31" spans="1:33" ht="15" x14ac:dyDescent="0.25">
      <c r="A31" s="102" t="s">
        <v>122</v>
      </c>
      <c r="B31" s="8" t="s">
        <v>44</v>
      </c>
      <c r="C31" s="74">
        <v>42156</v>
      </c>
      <c r="D31" s="75" t="str">
        <f t="shared" si="0"/>
        <v>June</v>
      </c>
      <c r="E31" s="76">
        <v>2015</v>
      </c>
      <c r="F31" s="105" t="s">
        <v>5</v>
      </c>
      <c r="G31" s="61">
        <v>4080</v>
      </c>
      <c r="H31" s="25"/>
      <c r="I31"/>
      <c r="J31"/>
      <c r="K31"/>
    </row>
    <row r="32" spans="1:33" ht="15" x14ac:dyDescent="0.25">
      <c r="A32" s="102" t="s">
        <v>122</v>
      </c>
      <c r="B32" s="8" t="s">
        <v>44</v>
      </c>
      <c r="C32" s="74">
        <v>42186</v>
      </c>
      <c r="D32" s="75" t="str">
        <f t="shared" si="0"/>
        <v>July</v>
      </c>
      <c r="E32" s="76">
        <v>2015</v>
      </c>
      <c r="F32" s="105" t="s">
        <v>5</v>
      </c>
      <c r="G32" s="61">
        <v>4080</v>
      </c>
      <c r="H32" s="25"/>
      <c r="I32"/>
      <c r="J32"/>
      <c r="K32"/>
    </row>
    <row r="33" spans="1:11" ht="15" x14ac:dyDescent="0.25">
      <c r="A33" s="102" t="s">
        <v>122</v>
      </c>
      <c r="B33" s="8" t="s">
        <v>44</v>
      </c>
      <c r="C33" s="74">
        <v>42217</v>
      </c>
      <c r="D33" s="75" t="str">
        <f t="shared" si="0"/>
        <v>August</v>
      </c>
      <c r="E33" s="76">
        <v>2015</v>
      </c>
      <c r="F33" s="105" t="s">
        <v>5</v>
      </c>
      <c r="G33" s="61">
        <v>4080</v>
      </c>
      <c r="H33" s="25"/>
      <c r="I33"/>
      <c r="J33"/>
      <c r="K33"/>
    </row>
    <row r="34" spans="1:11" ht="15" x14ac:dyDescent="0.25">
      <c r="A34" s="62" t="s">
        <v>122</v>
      </c>
      <c r="B34" s="8" t="s">
        <v>44</v>
      </c>
      <c r="C34" s="74">
        <v>42248</v>
      </c>
      <c r="D34" s="75" t="str">
        <f t="shared" si="0"/>
        <v>September</v>
      </c>
      <c r="E34" s="76">
        <v>2015</v>
      </c>
      <c r="F34" s="105" t="s">
        <v>5</v>
      </c>
      <c r="G34" s="61">
        <v>3630</v>
      </c>
      <c r="H34" s="25"/>
      <c r="I34"/>
      <c r="J34"/>
      <c r="K34"/>
    </row>
    <row r="35" spans="1:11" ht="15" x14ac:dyDescent="0.25">
      <c r="A35" s="62" t="s">
        <v>122</v>
      </c>
      <c r="B35" s="8" t="s">
        <v>44</v>
      </c>
      <c r="C35" s="74">
        <v>42278</v>
      </c>
      <c r="D35" s="75" t="str">
        <f t="shared" si="0"/>
        <v>October</v>
      </c>
      <c r="E35" s="76">
        <v>2015</v>
      </c>
      <c r="F35" s="105" t="s">
        <v>5</v>
      </c>
      <c r="G35" s="61">
        <v>4080</v>
      </c>
      <c r="H35" s="25"/>
      <c r="I35" s="25"/>
      <c r="J35" s="62"/>
    </row>
    <row r="36" spans="1:11" ht="15" x14ac:dyDescent="0.25">
      <c r="A36" s="102" t="s">
        <v>122</v>
      </c>
      <c r="B36" s="8" t="s">
        <v>44</v>
      </c>
      <c r="C36" s="74">
        <v>42309</v>
      </c>
      <c r="D36" s="75" t="str">
        <f>CHOOSE(MONTH(C36),"January","February","March","April","May","June","July","August","September","October","November","December")</f>
        <v>November</v>
      </c>
      <c r="E36" s="76">
        <v>2015</v>
      </c>
      <c r="F36" s="105" t="s">
        <v>5</v>
      </c>
      <c r="G36" s="61">
        <v>4080</v>
      </c>
      <c r="H36" s="25"/>
      <c r="I36" s="25"/>
      <c r="J36" s="62"/>
    </row>
    <row r="37" spans="1:11" ht="15" x14ac:dyDescent="0.25">
      <c r="A37" s="62" t="s">
        <v>122</v>
      </c>
      <c r="B37" s="8" t="s">
        <v>44</v>
      </c>
      <c r="C37" s="74">
        <v>42339</v>
      </c>
      <c r="D37" s="75" t="str">
        <f>CHOOSE(MONTH(C37),"January","February","March","April","May","June","July","August","September","October","November","December")</f>
        <v>December</v>
      </c>
      <c r="E37" s="76">
        <v>2015</v>
      </c>
      <c r="F37" s="106" t="s">
        <v>5</v>
      </c>
      <c r="G37" s="61">
        <v>4080</v>
      </c>
      <c r="H37" s="25"/>
      <c r="I37" s="25"/>
      <c r="J37" s="62"/>
    </row>
    <row r="38" spans="1:11" ht="15" x14ac:dyDescent="0.25">
      <c r="A38" s="62" t="s">
        <v>122</v>
      </c>
      <c r="B38" s="8" t="s">
        <v>27</v>
      </c>
      <c r="C38" s="74">
        <v>42005</v>
      </c>
      <c r="D38" s="75" t="str">
        <f t="shared" si="0"/>
        <v>January</v>
      </c>
      <c r="E38" s="76">
        <v>2015</v>
      </c>
      <c r="F38" s="105" t="s">
        <v>5</v>
      </c>
      <c r="G38" s="1">
        <v>1550</v>
      </c>
      <c r="H38" s="25"/>
      <c r="I38" s="25"/>
      <c r="J38" s="62"/>
    </row>
    <row r="39" spans="1:11" ht="15" x14ac:dyDescent="0.25">
      <c r="A39" s="62" t="s">
        <v>122</v>
      </c>
      <c r="B39" s="8" t="s">
        <v>27</v>
      </c>
      <c r="C39" s="74">
        <v>42036</v>
      </c>
      <c r="D39" s="75" t="str">
        <f t="shared" si="0"/>
        <v>February</v>
      </c>
      <c r="E39" s="76">
        <v>2015</v>
      </c>
      <c r="F39" s="105" t="s">
        <v>5</v>
      </c>
      <c r="G39" s="1">
        <v>1240</v>
      </c>
      <c r="H39" s="25"/>
      <c r="I39" s="25"/>
      <c r="J39" s="62"/>
    </row>
    <row r="40" spans="1:11" ht="15" x14ac:dyDescent="0.25">
      <c r="A40" s="62" t="s">
        <v>122</v>
      </c>
      <c r="B40" s="8" t="s">
        <v>27</v>
      </c>
      <c r="C40" s="74">
        <v>42064</v>
      </c>
      <c r="D40" s="75" t="str">
        <f t="shared" si="0"/>
        <v>March</v>
      </c>
      <c r="E40" s="76">
        <v>2015</v>
      </c>
      <c r="F40" s="105" t="s">
        <v>5</v>
      </c>
      <c r="G40" s="1">
        <v>1240</v>
      </c>
      <c r="H40" s="25"/>
      <c r="I40" s="25"/>
      <c r="J40" s="62"/>
    </row>
    <row r="41" spans="1:11" ht="15" x14ac:dyDescent="0.25">
      <c r="A41" s="62" t="s">
        <v>122</v>
      </c>
      <c r="B41" s="8" t="s">
        <v>27</v>
      </c>
      <c r="C41" s="74">
        <v>42095</v>
      </c>
      <c r="D41" s="75" t="str">
        <f t="shared" si="0"/>
        <v>April</v>
      </c>
      <c r="E41" s="76">
        <v>2015</v>
      </c>
      <c r="F41" s="105" t="s">
        <v>5</v>
      </c>
      <c r="G41" s="1">
        <v>1550</v>
      </c>
      <c r="H41" s="25"/>
      <c r="I41" s="25"/>
      <c r="J41" s="62"/>
    </row>
    <row r="42" spans="1:11" ht="15" x14ac:dyDescent="0.25">
      <c r="A42" s="62" t="s">
        <v>122</v>
      </c>
      <c r="B42" s="8" t="s">
        <v>27</v>
      </c>
      <c r="C42" s="74">
        <v>42125</v>
      </c>
      <c r="D42" s="75" t="str">
        <f t="shared" si="0"/>
        <v>May</v>
      </c>
      <c r="E42" s="76">
        <v>2015</v>
      </c>
      <c r="F42" s="105" t="s">
        <v>5</v>
      </c>
      <c r="G42" s="61">
        <v>1240</v>
      </c>
      <c r="H42" s="25"/>
      <c r="I42" s="25"/>
      <c r="J42" s="62"/>
    </row>
    <row r="43" spans="1:11" ht="15" x14ac:dyDescent="0.25">
      <c r="A43" s="62" t="s">
        <v>122</v>
      </c>
      <c r="B43" s="8" t="s">
        <v>27</v>
      </c>
      <c r="C43" s="74">
        <v>42156</v>
      </c>
      <c r="D43" s="75" t="str">
        <f t="shared" si="0"/>
        <v>June</v>
      </c>
      <c r="E43" s="76">
        <v>2015</v>
      </c>
      <c r="F43" s="105" t="s">
        <v>5</v>
      </c>
      <c r="G43" s="61">
        <v>1240</v>
      </c>
      <c r="H43" s="25"/>
      <c r="I43" s="25"/>
      <c r="J43" s="62"/>
    </row>
    <row r="44" spans="1:11" ht="15" x14ac:dyDescent="0.25">
      <c r="A44" s="62" t="s">
        <v>122</v>
      </c>
      <c r="B44" s="8" t="s">
        <v>27</v>
      </c>
      <c r="C44" s="74">
        <v>42186</v>
      </c>
      <c r="D44" s="75" t="str">
        <f t="shared" si="0"/>
        <v>July</v>
      </c>
      <c r="E44" s="76">
        <v>2015</v>
      </c>
      <c r="F44" s="105" t="s">
        <v>5</v>
      </c>
      <c r="G44" s="61">
        <v>1550</v>
      </c>
      <c r="H44" s="25"/>
      <c r="I44" s="25"/>
      <c r="J44" s="62"/>
    </row>
    <row r="45" spans="1:11" ht="15" x14ac:dyDescent="0.25">
      <c r="A45" s="62" t="s">
        <v>122</v>
      </c>
      <c r="B45" s="8" t="s">
        <v>27</v>
      </c>
      <c r="C45" s="74">
        <v>42217</v>
      </c>
      <c r="D45" s="75" t="str">
        <f t="shared" si="0"/>
        <v>August</v>
      </c>
      <c r="E45" s="76">
        <v>2015</v>
      </c>
      <c r="F45" s="105" t="s">
        <v>5</v>
      </c>
      <c r="G45" s="61">
        <v>1240</v>
      </c>
      <c r="H45" s="25"/>
      <c r="I45" s="25"/>
      <c r="J45" s="62"/>
    </row>
    <row r="46" spans="1:11" ht="15" x14ac:dyDescent="0.25">
      <c r="A46" s="62" t="s">
        <v>122</v>
      </c>
      <c r="B46" s="8" t="s">
        <v>27</v>
      </c>
      <c r="C46" s="74">
        <v>42248</v>
      </c>
      <c r="D46" s="75" t="str">
        <f t="shared" si="0"/>
        <v>September</v>
      </c>
      <c r="E46" s="76">
        <v>2015</v>
      </c>
      <c r="F46" s="105" t="s">
        <v>5</v>
      </c>
      <c r="G46" s="61">
        <v>1240</v>
      </c>
      <c r="H46" s="25"/>
      <c r="I46" s="25"/>
      <c r="J46" s="62"/>
    </row>
    <row r="47" spans="1:11" ht="15" x14ac:dyDescent="0.25">
      <c r="A47" s="62" t="s">
        <v>122</v>
      </c>
      <c r="B47" s="7" t="s">
        <v>27</v>
      </c>
      <c r="C47" s="74">
        <v>42278</v>
      </c>
      <c r="D47" s="75" t="str">
        <f t="shared" si="0"/>
        <v>October</v>
      </c>
      <c r="E47" s="76">
        <v>2015</v>
      </c>
      <c r="F47" s="105" t="s">
        <v>5</v>
      </c>
      <c r="G47" s="61">
        <v>1550</v>
      </c>
      <c r="H47" s="25"/>
      <c r="I47" s="25"/>
      <c r="J47" s="62"/>
    </row>
    <row r="48" spans="1:11" ht="15" x14ac:dyDescent="0.25">
      <c r="A48" s="102" t="s">
        <v>122</v>
      </c>
      <c r="B48" s="7" t="s">
        <v>27</v>
      </c>
      <c r="C48" s="74">
        <v>42309</v>
      </c>
      <c r="D48" s="75" t="str">
        <f>CHOOSE(MONTH(C48),"January","February","March","April","May","June","July","August","September","October","November","December")</f>
        <v>November</v>
      </c>
      <c r="E48" s="76">
        <v>2015</v>
      </c>
      <c r="F48" s="105" t="s">
        <v>5</v>
      </c>
      <c r="G48" s="61">
        <v>1240</v>
      </c>
      <c r="H48" s="25"/>
      <c r="I48" s="25"/>
      <c r="J48" s="62"/>
    </row>
    <row r="49" spans="1:10" ht="15" x14ac:dyDescent="0.25">
      <c r="A49" s="62" t="s">
        <v>122</v>
      </c>
      <c r="B49" s="7" t="s">
        <v>27</v>
      </c>
      <c r="C49" s="74">
        <v>42339</v>
      </c>
      <c r="D49" s="75" t="str">
        <f>CHOOSE(MONTH(C49),"January","February","March","April","May","June","July","August","September","October","November","December")</f>
        <v>December</v>
      </c>
      <c r="E49" s="76">
        <v>2015</v>
      </c>
      <c r="F49" s="106" t="s">
        <v>5</v>
      </c>
      <c r="G49" s="61">
        <v>1550</v>
      </c>
      <c r="H49" s="62"/>
      <c r="I49" s="25"/>
      <c r="J49" s="62"/>
    </row>
    <row r="50" spans="1:10" ht="15" x14ac:dyDescent="0.25">
      <c r="A50" s="62" t="s">
        <v>122</v>
      </c>
      <c r="B50" s="8" t="s">
        <v>3</v>
      </c>
      <c r="C50" s="74">
        <v>42005</v>
      </c>
      <c r="D50" s="75" t="str">
        <f>CHOOSE(MONTH(C50),"January","February","March","April","May","June","July","August","September","October","November","December")</f>
        <v>January</v>
      </c>
      <c r="E50" s="76">
        <v>2015</v>
      </c>
      <c r="F50" s="107" t="s">
        <v>6</v>
      </c>
      <c r="G50" s="7">
        <v>3040</v>
      </c>
      <c r="H50" s="62"/>
      <c r="I50" s="25"/>
      <c r="J50" s="62"/>
    </row>
    <row r="51" spans="1:10" ht="15" x14ac:dyDescent="0.25">
      <c r="A51" s="62" t="s">
        <v>122</v>
      </c>
      <c r="B51" s="8" t="s">
        <v>3</v>
      </c>
      <c r="C51" s="74">
        <v>42036</v>
      </c>
      <c r="D51" s="75" t="str">
        <f t="shared" si="0"/>
        <v>February</v>
      </c>
      <c r="E51" s="76">
        <v>2015</v>
      </c>
      <c r="F51" s="107" t="s">
        <v>6</v>
      </c>
      <c r="G51" s="7">
        <v>6170</v>
      </c>
      <c r="H51" s="62"/>
      <c r="I51" s="25"/>
      <c r="J51" s="62"/>
    </row>
    <row r="52" spans="1:10" ht="15" x14ac:dyDescent="0.25">
      <c r="A52" s="62" t="s">
        <v>122</v>
      </c>
      <c r="B52" s="8" t="s">
        <v>3</v>
      </c>
      <c r="C52" s="74">
        <v>42064</v>
      </c>
      <c r="D52" s="75" t="str">
        <f t="shared" si="0"/>
        <v>March</v>
      </c>
      <c r="E52" s="76">
        <v>2015</v>
      </c>
      <c r="F52" s="107" t="s">
        <v>6</v>
      </c>
      <c r="G52" s="7">
        <v>3400</v>
      </c>
      <c r="H52" s="62"/>
      <c r="I52" s="25"/>
      <c r="J52" s="62"/>
    </row>
    <row r="53" spans="1:10" ht="15" x14ac:dyDescent="0.25">
      <c r="A53" s="62" t="s">
        <v>122</v>
      </c>
      <c r="B53" s="8" t="s">
        <v>3</v>
      </c>
      <c r="C53" s="74">
        <v>42095</v>
      </c>
      <c r="D53" s="75" t="str">
        <f t="shared" si="0"/>
        <v>April</v>
      </c>
      <c r="E53" s="76">
        <v>2015</v>
      </c>
      <c r="F53" s="107" t="s">
        <v>6</v>
      </c>
      <c r="G53" s="7">
        <v>2860</v>
      </c>
      <c r="H53" s="62"/>
      <c r="I53" s="25"/>
      <c r="J53" s="62"/>
    </row>
    <row r="54" spans="1:10" ht="15" x14ac:dyDescent="0.25">
      <c r="A54" s="62" t="s">
        <v>122</v>
      </c>
      <c r="B54" s="8" t="s">
        <v>3</v>
      </c>
      <c r="C54" s="74">
        <v>42125</v>
      </c>
      <c r="D54" s="75" t="str">
        <f t="shared" si="0"/>
        <v>May</v>
      </c>
      <c r="E54" s="76">
        <v>2015</v>
      </c>
      <c r="F54" s="107" t="s">
        <v>6</v>
      </c>
      <c r="G54" s="7">
        <v>2630</v>
      </c>
      <c r="H54" s="62"/>
      <c r="I54" s="25"/>
      <c r="J54" s="62"/>
    </row>
    <row r="55" spans="1:10" ht="15" x14ac:dyDescent="0.25">
      <c r="A55" s="62" t="s">
        <v>122</v>
      </c>
      <c r="B55" s="8" t="s">
        <v>3</v>
      </c>
      <c r="C55" s="74">
        <v>42156</v>
      </c>
      <c r="D55" s="75" t="str">
        <f t="shared" si="0"/>
        <v>June</v>
      </c>
      <c r="E55" s="76">
        <v>2015</v>
      </c>
      <c r="F55" s="107" t="s">
        <v>6</v>
      </c>
      <c r="G55" s="7">
        <v>3670</v>
      </c>
    </row>
    <row r="56" spans="1:10" ht="15" x14ac:dyDescent="0.25">
      <c r="A56" s="62" t="s">
        <v>122</v>
      </c>
      <c r="B56" s="8" t="s">
        <v>3</v>
      </c>
      <c r="C56" s="74">
        <v>42186</v>
      </c>
      <c r="D56" s="75" t="str">
        <f t="shared" si="0"/>
        <v>July</v>
      </c>
      <c r="E56" s="76">
        <v>2015</v>
      </c>
      <c r="F56" s="107" t="s">
        <v>6</v>
      </c>
      <c r="G56" s="7">
        <v>3180</v>
      </c>
    </row>
    <row r="57" spans="1:10" ht="15" x14ac:dyDescent="0.25">
      <c r="A57" s="62" t="s">
        <v>122</v>
      </c>
      <c r="B57" s="8" t="s">
        <v>3</v>
      </c>
      <c r="C57" s="74">
        <v>42217</v>
      </c>
      <c r="D57" s="75" t="str">
        <f t="shared" si="0"/>
        <v>August</v>
      </c>
      <c r="E57" s="76">
        <v>2015</v>
      </c>
      <c r="F57" s="107" t="s">
        <v>6</v>
      </c>
      <c r="G57" s="7">
        <v>3250</v>
      </c>
      <c r="H57" s="25"/>
      <c r="I57" s="62"/>
    </row>
    <row r="58" spans="1:10" ht="15" x14ac:dyDescent="0.25">
      <c r="A58" s="62" t="s">
        <v>122</v>
      </c>
      <c r="B58" s="7" t="s">
        <v>3</v>
      </c>
      <c r="C58" s="74">
        <v>42248</v>
      </c>
      <c r="D58" s="75" t="str">
        <f t="shared" si="0"/>
        <v>September</v>
      </c>
      <c r="E58" s="76">
        <v>2015</v>
      </c>
      <c r="F58" s="107" t="s">
        <v>6</v>
      </c>
      <c r="G58" s="7">
        <f>3.82*1000</f>
        <v>3820</v>
      </c>
      <c r="H58" s="25"/>
      <c r="I58" s="62"/>
    </row>
    <row r="59" spans="1:10" ht="15" x14ac:dyDescent="0.25">
      <c r="A59" s="62" t="s">
        <v>122</v>
      </c>
      <c r="B59" s="7" t="s">
        <v>3</v>
      </c>
      <c r="C59" s="74">
        <v>42278</v>
      </c>
      <c r="D59" s="75" t="str">
        <f t="shared" si="0"/>
        <v>October</v>
      </c>
      <c r="E59" s="76">
        <v>2015</v>
      </c>
      <c r="F59" s="107" t="s">
        <v>6</v>
      </c>
      <c r="G59" s="7">
        <f>4.4*1000</f>
        <v>4400</v>
      </c>
      <c r="H59" s="62"/>
      <c r="I59" s="62"/>
    </row>
    <row r="60" spans="1:10" ht="15" x14ac:dyDescent="0.25">
      <c r="A60" s="102" t="s">
        <v>122</v>
      </c>
      <c r="B60" s="7" t="s">
        <v>3</v>
      </c>
      <c r="C60" s="74">
        <v>42309</v>
      </c>
      <c r="D60" s="75" t="str">
        <f>CHOOSE(MONTH(C60),"January","February","March","April","May","June","July","August","September","October","November","December")</f>
        <v>November</v>
      </c>
      <c r="E60" s="76">
        <v>2015</v>
      </c>
      <c r="F60" s="106" t="s">
        <v>6</v>
      </c>
      <c r="G60" s="7">
        <v>3570</v>
      </c>
      <c r="H60" s="62"/>
      <c r="I60" s="62"/>
    </row>
    <row r="61" spans="1:10" ht="15" x14ac:dyDescent="0.25">
      <c r="A61" s="62" t="s">
        <v>122</v>
      </c>
      <c r="B61" s="7" t="s">
        <v>3</v>
      </c>
      <c r="C61" s="74">
        <v>42339</v>
      </c>
      <c r="D61" s="75" t="str">
        <f t="shared" ref="D61:D71" si="1">CHOOSE(MONTH(C61),"January","February","March","April","May","June","July","August","September","October","November","December")</f>
        <v>December</v>
      </c>
      <c r="E61" s="76">
        <v>2015</v>
      </c>
      <c r="F61" s="106" t="s">
        <v>6</v>
      </c>
      <c r="G61" s="7">
        <v>3550</v>
      </c>
      <c r="H61" s="62"/>
      <c r="I61" s="62"/>
    </row>
    <row r="62" spans="1:10" ht="15" x14ac:dyDescent="0.25">
      <c r="A62" s="102" t="s">
        <v>123</v>
      </c>
      <c r="B62" s="7" t="s">
        <v>24</v>
      </c>
      <c r="C62" s="74">
        <v>42005</v>
      </c>
      <c r="D62" s="75" t="str">
        <f t="shared" si="1"/>
        <v>January</v>
      </c>
      <c r="E62" s="76">
        <v>2015</v>
      </c>
      <c r="F62" s="106" t="s">
        <v>6</v>
      </c>
      <c r="G62" s="7">
        <v>1280</v>
      </c>
      <c r="H62" s="62"/>
      <c r="I62" s="62"/>
    </row>
    <row r="63" spans="1:10" ht="15" x14ac:dyDescent="0.25">
      <c r="A63" s="102" t="s">
        <v>123</v>
      </c>
      <c r="B63" s="7" t="s">
        <v>24</v>
      </c>
      <c r="C63" s="74">
        <v>42036</v>
      </c>
      <c r="D63" s="75" t="str">
        <f t="shared" si="1"/>
        <v>February</v>
      </c>
      <c r="E63" s="76">
        <v>2015</v>
      </c>
      <c r="F63" s="106" t="s">
        <v>6</v>
      </c>
      <c r="G63" s="1">
        <v>3680</v>
      </c>
      <c r="H63" s="62"/>
      <c r="I63" s="62"/>
    </row>
    <row r="64" spans="1:10" ht="15" x14ac:dyDescent="0.25">
      <c r="A64" s="102" t="s">
        <v>123</v>
      </c>
      <c r="B64" s="7" t="s">
        <v>24</v>
      </c>
      <c r="C64" s="74">
        <v>42064</v>
      </c>
      <c r="D64" s="75" t="str">
        <f t="shared" si="1"/>
        <v>March</v>
      </c>
      <c r="E64" s="76">
        <v>2015</v>
      </c>
      <c r="F64" s="106" t="s">
        <v>6</v>
      </c>
      <c r="G64" s="1">
        <f>1.55*1000</f>
        <v>1550</v>
      </c>
      <c r="H64" s="62"/>
      <c r="I64" s="62"/>
    </row>
    <row r="65" spans="1:9" ht="15" x14ac:dyDescent="0.25">
      <c r="A65" s="102" t="s">
        <v>123</v>
      </c>
      <c r="B65" s="7" t="s">
        <v>24</v>
      </c>
      <c r="C65" s="74">
        <v>42095</v>
      </c>
      <c r="D65" s="75" t="str">
        <f t="shared" ref="D65:D70" si="2">CHOOSE(MONTH(C65),"January","February","March","April","May","June","July","August","September","October","November","December")</f>
        <v>April</v>
      </c>
      <c r="E65" s="76">
        <v>2015</v>
      </c>
      <c r="F65" s="106" t="s">
        <v>6</v>
      </c>
      <c r="G65" s="1">
        <v>1690</v>
      </c>
      <c r="H65" s="62"/>
      <c r="I65" s="62"/>
    </row>
    <row r="66" spans="1:9" ht="15" x14ac:dyDescent="0.25">
      <c r="A66" s="102" t="s">
        <v>123</v>
      </c>
      <c r="B66" s="7" t="s">
        <v>24</v>
      </c>
      <c r="C66" s="74">
        <v>42125</v>
      </c>
      <c r="D66" s="75" t="str">
        <f t="shared" si="2"/>
        <v>May</v>
      </c>
      <c r="E66" s="76">
        <v>2015</v>
      </c>
      <c r="F66" s="106" t="s">
        <v>6</v>
      </c>
      <c r="G66" s="61">
        <v>1630</v>
      </c>
      <c r="H66" s="62"/>
      <c r="I66" s="62"/>
    </row>
    <row r="67" spans="1:9" ht="15" x14ac:dyDescent="0.25">
      <c r="A67" s="102" t="s">
        <v>123</v>
      </c>
      <c r="B67" s="7" t="s">
        <v>24</v>
      </c>
      <c r="C67" s="74">
        <v>42156</v>
      </c>
      <c r="D67" s="75" t="str">
        <f t="shared" si="2"/>
        <v>June</v>
      </c>
      <c r="E67" s="76">
        <v>2015</v>
      </c>
      <c r="F67" s="106" t="s">
        <v>6</v>
      </c>
      <c r="G67" s="61">
        <v>1810</v>
      </c>
      <c r="H67" s="62"/>
      <c r="I67" s="62"/>
    </row>
    <row r="68" spans="1:9" ht="15" x14ac:dyDescent="0.25">
      <c r="A68" s="102" t="s">
        <v>123</v>
      </c>
      <c r="B68" s="7" t="s">
        <v>24</v>
      </c>
      <c r="C68" s="74">
        <v>42186</v>
      </c>
      <c r="D68" s="75" t="str">
        <f t="shared" si="2"/>
        <v>July</v>
      </c>
      <c r="E68" s="76">
        <v>2015</v>
      </c>
      <c r="F68" s="106" t="s">
        <v>6</v>
      </c>
      <c r="G68" s="61">
        <v>1980</v>
      </c>
      <c r="H68" s="62"/>
      <c r="I68" s="62"/>
    </row>
    <row r="69" spans="1:9" ht="15" x14ac:dyDescent="0.25">
      <c r="A69" s="102" t="s">
        <v>123</v>
      </c>
      <c r="B69" s="7" t="s">
        <v>24</v>
      </c>
      <c r="C69" s="74">
        <v>42217</v>
      </c>
      <c r="D69" s="75" t="str">
        <f t="shared" si="2"/>
        <v>August</v>
      </c>
      <c r="E69" s="76">
        <v>2015</v>
      </c>
      <c r="F69" s="106" t="s">
        <v>6</v>
      </c>
      <c r="G69" s="61">
        <v>1660</v>
      </c>
      <c r="H69" s="62"/>
      <c r="I69" s="62"/>
    </row>
    <row r="70" spans="1:9" ht="15" x14ac:dyDescent="0.25">
      <c r="A70" s="102" t="s">
        <v>123</v>
      </c>
      <c r="B70" s="7" t="s">
        <v>24</v>
      </c>
      <c r="C70" s="74">
        <v>42248</v>
      </c>
      <c r="D70" s="75" t="str">
        <f t="shared" si="2"/>
        <v>September</v>
      </c>
      <c r="E70" s="76">
        <v>2015</v>
      </c>
      <c r="F70" s="106" t="s">
        <v>6</v>
      </c>
      <c r="G70" s="61">
        <v>1980</v>
      </c>
      <c r="H70" s="62"/>
      <c r="I70" s="62"/>
    </row>
    <row r="71" spans="1:9" ht="15" x14ac:dyDescent="0.25">
      <c r="A71" s="102" t="s">
        <v>123</v>
      </c>
      <c r="B71" s="7" t="s">
        <v>24</v>
      </c>
      <c r="C71" s="74">
        <v>42278</v>
      </c>
      <c r="D71" s="75" t="str">
        <f t="shared" si="1"/>
        <v>October</v>
      </c>
      <c r="E71" s="76">
        <v>2015</v>
      </c>
      <c r="F71" s="106" t="s">
        <v>6</v>
      </c>
      <c r="G71" s="61">
        <v>1200</v>
      </c>
      <c r="H71" s="62"/>
      <c r="I71" s="62"/>
    </row>
    <row r="72" spans="1:9" ht="15" x14ac:dyDescent="0.25">
      <c r="A72" s="102" t="s">
        <v>123</v>
      </c>
      <c r="B72" s="7" t="s">
        <v>24</v>
      </c>
      <c r="C72" s="74">
        <v>42309</v>
      </c>
      <c r="D72" s="75" t="str">
        <f>CHOOSE(MONTH(C72),"January","February","March","April","May","June","July","August","September","October","November","December")</f>
        <v>November</v>
      </c>
      <c r="E72" s="76">
        <v>2015</v>
      </c>
      <c r="F72" s="106" t="s">
        <v>6</v>
      </c>
      <c r="G72" s="61">
        <v>2320</v>
      </c>
      <c r="H72" s="62"/>
      <c r="I72" s="62"/>
    </row>
    <row r="73" spans="1:9" ht="15" x14ac:dyDescent="0.25">
      <c r="A73" s="102" t="s">
        <v>123</v>
      </c>
      <c r="B73" s="7" t="s">
        <v>24</v>
      </c>
      <c r="C73" s="74">
        <v>42339</v>
      </c>
      <c r="D73" s="75" t="str">
        <f>CHOOSE(MONTH(C73),"January","February","March","April","May","June","July","August","September","October","November","December")</f>
        <v>December</v>
      </c>
      <c r="E73" s="76">
        <v>2015</v>
      </c>
      <c r="F73" s="106" t="s">
        <v>6</v>
      </c>
      <c r="G73" s="7"/>
      <c r="H73" s="62"/>
      <c r="I73" s="62"/>
    </row>
    <row r="74" spans="1:9" ht="15" x14ac:dyDescent="0.25">
      <c r="A74" s="62" t="s">
        <v>122</v>
      </c>
      <c r="B74" s="8" t="s">
        <v>44</v>
      </c>
      <c r="C74" s="74">
        <v>42005</v>
      </c>
      <c r="D74" s="75" t="str">
        <f t="shared" si="0"/>
        <v>January</v>
      </c>
      <c r="E74" s="76">
        <v>2015</v>
      </c>
      <c r="F74" s="107" t="s">
        <v>6</v>
      </c>
      <c r="G74" s="7">
        <v>840</v>
      </c>
      <c r="H74" s="62"/>
      <c r="I74" s="62"/>
    </row>
    <row r="75" spans="1:9" ht="15" x14ac:dyDescent="0.25">
      <c r="A75" s="62" t="s">
        <v>122</v>
      </c>
      <c r="B75" s="8" t="s">
        <v>44</v>
      </c>
      <c r="C75" s="74">
        <v>42036</v>
      </c>
      <c r="D75" s="75" t="str">
        <f t="shared" si="0"/>
        <v>February</v>
      </c>
      <c r="E75" s="76">
        <v>2015</v>
      </c>
      <c r="F75" s="107" t="s">
        <v>6</v>
      </c>
      <c r="G75" s="7">
        <v>670</v>
      </c>
      <c r="H75" s="62"/>
      <c r="I75" s="62"/>
    </row>
    <row r="76" spans="1:9" ht="15" x14ac:dyDescent="0.25">
      <c r="A76" s="62" t="s">
        <v>122</v>
      </c>
      <c r="B76" s="8" t="s">
        <v>44</v>
      </c>
      <c r="C76" s="74">
        <v>42064</v>
      </c>
      <c r="D76" s="75" t="str">
        <f t="shared" si="0"/>
        <v>March</v>
      </c>
      <c r="E76" s="76">
        <v>2015</v>
      </c>
      <c r="F76" s="107" t="s">
        <v>6</v>
      </c>
      <c r="G76" s="7">
        <v>670</v>
      </c>
      <c r="H76" s="62"/>
      <c r="I76" s="62"/>
    </row>
    <row r="77" spans="1:9" ht="15" x14ac:dyDescent="0.25">
      <c r="A77" s="62" t="s">
        <v>122</v>
      </c>
      <c r="B77" s="8" t="s">
        <v>44</v>
      </c>
      <c r="C77" s="74">
        <v>42095</v>
      </c>
      <c r="D77" s="75" t="str">
        <f t="shared" si="0"/>
        <v>April</v>
      </c>
      <c r="E77" s="76">
        <v>2015</v>
      </c>
      <c r="F77" s="107" t="s">
        <v>6</v>
      </c>
      <c r="G77" s="7">
        <v>670</v>
      </c>
      <c r="H77" s="62"/>
      <c r="I77" s="62"/>
    </row>
    <row r="78" spans="1:9" ht="15" x14ac:dyDescent="0.25">
      <c r="A78" s="62" t="s">
        <v>122</v>
      </c>
      <c r="B78" s="8" t="s">
        <v>44</v>
      </c>
      <c r="C78" s="74">
        <v>42125</v>
      </c>
      <c r="D78" s="75" t="str">
        <f t="shared" si="0"/>
        <v>May</v>
      </c>
      <c r="E78" s="76">
        <v>2015</v>
      </c>
      <c r="F78" s="107" t="s">
        <v>6</v>
      </c>
      <c r="G78" s="7">
        <v>840</v>
      </c>
      <c r="H78" s="62"/>
      <c r="I78" s="62"/>
    </row>
    <row r="79" spans="1:9" ht="15" x14ac:dyDescent="0.25">
      <c r="A79" s="62" t="s">
        <v>122</v>
      </c>
      <c r="B79" s="8" t="s">
        <v>44</v>
      </c>
      <c r="C79" s="74">
        <v>42156</v>
      </c>
      <c r="D79" s="75" t="str">
        <f t="shared" si="0"/>
        <v>June</v>
      </c>
      <c r="E79" s="76">
        <v>2015</v>
      </c>
      <c r="F79" s="107" t="s">
        <v>6</v>
      </c>
      <c r="G79" s="7">
        <v>670</v>
      </c>
      <c r="H79" s="62"/>
      <c r="I79" s="62"/>
    </row>
    <row r="80" spans="1:9" ht="15" x14ac:dyDescent="0.25">
      <c r="A80" s="62" t="s">
        <v>122</v>
      </c>
      <c r="B80" s="8" t="s">
        <v>44</v>
      </c>
      <c r="C80" s="74">
        <v>42186</v>
      </c>
      <c r="D80" s="75" t="str">
        <f t="shared" si="0"/>
        <v>July</v>
      </c>
      <c r="E80" s="76">
        <v>2015</v>
      </c>
      <c r="F80" s="107" t="s">
        <v>6</v>
      </c>
      <c r="G80" s="7">
        <v>840</v>
      </c>
      <c r="H80" s="62"/>
      <c r="I80" s="62"/>
    </row>
    <row r="81" spans="1:11" ht="15" x14ac:dyDescent="0.25">
      <c r="A81" s="62" t="s">
        <v>122</v>
      </c>
      <c r="B81" s="8" t="s">
        <v>44</v>
      </c>
      <c r="C81" s="74">
        <v>42217</v>
      </c>
      <c r="D81" s="75" t="str">
        <f t="shared" si="0"/>
        <v>August</v>
      </c>
      <c r="E81" s="76">
        <v>2015</v>
      </c>
      <c r="F81" s="107" t="s">
        <v>6</v>
      </c>
      <c r="G81" s="7">
        <v>670</v>
      </c>
      <c r="H81" s="62"/>
      <c r="I81" s="62"/>
    </row>
    <row r="82" spans="1:11" ht="15" x14ac:dyDescent="0.25">
      <c r="A82" s="62" t="s">
        <v>122</v>
      </c>
      <c r="B82" s="8" t="s">
        <v>44</v>
      </c>
      <c r="C82" s="74">
        <v>42248</v>
      </c>
      <c r="D82" s="75" t="str">
        <f t="shared" si="0"/>
        <v>September</v>
      </c>
      <c r="E82" s="76">
        <v>2015</v>
      </c>
      <c r="F82" s="107" t="s">
        <v>6</v>
      </c>
      <c r="G82" s="7">
        <v>840</v>
      </c>
      <c r="H82" s="62"/>
      <c r="I82" s="62"/>
    </row>
    <row r="83" spans="1:11" ht="15" x14ac:dyDescent="0.25">
      <c r="A83" s="62" t="s">
        <v>122</v>
      </c>
      <c r="B83" s="8" t="s">
        <v>44</v>
      </c>
      <c r="C83" s="74">
        <v>42278</v>
      </c>
      <c r="D83" s="75" t="str">
        <f t="shared" si="0"/>
        <v>October</v>
      </c>
      <c r="E83" s="76">
        <v>2015</v>
      </c>
      <c r="F83" s="107" t="s">
        <v>6</v>
      </c>
      <c r="G83" s="7">
        <v>670</v>
      </c>
      <c r="H83" s="62"/>
      <c r="I83" s="62"/>
    </row>
    <row r="84" spans="1:11" ht="15" x14ac:dyDescent="0.25">
      <c r="A84" s="102" t="s">
        <v>122</v>
      </c>
      <c r="B84" s="8" t="s">
        <v>44</v>
      </c>
      <c r="C84" s="74">
        <v>42309</v>
      </c>
      <c r="D84" s="75" t="str">
        <f>CHOOSE(MONTH(C84),"January","February","March","April","May","June","July","August","September","October","November","December")</f>
        <v>November</v>
      </c>
      <c r="E84" s="76">
        <v>2015</v>
      </c>
      <c r="F84" s="106" t="s">
        <v>6</v>
      </c>
      <c r="G84" s="7">
        <v>670</v>
      </c>
      <c r="H84" s="62"/>
      <c r="I84" s="62"/>
    </row>
    <row r="85" spans="1:11" ht="15" x14ac:dyDescent="0.25">
      <c r="A85" s="62" t="s">
        <v>122</v>
      </c>
      <c r="B85" s="8" t="s">
        <v>44</v>
      </c>
      <c r="C85" s="74">
        <v>42339</v>
      </c>
      <c r="D85" s="75" t="str">
        <f>CHOOSE(MONTH(C85),"January","February","March","April","May","June","July","August","September","October","November","December")</f>
        <v>December</v>
      </c>
      <c r="E85" s="76">
        <v>2015</v>
      </c>
      <c r="F85" s="106" t="s">
        <v>6</v>
      </c>
      <c r="G85" s="7">
        <v>840</v>
      </c>
      <c r="H85" s="62"/>
      <c r="I85" s="62"/>
    </row>
    <row r="86" spans="1:11" ht="15" x14ac:dyDescent="0.25">
      <c r="A86" s="62" t="s">
        <v>122</v>
      </c>
      <c r="B86" s="8" t="s">
        <v>3</v>
      </c>
      <c r="C86" s="74">
        <v>42005</v>
      </c>
      <c r="D86" s="75" t="str">
        <f>CHOOSE(MONTH(C86),"January","February","March","April","May","June","July","August","September","October","November","December")</f>
        <v>January</v>
      </c>
      <c r="E86" s="76">
        <v>2015</v>
      </c>
      <c r="F86" s="107" t="s">
        <v>7</v>
      </c>
      <c r="G86" s="7">
        <v>5660</v>
      </c>
      <c r="H86" s="62"/>
      <c r="I86" s="62"/>
    </row>
    <row r="87" spans="1:11" ht="15" x14ac:dyDescent="0.25">
      <c r="A87" s="62" t="s">
        <v>122</v>
      </c>
      <c r="B87" s="8" t="s">
        <v>3</v>
      </c>
      <c r="C87" s="74">
        <v>42036</v>
      </c>
      <c r="D87" s="75" t="str">
        <f t="shared" si="0"/>
        <v>February</v>
      </c>
      <c r="E87" s="76">
        <v>2015</v>
      </c>
      <c r="F87" s="107" t="s">
        <v>7</v>
      </c>
      <c r="G87" s="7">
        <v>5220</v>
      </c>
      <c r="H87" s="62"/>
      <c r="I87" s="62"/>
    </row>
    <row r="88" spans="1:11" ht="15" x14ac:dyDescent="0.25">
      <c r="A88" s="62" t="s">
        <v>122</v>
      </c>
      <c r="B88" s="8" t="s">
        <v>3</v>
      </c>
      <c r="C88" s="74">
        <v>42064</v>
      </c>
      <c r="D88" s="75" t="str">
        <f t="shared" si="0"/>
        <v>March</v>
      </c>
      <c r="E88" s="76">
        <v>2015</v>
      </c>
      <c r="F88" s="107" t="s">
        <v>7</v>
      </c>
      <c r="G88" s="1">
        <v>5660</v>
      </c>
      <c r="H88" s="62"/>
      <c r="I88" s="62"/>
    </row>
    <row r="89" spans="1:11" ht="15" x14ac:dyDescent="0.25">
      <c r="A89" s="62" t="s">
        <v>122</v>
      </c>
      <c r="B89" s="8" t="s">
        <v>3</v>
      </c>
      <c r="C89" s="74">
        <v>42095</v>
      </c>
      <c r="D89" s="75" t="str">
        <f t="shared" si="0"/>
        <v>April</v>
      </c>
      <c r="E89" s="76">
        <v>2015</v>
      </c>
      <c r="F89" s="107" t="s">
        <v>7</v>
      </c>
      <c r="G89" s="1">
        <v>7400</v>
      </c>
      <c r="H89" s="62"/>
      <c r="I89" s="62"/>
    </row>
    <row r="90" spans="1:11" ht="15" x14ac:dyDescent="0.25">
      <c r="A90" s="62" t="s">
        <v>122</v>
      </c>
      <c r="B90" s="8" t="s">
        <v>3</v>
      </c>
      <c r="C90" s="74">
        <v>42125</v>
      </c>
      <c r="D90" s="75" t="str">
        <f t="shared" si="0"/>
        <v>May</v>
      </c>
      <c r="E90" s="76">
        <v>2015</v>
      </c>
      <c r="F90" s="107" t="s">
        <v>7</v>
      </c>
      <c r="G90" s="61">
        <v>7400</v>
      </c>
      <c r="H90" s="62"/>
      <c r="I90" s="62"/>
    </row>
    <row r="91" spans="1:11" ht="15" x14ac:dyDescent="0.25">
      <c r="A91" s="62" t="s">
        <v>122</v>
      </c>
      <c r="B91" s="8" t="s">
        <v>3</v>
      </c>
      <c r="C91" s="74">
        <v>42156</v>
      </c>
      <c r="D91" s="75" t="str">
        <f t="shared" ref="D91:D119" si="3">CHOOSE(MONTH(C91),"January","February","March","April","May","June","July","August","September","October","November","December")</f>
        <v>June</v>
      </c>
      <c r="E91" s="76">
        <v>2015</v>
      </c>
      <c r="F91" s="107" t="s">
        <v>7</v>
      </c>
      <c r="G91" s="7">
        <v>7830</v>
      </c>
      <c r="H91" s="62"/>
      <c r="I91" s="62"/>
    </row>
    <row r="92" spans="1:11" ht="15" x14ac:dyDescent="0.25">
      <c r="A92" s="62" t="s">
        <v>122</v>
      </c>
      <c r="B92" s="8" t="s">
        <v>3</v>
      </c>
      <c r="C92" s="74">
        <v>42186</v>
      </c>
      <c r="D92" s="75" t="str">
        <f t="shared" si="3"/>
        <v>July</v>
      </c>
      <c r="E92" s="76">
        <v>2015</v>
      </c>
      <c r="F92" s="107" t="s">
        <v>7</v>
      </c>
      <c r="G92" s="7">
        <v>7830</v>
      </c>
      <c r="H92" s="62"/>
      <c r="I92" s="62"/>
    </row>
    <row r="93" spans="1:11" ht="15" x14ac:dyDescent="0.25">
      <c r="A93" s="62" t="s">
        <v>122</v>
      </c>
      <c r="B93" s="8" t="s">
        <v>3</v>
      </c>
      <c r="C93" s="74">
        <v>42217</v>
      </c>
      <c r="D93" s="75" t="str">
        <f t="shared" si="3"/>
        <v>August</v>
      </c>
      <c r="E93" s="76">
        <v>2015</v>
      </c>
      <c r="F93" s="107" t="s">
        <v>7</v>
      </c>
      <c r="G93" s="7">
        <v>7400</v>
      </c>
      <c r="H93" s="62"/>
      <c r="I93" s="62"/>
    </row>
    <row r="94" spans="1:11" ht="15" x14ac:dyDescent="0.25">
      <c r="A94" s="62" t="s">
        <v>122</v>
      </c>
      <c r="B94" s="7" t="s">
        <v>3</v>
      </c>
      <c r="C94" s="74">
        <v>42248</v>
      </c>
      <c r="D94" s="75" t="str">
        <f t="shared" si="3"/>
        <v>September</v>
      </c>
      <c r="E94" s="76">
        <v>2015</v>
      </c>
      <c r="F94" s="107" t="s">
        <v>7</v>
      </c>
      <c r="G94" s="7">
        <f>7.83*1000</f>
        <v>7830</v>
      </c>
      <c r="H94" s="62"/>
      <c r="I94" s="62"/>
    </row>
    <row r="95" spans="1:11" ht="15" x14ac:dyDescent="0.25">
      <c r="A95" s="62" t="s">
        <v>122</v>
      </c>
      <c r="B95" s="7" t="s">
        <v>3</v>
      </c>
      <c r="C95" s="74">
        <v>42278</v>
      </c>
      <c r="D95" s="75" t="str">
        <f t="shared" si="3"/>
        <v>October</v>
      </c>
      <c r="E95" s="76">
        <v>2015</v>
      </c>
      <c r="F95" s="107" t="s">
        <v>7</v>
      </c>
      <c r="G95" s="7">
        <f>7.4*1000</f>
        <v>7400</v>
      </c>
      <c r="H95" s="62"/>
      <c r="I95" s="62"/>
    </row>
    <row r="96" spans="1:11" ht="15" x14ac:dyDescent="0.25">
      <c r="A96" s="102" t="s">
        <v>122</v>
      </c>
      <c r="B96" s="7" t="s">
        <v>3</v>
      </c>
      <c r="C96" s="74">
        <v>42309</v>
      </c>
      <c r="D96" s="75" t="str">
        <f>CHOOSE(MONTH(C96),"January","February","March","April","May","June","July","August","September","October","November","December")</f>
        <v>November</v>
      </c>
      <c r="E96" s="76">
        <v>2015</v>
      </c>
      <c r="F96" s="106" t="s">
        <v>7</v>
      </c>
      <c r="G96" s="7">
        <v>7400</v>
      </c>
      <c r="H96" s="7"/>
      <c r="I96" s="62"/>
      <c r="J96" s="62"/>
      <c r="K96" s="62"/>
    </row>
    <row r="97" spans="1:11" ht="15" x14ac:dyDescent="0.25">
      <c r="A97" s="62" t="s">
        <v>122</v>
      </c>
      <c r="B97" s="7" t="s">
        <v>3</v>
      </c>
      <c r="C97" s="74">
        <v>42339</v>
      </c>
      <c r="D97" s="75" t="str">
        <f>CHOOSE(MONTH(C97),"January","February","March","April","May","June","July","August","September","October","November","December")</f>
        <v>December</v>
      </c>
      <c r="E97" s="76">
        <v>2015</v>
      </c>
      <c r="F97" s="106" t="s">
        <v>7</v>
      </c>
      <c r="G97" s="7">
        <v>7830</v>
      </c>
      <c r="H97" s="7"/>
      <c r="I97" s="62"/>
      <c r="J97" s="62"/>
      <c r="K97" s="62"/>
    </row>
    <row r="98" spans="1:11" ht="15" x14ac:dyDescent="0.25">
      <c r="A98" s="62" t="s">
        <v>123</v>
      </c>
      <c r="B98" s="8" t="s">
        <v>24</v>
      </c>
      <c r="C98" s="74">
        <v>42005</v>
      </c>
      <c r="D98" s="75" t="str">
        <f t="shared" si="3"/>
        <v>January</v>
      </c>
      <c r="E98" s="76">
        <v>2015</v>
      </c>
      <c r="F98" s="107" t="s">
        <v>7</v>
      </c>
      <c r="G98" s="1"/>
      <c r="H98" s="7"/>
      <c r="I98" s="62"/>
      <c r="J98" s="62"/>
      <c r="K98" s="62"/>
    </row>
    <row r="99" spans="1:11" ht="15" x14ac:dyDescent="0.25">
      <c r="A99" s="62" t="s">
        <v>123</v>
      </c>
      <c r="B99" s="8" t="s">
        <v>24</v>
      </c>
      <c r="C99" s="74">
        <v>42036</v>
      </c>
      <c r="D99" s="75" t="str">
        <f t="shared" si="3"/>
        <v>February</v>
      </c>
      <c r="E99" s="76">
        <v>2015</v>
      </c>
      <c r="F99" s="107" t="s">
        <v>7</v>
      </c>
      <c r="G99" s="1"/>
      <c r="H99" s="7"/>
      <c r="I99" s="62"/>
      <c r="J99" s="62"/>
      <c r="K99" s="62"/>
    </row>
    <row r="100" spans="1:11" ht="15" x14ac:dyDescent="0.25">
      <c r="A100" s="62" t="s">
        <v>123</v>
      </c>
      <c r="B100" s="8" t="s">
        <v>24</v>
      </c>
      <c r="C100" s="74">
        <v>42064</v>
      </c>
      <c r="D100" s="75" t="str">
        <f t="shared" si="3"/>
        <v>March</v>
      </c>
      <c r="E100" s="76">
        <v>2015</v>
      </c>
      <c r="F100" s="107" t="s">
        <v>7</v>
      </c>
      <c r="G100" s="1">
        <f>0.05*1000</f>
        <v>50</v>
      </c>
      <c r="H100" s="7"/>
      <c r="I100" s="62"/>
      <c r="J100" s="62"/>
      <c r="K100" s="62"/>
    </row>
    <row r="101" spans="1:11" ht="15" x14ac:dyDescent="0.25">
      <c r="A101" s="62" t="s">
        <v>123</v>
      </c>
      <c r="B101" s="8" t="s">
        <v>24</v>
      </c>
      <c r="C101" s="74">
        <v>42095</v>
      </c>
      <c r="D101" s="75" t="str">
        <f t="shared" si="3"/>
        <v>April</v>
      </c>
      <c r="E101" s="76">
        <v>2015</v>
      </c>
      <c r="F101" s="107" t="s">
        <v>7</v>
      </c>
      <c r="G101" s="1">
        <f>0.02*1000</f>
        <v>20</v>
      </c>
      <c r="H101" s="7"/>
      <c r="I101" s="62"/>
      <c r="J101" s="62"/>
      <c r="K101" s="62"/>
    </row>
    <row r="102" spans="1:11" ht="15" x14ac:dyDescent="0.25">
      <c r="A102" s="62" t="s">
        <v>123</v>
      </c>
      <c r="B102" s="1" t="s">
        <v>24</v>
      </c>
      <c r="C102" s="74">
        <v>42125</v>
      </c>
      <c r="D102" s="75" t="str">
        <f t="shared" si="3"/>
        <v>May</v>
      </c>
      <c r="E102" s="76">
        <v>2015</v>
      </c>
      <c r="F102" s="107" t="s">
        <v>7</v>
      </c>
      <c r="G102" s="61"/>
      <c r="H102" s="7"/>
      <c r="I102" s="62"/>
      <c r="J102" s="62"/>
      <c r="K102" s="62"/>
    </row>
    <row r="103" spans="1:11" ht="15" x14ac:dyDescent="0.25">
      <c r="A103" s="62" t="s">
        <v>123</v>
      </c>
      <c r="B103" s="1" t="s">
        <v>24</v>
      </c>
      <c r="C103" s="74">
        <v>42156</v>
      </c>
      <c r="D103" s="75" t="str">
        <f t="shared" si="3"/>
        <v>June</v>
      </c>
      <c r="E103" s="76">
        <v>2015</v>
      </c>
      <c r="F103" s="107" t="s">
        <v>7</v>
      </c>
      <c r="G103" s="61">
        <f>0.07*1000</f>
        <v>70</v>
      </c>
      <c r="H103" s="62"/>
      <c r="I103" s="62"/>
      <c r="J103" s="62"/>
      <c r="K103" s="62"/>
    </row>
    <row r="104" spans="1:11" ht="15" x14ac:dyDescent="0.25">
      <c r="A104" s="62" t="s">
        <v>123</v>
      </c>
      <c r="B104" s="1" t="s">
        <v>24</v>
      </c>
      <c r="C104" s="74">
        <v>42186</v>
      </c>
      <c r="D104" s="75" t="str">
        <f t="shared" si="3"/>
        <v>July</v>
      </c>
      <c r="E104" s="76">
        <v>2015</v>
      </c>
      <c r="F104" s="107" t="s">
        <v>7</v>
      </c>
      <c r="G104" s="61">
        <f>0.17*1000</f>
        <v>170</v>
      </c>
      <c r="H104" s="62"/>
      <c r="I104" s="62"/>
      <c r="J104" s="62"/>
      <c r="K104" s="62"/>
    </row>
    <row r="105" spans="1:11" ht="15" x14ac:dyDescent="0.25">
      <c r="A105" s="62" t="s">
        <v>123</v>
      </c>
      <c r="B105" s="1" t="s">
        <v>24</v>
      </c>
      <c r="C105" s="74">
        <v>42217</v>
      </c>
      <c r="D105" s="75" t="str">
        <f t="shared" si="3"/>
        <v>August</v>
      </c>
      <c r="E105" s="76">
        <v>2015</v>
      </c>
      <c r="F105" s="107" t="s">
        <v>7</v>
      </c>
      <c r="G105" s="61">
        <f>0.48*1000</f>
        <v>480</v>
      </c>
      <c r="H105" s="62"/>
      <c r="I105" s="62"/>
      <c r="J105" s="62"/>
      <c r="K105" s="62"/>
    </row>
    <row r="106" spans="1:11" ht="15" x14ac:dyDescent="0.25">
      <c r="A106" s="62" t="s">
        <v>123</v>
      </c>
      <c r="B106" s="1" t="s">
        <v>24</v>
      </c>
      <c r="C106" s="74">
        <v>42248</v>
      </c>
      <c r="D106" s="75" t="str">
        <f t="shared" si="3"/>
        <v>September</v>
      </c>
      <c r="E106" s="76">
        <v>2015</v>
      </c>
      <c r="F106" s="107" t="s">
        <v>7</v>
      </c>
      <c r="G106" s="61">
        <f>0.46*1000</f>
        <v>460</v>
      </c>
      <c r="H106" s="62"/>
      <c r="I106" s="62"/>
      <c r="J106" s="62"/>
      <c r="K106" s="62"/>
    </row>
    <row r="107" spans="1:11" ht="15" x14ac:dyDescent="0.25">
      <c r="A107" s="62" t="s">
        <v>123</v>
      </c>
      <c r="B107" s="1" t="s">
        <v>24</v>
      </c>
      <c r="C107" s="74">
        <v>42278</v>
      </c>
      <c r="D107" s="75" t="str">
        <f t="shared" si="3"/>
        <v>October</v>
      </c>
      <c r="E107" s="76">
        <v>2015</v>
      </c>
      <c r="F107" s="107" t="s">
        <v>7</v>
      </c>
      <c r="G107" s="61">
        <f>0.66*1000</f>
        <v>660</v>
      </c>
      <c r="H107" s="62"/>
      <c r="I107" s="62"/>
      <c r="J107" s="62"/>
      <c r="K107" s="62"/>
    </row>
    <row r="108" spans="1:11" ht="15" x14ac:dyDescent="0.25">
      <c r="A108" s="102" t="s">
        <v>123</v>
      </c>
      <c r="B108" s="1" t="s">
        <v>24</v>
      </c>
      <c r="C108" s="74">
        <v>42309</v>
      </c>
      <c r="D108" s="75" t="str">
        <f>CHOOSE(MONTH(C108),"January","February","March","April","May","June","July","August","September","October","November","December")</f>
        <v>November</v>
      </c>
      <c r="E108" s="76">
        <v>2015</v>
      </c>
      <c r="F108" s="106" t="s">
        <v>7</v>
      </c>
      <c r="G108" s="61">
        <f>0.51*1000</f>
        <v>510</v>
      </c>
      <c r="H108" s="62"/>
      <c r="I108" s="62"/>
      <c r="J108" s="62"/>
      <c r="K108" s="62"/>
    </row>
    <row r="109" spans="1:11" ht="15" x14ac:dyDescent="0.25">
      <c r="A109" s="102" t="s">
        <v>123</v>
      </c>
      <c r="B109" s="1" t="s">
        <v>24</v>
      </c>
      <c r="C109" s="74">
        <v>42339</v>
      </c>
      <c r="D109" s="75" t="str">
        <f>CHOOSE(MONTH(C109),"January","February","March","April","May","June","July","August","September","October","November","December")</f>
        <v>December</v>
      </c>
      <c r="E109" s="76">
        <v>2015</v>
      </c>
      <c r="F109" s="106" t="s">
        <v>7</v>
      </c>
      <c r="G109" s="61"/>
      <c r="H109" s="62"/>
      <c r="I109" s="62"/>
      <c r="J109" s="62"/>
      <c r="K109" s="62"/>
    </row>
    <row r="110" spans="1:11" ht="15" x14ac:dyDescent="0.25">
      <c r="A110" s="62" t="s">
        <v>122</v>
      </c>
      <c r="B110" s="8" t="s">
        <v>44</v>
      </c>
      <c r="C110" s="74">
        <v>42005</v>
      </c>
      <c r="D110" s="75" t="str">
        <f t="shared" si="3"/>
        <v>January</v>
      </c>
      <c r="E110" s="76">
        <v>2015</v>
      </c>
      <c r="F110" s="107" t="s">
        <v>7</v>
      </c>
      <c r="G110" s="1">
        <v>80</v>
      </c>
      <c r="H110" s="62"/>
      <c r="I110" s="62"/>
      <c r="J110" s="62"/>
      <c r="K110" s="62"/>
    </row>
    <row r="111" spans="1:11" ht="15" x14ac:dyDescent="0.25">
      <c r="A111" s="62" t="s">
        <v>122</v>
      </c>
      <c r="B111" s="8" t="s">
        <v>44</v>
      </c>
      <c r="C111" s="74">
        <v>42036</v>
      </c>
      <c r="D111" s="75" t="str">
        <f t="shared" si="3"/>
        <v>February</v>
      </c>
      <c r="E111" s="76">
        <v>2015</v>
      </c>
      <c r="F111" s="107" t="s">
        <v>7</v>
      </c>
      <c r="G111" s="7">
        <v>80</v>
      </c>
      <c r="H111" s="62"/>
      <c r="I111" s="62"/>
      <c r="J111" s="62"/>
      <c r="K111" s="62"/>
    </row>
    <row r="112" spans="1:11" ht="15" x14ac:dyDescent="0.25">
      <c r="A112" s="62" t="s">
        <v>122</v>
      </c>
      <c r="B112" s="8" t="s">
        <v>44</v>
      </c>
      <c r="C112" s="74">
        <v>42064</v>
      </c>
      <c r="D112" s="75" t="str">
        <f t="shared" si="3"/>
        <v>March</v>
      </c>
      <c r="E112" s="76">
        <v>2015</v>
      </c>
      <c r="F112" s="107" t="s">
        <v>7</v>
      </c>
      <c r="G112" s="7">
        <v>80</v>
      </c>
      <c r="H112" s="62"/>
      <c r="I112" s="62"/>
      <c r="J112" s="62"/>
      <c r="K112" s="62"/>
    </row>
    <row r="113" spans="1:11" ht="15" x14ac:dyDescent="0.25">
      <c r="A113" s="62" t="s">
        <v>122</v>
      </c>
      <c r="B113" s="8" t="s">
        <v>44</v>
      </c>
      <c r="C113" s="74">
        <v>42095</v>
      </c>
      <c r="D113" s="75" t="str">
        <f t="shared" si="3"/>
        <v>April</v>
      </c>
      <c r="E113" s="76">
        <v>2015</v>
      </c>
      <c r="F113" s="107" t="s">
        <v>7</v>
      </c>
      <c r="G113" s="1">
        <v>100</v>
      </c>
      <c r="H113" s="62"/>
      <c r="I113" s="62"/>
      <c r="J113" s="62"/>
      <c r="K113" s="62"/>
    </row>
    <row r="114" spans="1:11" ht="15" x14ac:dyDescent="0.25">
      <c r="A114" s="62" t="s">
        <v>122</v>
      </c>
      <c r="B114" s="8" t="s">
        <v>44</v>
      </c>
      <c r="C114" s="74">
        <v>42125</v>
      </c>
      <c r="D114" s="75" t="str">
        <f t="shared" si="3"/>
        <v>May</v>
      </c>
      <c r="E114" s="76">
        <v>2015</v>
      </c>
      <c r="F114" s="107" t="s">
        <v>7</v>
      </c>
      <c r="G114" s="61">
        <v>80</v>
      </c>
      <c r="H114" s="62"/>
      <c r="I114" s="62"/>
      <c r="J114" s="62"/>
      <c r="K114" s="62"/>
    </row>
    <row r="115" spans="1:11" ht="15" x14ac:dyDescent="0.25">
      <c r="A115" s="62" t="s">
        <v>122</v>
      </c>
      <c r="B115" s="8" t="s">
        <v>44</v>
      </c>
      <c r="C115" s="74">
        <v>42156</v>
      </c>
      <c r="D115" s="75" t="str">
        <f t="shared" si="3"/>
        <v>June</v>
      </c>
      <c r="E115" s="76">
        <v>2015</v>
      </c>
      <c r="F115" s="107" t="s">
        <v>7</v>
      </c>
      <c r="G115" s="61">
        <v>80</v>
      </c>
      <c r="H115" s="62"/>
      <c r="I115" s="62"/>
      <c r="J115" s="62"/>
      <c r="K115" s="62"/>
    </row>
    <row r="116" spans="1:11" ht="15" x14ac:dyDescent="0.25">
      <c r="A116" s="62" t="s">
        <v>122</v>
      </c>
      <c r="B116" s="8" t="s">
        <v>44</v>
      </c>
      <c r="C116" s="74">
        <v>42186</v>
      </c>
      <c r="D116" s="75" t="str">
        <f t="shared" si="3"/>
        <v>July</v>
      </c>
      <c r="E116" s="76">
        <v>2015</v>
      </c>
      <c r="F116" s="107" t="s">
        <v>7</v>
      </c>
      <c r="G116" s="61">
        <v>100</v>
      </c>
      <c r="H116" s="62"/>
      <c r="I116" s="62"/>
      <c r="J116" s="62"/>
      <c r="K116" s="62"/>
    </row>
    <row r="117" spans="1:11" ht="15" x14ac:dyDescent="0.25">
      <c r="A117" s="62" t="s">
        <v>122</v>
      </c>
      <c r="B117" s="8" t="s">
        <v>44</v>
      </c>
      <c r="C117" s="74">
        <v>42217</v>
      </c>
      <c r="D117" s="75" t="str">
        <f t="shared" si="3"/>
        <v>August</v>
      </c>
      <c r="E117" s="76">
        <v>2015</v>
      </c>
      <c r="F117" s="107" t="s">
        <v>7</v>
      </c>
      <c r="G117" s="61">
        <v>80</v>
      </c>
      <c r="H117" s="62"/>
      <c r="I117" s="62"/>
      <c r="J117" s="62"/>
      <c r="K117" s="62"/>
    </row>
    <row r="118" spans="1:11" ht="15" x14ac:dyDescent="0.25">
      <c r="A118" s="62" t="s">
        <v>122</v>
      </c>
      <c r="B118" s="8" t="s">
        <v>44</v>
      </c>
      <c r="C118" s="74">
        <v>42248</v>
      </c>
      <c r="D118" s="75" t="str">
        <f t="shared" si="3"/>
        <v>September</v>
      </c>
      <c r="E118" s="76">
        <v>2015</v>
      </c>
      <c r="F118" s="107" t="s">
        <v>7</v>
      </c>
      <c r="G118" s="61">
        <v>100</v>
      </c>
      <c r="H118" s="62"/>
      <c r="I118" s="62"/>
      <c r="J118" s="62"/>
      <c r="K118" s="62"/>
    </row>
    <row r="119" spans="1:11" ht="15" x14ac:dyDescent="0.25">
      <c r="A119" s="62" t="s">
        <v>122</v>
      </c>
      <c r="B119" s="8" t="s">
        <v>44</v>
      </c>
      <c r="C119" s="74">
        <v>42278</v>
      </c>
      <c r="D119" s="75" t="str">
        <f t="shared" si="3"/>
        <v>October</v>
      </c>
      <c r="E119" s="76">
        <v>2015</v>
      </c>
      <c r="F119" s="107" t="s">
        <v>7</v>
      </c>
      <c r="G119" s="7">
        <v>80</v>
      </c>
      <c r="H119" s="62"/>
      <c r="I119" s="62"/>
      <c r="J119" s="62"/>
      <c r="K119" s="62"/>
    </row>
    <row r="120" spans="1:11" ht="15" x14ac:dyDescent="0.25">
      <c r="A120" s="102" t="s">
        <v>122</v>
      </c>
      <c r="B120" s="8" t="s">
        <v>44</v>
      </c>
      <c r="C120" s="74">
        <v>42309</v>
      </c>
      <c r="D120" s="75" t="str">
        <f>CHOOSE(MONTH(C120),"January","February","March","April","May","June","July","August","September","October","November","December")</f>
        <v>November</v>
      </c>
      <c r="E120" s="76">
        <v>2015</v>
      </c>
      <c r="F120" s="106" t="s">
        <v>7</v>
      </c>
      <c r="G120" s="7">
        <v>100</v>
      </c>
      <c r="H120" s="62"/>
      <c r="I120" s="62"/>
      <c r="J120" s="62"/>
      <c r="K120" s="62"/>
    </row>
    <row r="121" spans="1:11" ht="15" x14ac:dyDescent="0.25">
      <c r="A121" s="62" t="s">
        <v>122</v>
      </c>
      <c r="B121" s="8" t="s">
        <v>44</v>
      </c>
      <c r="C121" s="74">
        <v>42339</v>
      </c>
      <c r="D121" s="75" t="str">
        <f>CHOOSE(MONTH(C121),"January","February","March","April","May","June","July","August","September","October","November","December")</f>
        <v>December</v>
      </c>
      <c r="E121" s="76">
        <v>2015</v>
      </c>
      <c r="F121" s="106" t="s">
        <v>7</v>
      </c>
      <c r="G121" s="7">
        <v>1020</v>
      </c>
      <c r="H121" s="62"/>
      <c r="I121" s="62"/>
      <c r="J121" s="62"/>
      <c r="K121" s="62"/>
    </row>
    <row r="122" spans="1:11" ht="15" x14ac:dyDescent="0.25">
      <c r="A122" s="62" t="s">
        <v>122</v>
      </c>
      <c r="B122" s="8" t="s">
        <v>3</v>
      </c>
      <c r="C122" s="74">
        <v>42005</v>
      </c>
      <c r="D122" s="75" t="str">
        <f>CHOOSE(MONTH(C122),"January","February","March","April","May","June","July","August","September","October","November","December")</f>
        <v>January</v>
      </c>
      <c r="E122" s="76">
        <v>2015</v>
      </c>
      <c r="F122" s="107" t="s">
        <v>118</v>
      </c>
      <c r="G122" s="7">
        <v>600</v>
      </c>
      <c r="H122" s="62"/>
      <c r="I122" s="62"/>
      <c r="J122" s="62"/>
      <c r="K122" s="62"/>
    </row>
    <row r="123" spans="1:11" ht="15" x14ac:dyDescent="0.25">
      <c r="A123" s="62" t="s">
        <v>122</v>
      </c>
      <c r="B123" s="8" t="s">
        <v>3</v>
      </c>
      <c r="C123" s="74">
        <v>42036</v>
      </c>
      <c r="D123" s="75" t="str">
        <f t="shared" ref="D123:D131" si="4">CHOOSE(MONTH(C123),"January","February","March","April","May","June","July","August","September","October","November","December")</f>
        <v>February</v>
      </c>
      <c r="E123" s="76">
        <v>2015</v>
      </c>
      <c r="F123" s="107" t="s">
        <v>118</v>
      </c>
      <c r="G123" s="7">
        <v>600</v>
      </c>
      <c r="H123" s="62"/>
      <c r="I123" s="62"/>
      <c r="J123" s="62"/>
      <c r="K123" s="62"/>
    </row>
    <row r="124" spans="1:11" ht="15" x14ac:dyDescent="0.25">
      <c r="A124" s="62" t="s">
        <v>122</v>
      </c>
      <c r="B124" s="8" t="s">
        <v>3</v>
      </c>
      <c r="C124" s="74">
        <v>42064</v>
      </c>
      <c r="D124" s="75" t="str">
        <f t="shared" si="4"/>
        <v>March</v>
      </c>
      <c r="E124" s="76">
        <v>2015</v>
      </c>
      <c r="F124" s="107" t="s">
        <v>118</v>
      </c>
      <c r="G124" s="7">
        <v>600</v>
      </c>
      <c r="H124" s="62"/>
      <c r="I124" s="62"/>
      <c r="J124" s="62"/>
      <c r="K124" s="62"/>
    </row>
    <row r="125" spans="1:11" ht="15" x14ac:dyDescent="0.25">
      <c r="A125" s="62" t="s">
        <v>122</v>
      </c>
      <c r="B125" s="8" t="s">
        <v>3</v>
      </c>
      <c r="C125" s="74">
        <v>42095</v>
      </c>
      <c r="D125" s="75" t="str">
        <f t="shared" si="4"/>
        <v>April</v>
      </c>
      <c r="E125" s="76">
        <v>2015</v>
      </c>
      <c r="F125" s="107" t="s">
        <v>118</v>
      </c>
      <c r="G125" s="1">
        <v>1500</v>
      </c>
      <c r="H125" s="62"/>
      <c r="I125" s="62"/>
      <c r="J125" s="62"/>
      <c r="K125" s="62"/>
    </row>
    <row r="126" spans="1:11" ht="15" x14ac:dyDescent="0.25">
      <c r="A126" s="62" t="s">
        <v>122</v>
      </c>
      <c r="B126" s="8" t="s">
        <v>3</v>
      </c>
      <c r="C126" s="74">
        <v>42125</v>
      </c>
      <c r="D126" s="75" t="str">
        <f t="shared" si="4"/>
        <v>May</v>
      </c>
      <c r="E126" s="76">
        <v>2015</v>
      </c>
      <c r="F126" s="107" t="s">
        <v>118</v>
      </c>
      <c r="G126" s="61">
        <v>1500</v>
      </c>
      <c r="H126" s="62"/>
      <c r="I126" s="62"/>
      <c r="J126" s="62"/>
      <c r="K126" s="62"/>
    </row>
    <row r="127" spans="1:11" ht="15" x14ac:dyDescent="0.25">
      <c r="A127" s="62" t="s">
        <v>122</v>
      </c>
      <c r="B127" s="8" t="s">
        <v>3</v>
      </c>
      <c r="C127" s="74">
        <v>42156</v>
      </c>
      <c r="D127" s="75" t="str">
        <f t="shared" si="4"/>
        <v>June</v>
      </c>
      <c r="E127" s="76">
        <v>2015</v>
      </c>
      <c r="F127" s="107" t="s">
        <v>118</v>
      </c>
      <c r="G127" s="7">
        <v>1500</v>
      </c>
      <c r="H127" s="62"/>
      <c r="I127" s="62"/>
      <c r="J127" s="62"/>
      <c r="K127" s="62"/>
    </row>
    <row r="128" spans="1:11" ht="15" x14ac:dyDescent="0.25">
      <c r="A128" s="62" t="s">
        <v>122</v>
      </c>
      <c r="B128" s="8" t="s">
        <v>3</v>
      </c>
      <c r="C128" s="74">
        <v>42186</v>
      </c>
      <c r="D128" s="75" t="str">
        <f t="shared" si="4"/>
        <v>July</v>
      </c>
      <c r="E128" s="76">
        <v>2015</v>
      </c>
      <c r="F128" s="107" t="s">
        <v>118</v>
      </c>
      <c r="G128" s="7">
        <v>1500</v>
      </c>
      <c r="H128" s="62"/>
      <c r="I128" s="62"/>
      <c r="J128" s="62"/>
      <c r="K128" s="62"/>
    </row>
    <row r="129" spans="1:11" ht="15" x14ac:dyDescent="0.25">
      <c r="A129" s="62" t="s">
        <v>122</v>
      </c>
      <c r="B129" s="8" t="s">
        <v>3</v>
      </c>
      <c r="C129" s="74">
        <v>42217</v>
      </c>
      <c r="D129" s="75" t="str">
        <f t="shared" si="4"/>
        <v>August</v>
      </c>
      <c r="E129" s="76">
        <v>2015</v>
      </c>
      <c r="F129" s="107" t="s">
        <v>118</v>
      </c>
      <c r="G129" s="7">
        <v>1500</v>
      </c>
      <c r="H129" s="62"/>
      <c r="I129" s="62"/>
      <c r="J129" s="62"/>
      <c r="K129" s="62"/>
    </row>
    <row r="130" spans="1:11" ht="15" x14ac:dyDescent="0.25">
      <c r="A130" s="62" t="s">
        <v>122</v>
      </c>
      <c r="B130" s="7" t="s">
        <v>3</v>
      </c>
      <c r="C130" s="74">
        <v>42248</v>
      </c>
      <c r="D130" s="75" t="str">
        <f t="shared" si="4"/>
        <v>September</v>
      </c>
      <c r="E130" s="76">
        <v>2015</v>
      </c>
      <c r="F130" s="107" t="s">
        <v>118</v>
      </c>
      <c r="G130" s="7">
        <f>1.5*1000</f>
        <v>1500</v>
      </c>
      <c r="H130" s="62"/>
      <c r="I130" s="62"/>
      <c r="J130" s="62"/>
      <c r="K130" s="62"/>
    </row>
    <row r="131" spans="1:11" ht="15" x14ac:dyDescent="0.25">
      <c r="A131" s="62" t="s">
        <v>122</v>
      </c>
      <c r="B131" s="7" t="s">
        <v>3</v>
      </c>
      <c r="C131" s="74">
        <v>42278</v>
      </c>
      <c r="D131" s="75" t="str">
        <f t="shared" si="4"/>
        <v>October</v>
      </c>
      <c r="E131" s="76">
        <v>2015</v>
      </c>
      <c r="F131" s="107" t="s">
        <v>118</v>
      </c>
      <c r="G131" s="7">
        <f>1.5*1000</f>
        <v>1500</v>
      </c>
      <c r="H131" s="62"/>
      <c r="I131" s="62"/>
      <c r="J131" s="62"/>
      <c r="K131" s="62"/>
    </row>
    <row r="132" spans="1:11" ht="15" x14ac:dyDescent="0.25">
      <c r="A132" s="102" t="s">
        <v>122</v>
      </c>
      <c r="B132" s="7" t="s">
        <v>3</v>
      </c>
      <c r="C132" s="74">
        <v>42309</v>
      </c>
      <c r="D132" s="75" t="str">
        <f>CHOOSE(MONTH(C132),"January","February","March","April","May","June","July","August","September","October","November","December")</f>
        <v>November</v>
      </c>
      <c r="E132" s="76">
        <v>2015</v>
      </c>
      <c r="F132" s="106" t="s">
        <v>118</v>
      </c>
      <c r="G132" s="7">
        <v>850</v>
      </c>
      <c r="H132" s="62"/>
      <c r="I132" s="62"/>
      <c r="J132" s="62"/>
      <c r="K132" s="62"/>
    </row>
    <row r="133" spans="1:11" ht="15" x14ac:dyDescent="0.25">
      <c r="A133" s="62" t="s">
        <v>122</v>
      </c>
      <c r="B133" s="7" t="s">
        <v>3</v>
      </c>
      <c r="C133" s="74">
        <v>42339</v>
      </c>
      <c r="D133" s="75" t="str">
        <f>CHOOSE(MONTH(C133),"January","February","March","April","May","June","July","August","September","October","November","December")</f>
        <v>December</v>
      </c>
      <c r="E133" s="76">
        <v>2015</v>
      </c>
      <c r="F133" s="106" t="s">
        <v>118</v>
      </c>
      <c r="G133" s="7">
        <v>1500</v>
      </c>
      <c r="H133" s="62"/>
      <c r="I133" s="62"/>
      <c r="J133" s="62"/>
      <c r="K133" s="62"/>
    </row>
    <row r="134" spans="1:11" ht="15" x14ac:dyDescent="0.25">
      <c r="A134" s="62" t="s">
        <v>122</v>
      </c>
      <c r="B134" s="8" t="s">
        <v>3</v>
      </c>
      <c r="C134" s="74">
        <v>42005</v>
      </c>
      <c r="D134" s="75" t="str">
        <f>CHOOSE(MONTH(C134),"January","February","March","April","May","June","July","August","September","October","November","December")</f>
        <v>January</v>
      </c>
      <c r="E134" s="76">
        <v>2015</v>
      </c>
      <c r="F134" s="107" t="s">
        <v>8</v>
      </c>
      <c r="G134" s="25">
        <v>21695.351200000001</v>
      </c>
      <c r="H134" s="62"/>
      <c r="I134" s="62"/>
      <c r="J134" s="62"/>
      <c r="K134" s="62"/>
    </row>
    <row r="135" spans="1:11" ht="15" x14ac:dyDescent="0.25">
      <c r="A135" s="62" t="s">
        <v>122</v>
      </c>
      <c r="B135" s="8" t="s">
        <v>3</v>
      </c>
      <c r="C135" s="74">
        <v>42036</v>
      </c>
      <c r="D135" s="75" t="str">
        <f t="shared" ref="D135:D179" si="5">CHOOSE(MONTH(C135),"January","February","March","April","May","June","July","August","September","October","November","December")</f>
        <v>February</v>
      </c>
      <c r="E135" s="76">
        <v>2015</v>
      </c>
      <c r="F135" s="107" t="s">
        <v>8</v>
      </c>
      <c r="G135" s="25">
        <v>19241.9794</v>
      </c>
      <c r="H135" s="62"/>
      <c r="I135" s="62"/>
      <c r="J135" s="62"/>
      <c r="K135" s="62"/>
    </row>
    <row r="136" spans="1:11" ht="15" x14ac:dyDescent="0.25">
      <c r="A136" s="62" t="s">
        <v>122</v>
      </c>
      <c r="B136" s="8" t="s">
        <v>3</v>
      </c>
      <c r="C136" s="74">
        <v>42064</v>
      </c>
      <c r="D136" s="75" t="str">
        <f t="shared" si="5"/>
        <v>March</v>
      </c>
      <c r="E136" s="76">
        <v>2015</v>
      </c>
      <c r="F136" s="107" t="s">
        <v>8</v>
      </c>
      <c r="G136" s="25">
        <v>24361.81</v>
      </c>
      <c r="H136" s="62"/>
      <c r="I136" s="62"/>
      <c r="J136" s="62"/>
      <c r="K136" s="62"/>
    </row>
    <row r="137" spans="1:11" ht="15" x14ac:dyDescent="0.25">
      <c r="A137" s="62" t="s">
        <v>122</v>
      </c>
      <c r="B137" s="8" t="s">
        <v>3</v>
      </c>
      <c r="C137" s="74">
        <v>42095</v>
      </c>
      <c r="D137" s="75" t="str">
        <f t="shared" si="5"/>
        <v>April</v>
      </c>
      <c r="E137" s="76">
        <v>2015</v>
      </c>
      <c r="F137" s="107" t="s">
        <v>8</v>
      </c>
      <c r="G137" s="25">
        <v>23351.43</v>
      </c>
      <c r="H137" s="62"/>
      <c r="I137" s="62"/>
      <c r="J137" s="62"/>
      <c r="K137" s="62"/>
    </row>
    <row r="138" spans="1:11" ht="15" x14ac:dyDescent="0.25">
      <c r="A138" s="62" t="s">
        <v>122</v>
      </c>
      <c r="B138" s="8" t="s">
        <v>3</v>
      </c>
      <c r="C138" s="74">
        <v>42125</v>
      </c>
      <c r="D138" s="75" t="str">
        <f t="shared" si="5"/>
        <v>May</v>
      </c>
      <c r="E138" s="76">
        <v>2015</v>
      </c>
      <c r="F138" s="107" t="s">
        <v>8</v>
      </c>
      <c r="G138" s="25">
        <v>17766.099999999999</v>
      </c>
      <c r="H138" s="62"/>
      <c r="I138" s="62"/>
      <c r="J138" s="62"/>
      <c r="K138" s="62"/>
    </row>
    <row r="139" spans="1:11" ht="15" x14ac:dyDescent="0.25">
      <c r="A139" s="62" t="s">
        <v>122</v>
      </c>
      <c r="B139" s="8" t="s">
        <v>3</v>
      </c>
      <c r="C139" s="74">
        <v>42156</v>
      </c>
      <c r="D139" s="75" t="str">
        <f t="shared" si="5"/>
        <v>June</v>
      </c>
      <c r="E139" s="76">
        <v>2015</v>
      </c>
      <c r="F139" s="107" t="s">
        <v>8</v>
      </c>
      <c r="G139" s="25">
        <v>18073</v>
      </c>
      <c r="H139" s="62"/>
      <c r="I139" s="62"/>
      <c r="J139" s="62"/>
      <c r="K139" s="62"/>
    </row>
    <row r="140" spans="1:11" ht="15" x14ac:dyDescent="0.25">
      <c r="A140" s="62" t="s">
        <v>122</v>
      </c>
      <c r="B140" s="8" t="s">
        <v>3</v>
      </c>
      <c r="C140" s="74">
        <v>42186</v>
      </c>
      <c r="D140" s="75" t="str">
        <f t="shared" si="5"/>
        <v>July</v>
      </c>
      <c r="E140" s="76">
        <v>2015</v>
      </c>
      <c r="F140" s="107" t="s">
        <v>8</v>
      </c>
      <c r="G140" s="25">
        <v>19415</v>
      </c>
      <c r="H140" s="62"/>
      <c r="I140" s="62"/>
      <c r="J140" s="62"/>
      <c r="K140" s="62"/>
    </row>
    <row r="141" spans="1:11" ht="15" x14ac:dyDescent="0.25">
      <c r="A141" s="62" t="s">
        <v>122</v>
      </c>
      <c r="B141" s="8" t="s">
        <v>3</v>
      </c>
      <c r="C141" s="74">
        <v>42217</v>
      </c>
      <c r="D141" s="75" t="str">
        <f t="shared" si="5"/>
        <v>August</v>
      </c>
      <c r="E141" s="76">
        <v>2015</v>
      </c>
      <c r="F141" s="107" t="s">
        <v>8</v>
      </c>
      <c r="G141" s="25">
        <v>18031</v>
      </c>
      <c r="H141" s="62"/>
      <c r="I141" s="62"/>
      <c r="J141" s="62"/>
      <c r="K141" s="62"/>
    </row>
    <row r="142" spans="1:11" ht="15" x14ac:dyDescent="0.25">
      <c r="A142" s="62" t="s">
        <v>122</v>
      </c>
      <c r="B142" s="7" t="s">
        <v>3</v>
      </c>
      <c r="C142" s="74">
        <v>42248</v>
      </c>
      <c r="D142" s="75" t="str">
        <f t="shared" si="5"/>
        <v>September</v>
      </c>
      <c r="E142" s="76">
        <v>2015</v>
      </c>
      <c r="F142" s="107" t="s">
        <v>8</v>
      </c>
      <c r="G142" s="25">
        <v>24370.979999999996</v>
      </c>
      <c r="H142" s="62"/>
      <c r="I142" s="62"/>
      <c r="J142" s="62"/>
      <c r="K142" s="62"/>
    </row>
    <row r="143" spans="1:11" ht="15" x14ac:dyDescent="0.25">
      <c r="A143" s="62" t="s">
        <v>122</v>
      </c>
      <c r="B143" s="7" t="s">
        <v>3</v>
      </c>
      <c r="C143" s="74">
        <v>42278</v>
      </c>
      <c r="D143" s="75" t="str">
        <f t="shared" si="5"/>
        <v>October</v>
      </c>
      <c r="E143" s="76">
        <v>2015</v>
      </c>
      <c r="F143" s="107" t="s">
        <v>8</v>
      </c>
      <c r="G143" s="25">
        <f>20250.5+4360.3+497.5</f>
        <v>25108.3</v>
      </c>
      <c r="H143" s="62"/>
      <c r="I143" s="62"/>
      <c r="J143" s="62"/>
      <c r="K143" s="62"/>
    </row>
    <row r="144" spans="1:11" ht="15" x14ac:dyDescent="0.25">
      <c r="A144" s="102" t="s">
        <v>122</v>
      </c>
      <c r="B144" s="7" t="s">
        <v>3</v>
      </c>
      <c r="C144" s="74">
        <v>42309</v>
      </c>
      <c r="D144" s="75" t="str">
        <f>CHOOSE(MONTH(C144),"January","February","March","April","May","June","July","August","September","October","November","December")</f>
        <v>November</v>
      </c>
      <c r="E144" s="76">
        <v>2015</v>
      </c>
      <c r="F144" s="106" t="s">
        <v>8</v>
      </c>
      <c r="G144" s="25">
        <v>26002</v>
      </c>
      <c r="H144" s="62"/>
      <c r="I144" s="62"/>
      <c r="J144" s="62"/>
      <c r="K144" s="62"/>
    </row>
    <row r="145" spans="1:11" ht="15" x14ac:dyDescent="0.25">
      <c r="A145" s="62" t="s">
        <v>122</v>
      </c>
      <c r="B145" s="7" t="s">
        <v>3</v>
      </c>
      <c r="C145" s="74">
        <v>42339</v>
      </c>
      <c r="D145" s="75" t="str">
        <f>CHOOSE(MONTH(C145),"January","February","March","April","May","June","July","August","September","October","November","December")</f>
        <v>December</v>
      </c>
      <c r="E145" s="76">
        <v>2015</v>
      </c>
      <c r="F145" s="106" t="s">
        <v>8</v>
      </c>
      <c r="G145" s="25"/>
      <c r="H145" s="62"/>
      <c r="I145" s="62"/>
      <c r="J145" s="62"/>
      <c r="K145" s="62"/>
    </row>
    <row r="146" spans="1:11" ht="15" x14ac:dyDescent="0.25">
      <c r="A146" s="62" t="s">
        <v>123</v>
      </c>
      <c r="B146" s="8" t="s">
        <v>24</v>
      </c>
      <c r="C146" s="74">
        <v>42005</v>
      </c>
      <c r="D146" s="75" t="str">
        <f>CHOOSE(MONTH(C146),"January","February","March","April","May","June","July","August","September","October","November","December")</f>
        <v>January</v>
      </c>
      <c r="E146" s="76">
        <v>2015</v>
      </c>
      <c r="F146" s="106" t="s">
        <v>118</v>
      </c>
      <c r="G146" s="1">
        <f>0.78*1000</f>
        <v>780</v>
      </c>
      <c r="H146" s="62"/>
      <c r="I146" s="62"/>
      <c r="J146" s="62"/>
      <c r="K146" s="62"/>
    </row>
    <row r="147" spans="1:11" ht="15" x14ac:dyDescent="0.25">
      <c r="A147" s="62" t="s">
        <v>123</v>
      </c>
      <c r="B147" s="8" t="s">
        <v>24</v>
      </c>
      <c r="C147" s="74">
        <v>42036</v>
      </c>
      <c r="D147" s="75" t="str">
        <f t="shared" ref="D147:D157" si="6">CHOOSE(MONTH(C147),"January","February","March","April","May","June","July","August","September","October","November","December")</f>
        <v>February</v>
      </c>
      <c r="E147" s="76">
        <v>2015</v>
      </c>
      <c r="F147" s="106" t="s">
        <v>118</v>
      </c>
      <c r="G147" s="1">
        <v>130</v>
      </c>
      <c r="H147" s="62"/>
      <c r="I147" s="62"/>
      <c r="J147" s="62"/>
      <c r="K147" s="62"/>
    </row>
    <row r="148" spans="1:11" ht="15" x14ac:dyDescent="0.25">
      <c r="A148" s="62" t="s">
        <v>123</v>
      </c>
      <c r="B148" s="8" t="s">
        <v>24</v>
      </c>
      <c r="C148" s="74">
        <v>42064</v>
      </c>
      <c r="D148" s="75" t="str">
        <f t="shared" si="6"/>
        <v>March</v>
      </c>
      <c r="E148" s="76">
        <v>2015</v>
      </c>
      <c r="F148" s="106" t="s">
        <v>118</v>
      </c>
      <c r="G148" s="1">
        <v>50</v>
      </c>
      <c r="H148" s="62"/>
      <c r="I148" s="62"/>
      <c r="J148" s="62"/>
      <c r="K148" s="62"/>
    </row>
    <row r="149" spans="1:11" ht="15" x14ac:dyDescent="0.25">
      <c r="A149" s="62" t="s">
        <v>123</v>
      </c>
      <c r="B149" s="8" t="s">
        <v>24</v>
      </c>
      <c r="C149" s="74">
        <v>42095</v>
      </c>
      <c r="D149" s="75" t="str">
        <f t="shared" si="6"/>
        <v>April</v>
      </c>
      <c r="E149" s="76">
        <v>2015</v>
      </c>
      <c r="F149" s="106" t="s">
        <v>118</v>
      </c>
      <c r="G149" s="1">
        <f>0.31*1000</f>
        <v>310</v>
      </c>
      <c r="H149" s="62"/>
      <c r="I149" s="62"/>
      <c r="J149" s="62"/>
      <c r="K149" s="62"/>
    </row>
    <row r="150" spans="1:11" ht="15" x14ac:dyDescent="0.25">
      <c r="A150" s="62" t="s">
        <v>123</v>
      </c>
      <c r="B150" s="1" t="s">
        <v>24</v>
      </c>
      <c r="C150" s="74">
        <v>42125</v>
      </c>
      <c r="D150" s="75" t="str">
        <f t="shared" si="6"/>
        <v>May</v>
      </c>
      <c r="E150" s="76">
        <v>2015</v>
      </c>
      <c r="F150" s="106" t="s">
        <v>118</v>
      </c>
      <c r="G150" s="61">
        <f>0.37*1000</f>
        <v>370</v>
      </c>
      <c r="H150" s="62"/>
      <c r="I150" s="62"/>
      <c r="J150" s="62"/>
      <c r="K150" s="62"/>
    </row>
    <row r="151" spans="1:11" ht="15" x14ac:dyDescent="0.25">
      <c r="A151" s="62" t="s">
        <v>123</v>
      </c>
      <c r="B151" s="1" t="s">
        <v>24</v>
      </c>
      <c r="C151" s="74">
        <v>42156</v>
      </c>
      <c r="D151" s="75" t="str">
        <f t="shared" si="6"/>
        <v>June</v>
      </c>
      <c r="E151" s="76">
        <v>2015</v>
      </c>
      <c r="F151" s="106" t="s">
        <v>118</v>
      </c>
      <c r="G151" s="61">
        <f>1.31*1000</f>
        <v>1310</v>
      </c>
      <c r="H151" s="62"/>
      <c r="I151" s="62"/>
      <c r="J151" s="62"/>
      <c r="K151" s="62"/>
    </row>
    <row r="152" spans="1:11" ht="15" x14ac:dyDescent="0.25">
      <c r="A152" s="62" t="s">
        <v>123</v>
      </c>
      <c r="B152" s="1" t="s">
        <v>24</v>
      </c>
      <c r="C152" s="74">
        <v>42186</v>
      </c>
      <c r="D152" s="75" t="str">
        <f t="shared" si="6"/>
        <v>July</v>
      </c>
      <c r="E152" s="76">
        <v>2015</v>
      </c>
      <c r="F152" s="106" t="s">
        <v>118</v>
      </c>
      <c r="G152" s="61">
        <f>0.6*1000</f>
        <v>600</v>
      </c>
      <c r="H152" s="62"/>
      <c r="I152" s="62"/>
      <c r="J152" s="62"/>
      <c r="K152" s="62"/>
    </row>
    <row r="153" spans="1:11" ht="15" x14ac:dyDescent="0.25">
      <c r="A153" s="62" t="s">
        <v>123</v>
      </c>
      <c r="B153" s="1" t="s">
        <v>24</v>
      </c>
      <c r="C153" s="74">
        <v>42217</v>
      </c>
      <c r="D153" s="75" t="str">
        <f t="shared" si="6"/>
        <v>August</v>
      </c>
      <c r="E153" s="76">
        <v>2015</v>
      </c>
      <c r="F153" s="106" t="s">
        <v>118</v>
      </c>
      <c r="G153" s="61">
        <f>0.73*1000</f>
        <v>730</v>
      </c>
      <c r="H153" s="62"/>
      <c r="I153" s="62"/>
      <c r="J153" s="62"/>
      <c r="K153" s="62"/>
    </row>
    <row r="154" spans="1:11" ht="15" x14ac:dyDescent="0.25">
      <c r="A154" s="62" t="s">
        <v>123</v>
      </c>
      <c r="B154" s="1" t="s">
        <v>24</v>
      </c>
      <c r="C154" s="74">
        <v>42248</v>
      </c>
      <c r="D154" s="75" t="str">
        <f t="shared" si="6"/>
        <v>September</v>
      </c>
      <c r="E154" s="76">
        <v>2015</v>
      </c>
      <c r="F154" s="106" t="s">
        <v>118</v>
      </c>
      <c r="G154" s="61">
        <f>1.22*1000</f>
        <v>1220</v>
      </c>
      <c r="H154" s="62"/>
      <c r="I154" s="62"/>
      <c r="J154" s="62"/>
      <c r="K154" s="62"/>
    </row>
    <row r="155" spans="1:11" ht="15" x14ac:dyDescent="0.25">
      <c r="A155" s="62" t="s">
        <v>123</v>
      </c>
      <c r="B155" s="1" t="s">
        <v>24</v>
      </c>
      <c r="C155" s="74">
        <v>42278</v>
      </c>
      <c r="D155" s="75" t="str">
        <f t="shared" si="6"/>
        <v>October</v>
      </c>
      <c r="E155" s="76">
        <v>2015</v>
      </c>
      <c r="F155" s="106" t="s">
        <v>118</v>
      </c>
      <c r="G155" s="61">
        <f>0.65*1000</f>
        <v>650</v>
      </c>
      <c r="H155" s="62"/>
      <c r="I155" s="62"/>
      <c r="J155" s="62"/>
      <c r="K155" s="62"/>
    </row>
    <row r="156" spans="1:11" ht="15" x14ac:dyDescent="0.25">
      <c r="A156" s="102" t="s">
        <v>123</v>
      </c>
      <c r="B156" s="1" t="s">
        <v>24</v>
      </c>
      <c r="C156" s="74">
        <v>42309</v>
      </c>
      <c r="D156" s="75" t="str">
        <f t="shared" si="6"/>
        <v>November</v>
      </c>
      <c r="E156" s="76">
        <v>2015</v>
      </c>
      <c r="F156" s="106" t="s">
        <v>118</v>
      </c>
      <c r="G156" s="61">
        <f>0.84*1000</f>
        <v>840</v>
      </c>
      <c r="H156" s="62"/>
      <c r="I156" s="62"/>
      <c r="J156" s="62"/>
      <c r="K156" s="62"/>
    </row>
    <row r="157" spans="1:11" ht="15" x14ac:dyDescent="0.25">
      <c r="A157" s="102" t="s">
        <v>123</v>
      </c>
      <c r="B157" s="7" t="s">
        <v>24</v>
      </c>
      <c r="C157" s="74">
        <v>42339</v>
      </c>
      <c r="D157" s="75" t="str">
        <f t="shared" si="6"/>
        <v>December</v>
      </c>
      <c r="E157" s="76">
        <v>2015</v>
      </c>
      <c r="F157" s="106" t="s">
        <v>118</v>
      </c>
      <c r="G157" s="25"/>
      <c r="H157" s="62"/>
      <c r="I157" s="62"/>
      <c r="J157" s="62"/>
      <c r="K157" s="62"/>
    </row>
    <row r="158" spans="1:11" ht="15" x14ac:dyDescent="0.25">
      <c r="A158" s="62" t="s">
        <v>122</v>
      </c>
      <c r="B158" s="8" t="s">
        <v>44</v>
      </c>
      <c r="C158" s="74">
        <v>42005</v>
      </c>
      <c r="D158" s="75" t="str">
        <f t="shared" si="5"/>
        <v>January</v>
      </c>
      <c r="E158" s="76">
        <v>2015</v>
      </c>
      <c r="F158" s="107" t="s">
        <v>8</v>
      </c>
      <c r="G158" s="25">
        <v>3081.7350000000001</v>
      </c>
      <c r="H158" s="62"/>
      <c r="I158" s="62"/>
      <c r="J158" s="62"/>
      <c r="K158" s="62"/>
    </row>
    <row r="159" spans="1:11" ht="15" x14ac:dyDescent="0.25">
      <c r="A159" s="62" t="s">
        <v>122</v>
      </c>
      <c r="B159" s="8" t="s">
        <v>44</v>
      </c>
      <c r="C159" s="74">
        <v>42036</v>
      </c>
      <c r="D159" s="75" t="str">
        <f t="shared" si="5"/>
        <v>February</v>
      </c>
      <c r="E159" s="76">
        <v>2015</v>
      </c>
      <c r="F159" s="107" t="s">
        <v>8</v>
      </c>
      <c r="G159" s="25">
        <v>2851.6032</v>
      </c>
      <c r="H159" s="62"/>
      <c r="I159" s="62"/>
      <c r="J159" s="62"/>
      <c r="K159" s="62"/>
    </row>
    <row r="160" spans="1:11" ht="15" x14ac:dyDescent="0.25">
      <c r="A160" s="62" t="s">
        <v>122</v>
      </c>
      <c r="B160" s="8" t="s">
        <v>44</v>
      </c>
      <c r="C160" s="74">
        <v>42064</v>
      </c>
      <c r="D160" s="75" t="str">
        <f t="shared" si="5"/>
        <v>March</v>
      </c>
      <c r="E160" s="76">
        <v>2015</v>
      </c>
      <c r="F160" s="107" t="s">
        <v>8</v>
      </c>
      <c r="G160" s="25">
        <v>3229.75</v>
      </c>
      <c r="H160" s="62"/>
      <c r="I160" s="62"/>
      <c r="J160" s="62"/>
      <c r="K160" s="62"/>
    </row>
    <row r="161" spans="1:7" ht="15" x14ac:dyDescent="0.25">
      <c r="A161" s="62" t="s">
        <v>122</v>
      </c>
      <c r="B161" s="8" t="s">
        <v>44</v>
      </c>
      <c r="C161" s="74">
        <v>42095</v>
      </c>
      <c r="D161" s="75" t="str">
        <f t="shared" si="5"/>
        <v>April</v>
      </c>
      <c r="E161" s="76">
        <v>2015</v>
      </c>
      <c r="F161" s="107" t="s">
        <v>8</v>
      </c>
      <c r="G161" s="25">
        <v>3110.88</v>
      </c>
    </row>
    <row r="162" spans="1:7" ht="15" x14ac:dyDescent="0.25">
      <c r="A162" s="62" t="s">
        <v>122</v>
      </c>
      <c r="B162" s="8" t="s">
        <v>44</v>
      </c>
      <c r="C162" s="74">
        <v>42125</v>
      </c>
      <c r="D162" s="75" t="str">
        <f t="shared" si="5"/>
        <v>May</v>
      </c>
      <c r="E162" s="76">
        <v>2015</v>
      </c>
      <c r="F162" s="107" t="s">
        <v>8</v>
      </c>
      <c r="G162" s="25">
        <v>2895.2</v>
      </c>
    </row>
    <row r="163" spans="1:7" ht="15" x14ac:dyDescent="0.25">
      <c r="A163" s="62" t="s">
        <v>122</v>
      </c>
      <c r="B163" s="8" t="s">
        <v>44</v>
      </c>
      <c r="C163" s="74">
        <v>42156</v>
      </c>
      <c r="D163" s="75" t="str">
        <f t="shared" si="5"/>
        <v>June</v>
      </c>
      <c r="E163" s="76">
        <v>2015</v>
      </c>
      <c r="F163" s="107" t="s">
        <v>8</v>
      </c>
      <c r="G163" s="25">
        <v>2971</v>
      </c>
    </row>
    <row r="164" spans="1:7" ht="15" x14ac:dyDescent="0.25">
      <c r="A164" s="62" t="s">
        <v>122</v>
      </c>
      <c r="B164" s="8" t="s">
        <v>44</v>
      </c>
      <c r="C164" s="74">
        <v>42186</v>
      </c>
      <c r="D164" s="75" t="str">
        <f t="shared" si="5"/>
        <v>July</v>
      </c>
      <c r="E164" s="76">
        <v>2015</v>
      </c>
      <c r="F164" s="107" t="s">
        <v>8</v>
      </c>
      <c r="G164" s="25">
        <v>3681</v>
      </c>
    </row>
    <row r="165" spans="1:7" ht="15" x14ac:dyDescent="0.25">
      <c r="A165" s="62" t="s">
        <v>122</v>
      </c>
      <c r="B165" s="8" t="s">
        <v>44</v>
      </c>
      <c r="C165" s="74">
        <v>42217</v>
      </c>
      <c r="D165" s="75" t="str">
        <f t="shared" si="5"/>
        <v>August</v>
      </c>
      <c r="E165" s="76">
        <v>2015</v>
      </c>
      <c r="F165" s="107" t="s">
        <v>8</v>
      </c>
      <c r="G165" s="25">
        <v>2785</v>
      </c>
    </row>
    <row r="166" spans="1:7" ht="15" x14ac:dyDescent="0.25">
      <c r="A166" s="62" t="s">
        <v>122</v>
      </c>
      <c r="B166" s="8" t="s">
        <v>44</v>
      </c>
      <c r="C166" s="74">
        <v>42248</v>
      </c>
      <c r="D166" s="75" t="str">
        <f t="shared" si="5"/>
        <v>September</v>
      </c>
      <c r="E166" s="76">
        <v>2015</v>
      </c>
      <c r="F166" s="107" t="s">
        <v>8</v>
      </c>
      <c r="G166" s="25">
        <v>3591.55</v>
      </c>
    </row>
    <row r="167" spans="1:7" ht="15" x14ac:dyDescent="0.25">
      <c r="A167" s="62" t="s">
        <v>122</v>
      </c>
      <c r="B167" s="8" t="s">
        <v>44</v>
      </c>
      <c r="C167" s="74">
        <v>42278</v>
      </c>
      <c r="D167" s="75" t="str">
        <f t="shared" si="5"/>
        <v>October</v>
      </c>
      <c r="E167" s="76">
        <v>2015</v>
      </c>
      <c r="F167" s="107" t="s">
        <v>8</v>
      </c>
      <c r="G167" s="25">
        <v>3351.3</v>
      </c>
    </row>
    <row r="168" spans="1:7" ht="15" x14ac:dyDescent="0.25">
      <c r="A168" s="102" t="s">
        <v>122</v>
      </c>
      <c r="B168" s="8" t="s">
        <v>44</v>
      </c>
      <c r="C168" s="74">
        <v>42309</v>
      </c>
      <c r="D168" s="75" t="str">
        <f>CHOOSE(MONTH(C168),"January","February","March","April","May","June","July","August","September","October","November","December")</f>
        <v>November</v>
      </c>
      <c r="E168" s="76">
        <v>2015</v>
      </c>
      <c r="F168" s="106" t="s">
        <v>8</v>
      </c>
      <c r="G168" s="25">
        <v>3138</v>
      </c>
    </row>
    <row r="169" spans="1:7" ht="15" x14ac:dyDescent="0.25">
      <c r="A169" s="62" t="s">
        <v>122</v>
      </c>
      <c r="B169" s="8" t="s">
        <v>44</v>
      </c>
      <c r="C169" s="74">
        <v>42339</v>
      </c>
      <c r="D169" s="75" t="str">
        <f>CHOOSE(MONTH(C169),"January","February","March","April","May","June","July","August","September","October","November","December")</f>
        <v>December</v>
      </c>
      <c r="E169" s="76">
        <v>2015</v>
      </c>
      <c r="F169" s="106" t="s">
        <v>8</v>
      </c>
      <c r="G169" s="25"/>
    </row>
    <row r="170" spans="1:7" ht="15" x14ac:dyDescent="0.25">
      <c r="A170" s="62" t="s">
        <v>122</v>
      </c>
      <c r="B170" s="8" t="s">
        <v>27</v>
      </c>
      <c r="C170" s="74">
        <v>42005</v>
      </c>
      <c r="D170" s="75" t="str">
        <f t="shared" si="5"/>
        <v>January</v>
      </c>
      <c r="E170" s="76">
        <v>2015</v>
      </c>
      <c r="F170" s="107" t="s">
        <v>8</v>
      </c>
      <c r="G170" s="25">
        <v>2847.9551999999999</v>
      </c>
    </row>
    <row r="171" spans="1:7" ht="15" x14ac:dyDescent="0.25">
      <c r="A171" s="62" t="s">
        <v>122</v>
      </c>
      <c r="B171" s="8" t="s">
        <v>27</v>
      </c>
      <c r="C171" s="74">
        <v>42036</v>
      </c>
      <c r="D171" s="75" t="str">
        <f t="shared" si="5"/>
        <v>February</v>
      </c>
      <c r="E171" s="76">
        <v>2015</v>
      </c>
      <c r="F171" s="107" t="s">
        <v>8</v>
      </c>
      <c r="G171" s="25">
        <v>2595.9522000000002</v>
      </c>
    </row>
    <row r="172" spans="1:7" ht="15" x14ac:dyDescent="0.25">
      <c r="A172" s="62" t="s">
        <v>122</v>
      </c>
      <c r="B172" s="8" t="s">
        <v>27</v>
      </c>
      <c r="C172" s="74">
        <v>42064</v>
      </c>
      <c r="D172" s="75" t="str">
        <f t="shared" si="5"/>
        <v>March</v>
      </c>
      <c r="E172" s="76">
        <v>2015</v>
      </c>
      <c r="F172" s="107" t="s">
        <v>8</v>
      </c>
      <c r="G172" s="25">
        <v>2951.37</v>
      </c>
    </row>
    <row r="173" spans="1:7" ht="15" x14ac:dyDescent="0.25">
      <c r="A173" s="62" t="s">
        <v>122</v>
      </c>
      <c r="B173" s="8" t="s">
        <v>27</v>
      </c>
      <c r="C173" s="74">
        <v>42095</v>
      </c>
      <c r="D173" s="75" t="str">
        <f t="shared" si="5"/>
        <v>April</v>
      </c>
      <c r="E173" s="76">
        <v>2015</v>
      </c>
      <c r="F173" s="107" t="s">
        <v>8</v>
      </c>
      <c r="G173" s="25">
        <v>3042.75</v>
      </c>
    </row>
    <row r="174" spans="1:7" ht="15" x14ac:dyDescent="0.25">
      <c r="A174" s="62" t="s">
        <v>122</v>
      </c>
      <c r="B174" s="8" t="s">
        <v>27</v>
      </c>
      <c r="C174" s="74">
        <v>42125</v>
      </c>
      <c r="D174" s="75" t="str">
        <f t="shared" si="5"/>
        <v>May</v>
      </c>
      <c r="E174" s="76">
        <v>2015</v>
      </c>
      <c r="F174" s="107" t="s">
        <v>8</v>
      </c>
      <c r="G174" s="25">
        <v>3165.7</v>
      </c>
    </row>
    <row r="175" spans="1:7" ht="15" x14ac:dyDescent="0.25">
      <c r="A175" s="62" t="s">
        <v>122</v>
      </c>
      <c r="B175" s="8" t="s">
        <v>27</v>
      </c>
      <c r="C175" s="74">
        <v>42156</v>
      </c>
      <c r="D175" s="75" t="str">
        <f t="shared" si="5"/>
        <v>June</v>
      </c>
      <c r="E175" s="76">
        <v>2015</v>
      </c>
      <c r="F175" s="107" t="s">
        <v>8</v>
      </c>
      <c r="G175" s="25">
        <v>3463</v>
      </c>
    </row>
    <row r="176" spans="1:7" ht="15" x14ac:dyDescent="0.25">
      <c r="A176" s="62" t="s">
        <v>122</v>
      </c>
      <c r="B176" s="8" t="s">
        <v>27</v>
      </c>
      <c r="C176" s="74">
        <v>42186</v>
      </c>
      <c r="D176" s="75" t="str">
        <f t="shared" si="5"/>
        <v>July</v>
      </c>
      <c r="E176" s="76">
        <v>2015</v>
      </c>
      <c r="F176" s="107" t="s">
        <v>8</v>
      </c>
      <c r="G176" s="25">
        <v>3109</v>
      </c>
    </row>
    <row r="177" spans="1:7" ht="15" x14ac:dyDescent="0.25">
      <c r="A177" s="62" t="s">
        <v>122</v>
      </c>
      <c r="B177" s="8" t="s">
        <v>27</v>
      </c>
      <c r="C177" s="74">
        <v>42217</v>
      </c>
      <c r="D177" s="75" t="str">
        <f t="shared" si="5"/>
        <v>August</v>
      </c>
      <c r="E177" s="76">
        <v>2015</v>
      </c>
      <c r="F177" s="107" t="s">
        <v>8</v>
      </c>
      <c r="G177" s="25">
        <v>3298</v>
      </c>
    </row>
    <row r="178" spans="1:7" ht="15" x14ac:dyDescent="0.25">
      <c r="A178" s="62" t="s">
        <v>122</v>
      </c>
      <c r="B178" s="8" t="s">
        <v>27</v>
      </c>
      <c r="C178" s="74">
        <v>42248</v>
      </c>
      <c r="D178" s="75" t="str">
        <f t="shared" si="5"/>
        <v>September</v>
      </c>
      <c r="E178" s="76">
        <v>2015</v>
      </c>
      <c r="F178" s="107" t="s">
        <v>8</v>
      </c>
      <c r="G178" s="25">
        <v>4255.12</v>
      </c>
    </row>
    <row r="179" spans="1:7" ht="15" x14ac:dyDescent="0.25">
      <c r="A179" s="62" t="s">
        <v>122</v>
      </c>
      <c r="B179" s="7" t="s">
        <v>27</v>
      </c>
      <c r="C179" s="74">
        <v>42278</v>
      </c>
      <c r="D179" s="75" t="str">
        <f t="shared" si="5"/>
        <v>October</v>
      </c>
      <c r="E179" s="76">
        <v>2015</v>
      </c>
      <c r="F179" s="107" t="s">
        <v>8</v>
      </c>
      <c r="G179" s="25">
        <v>4132.3999999999996</v>
      </c>
    </row>
    <row r="180" spans="1:7" ht="15" x14ac:dyDescent="0.25">
      <c r="A180" s="102" t="s">
        <v>122</v>
      </c>
      <c r="B180" s="7" t="s">
        <v>27</v>
      </c>
      <c r="C180" s="74">
        <v>42309</v>
      </c>
      <c r="D180" s="75" t="str">
        <f>CHOOSE(MONTH(C180),"January","February","March","April","May","June","July","August","September","October","November","December")</f>
        <v>November</v>
      </c>
      <c r="E180" s="76">
        <v>2015</v>
      </c>
      <c r="F180" s="106" t="s">
        <v>8</v>
      </c>
      <c r="G180" s="25">
        <v>3895</v>
      </c>
    </row>
    <row r="181" spans="1:7" ht="15" x14ac:dyDescent="0.25">
      <c r="A181" s="62" t="s">
        <v>122</v>
      </c>
      <c r="B181" s="7" t="s">
        <v>27</v>
      </c>
      <c r="C181" s="74">
        <v>42339</v>
      </c>
      <c r="D181" s="75" t="str">
        <f>CHOOSE(MONTH(C181),"January","February","March","April","May","June","July","August","September","October","November","December")</f>
        <v>December</v>
      </c>
      <c r="E181" s="76">
        <v>2015</v>
      </c>
      <c r="F181" s="106" t="s">
        <v>8</v>
      </c>
      <c r="G181" s="25"/>
    </row>
    <row r="182" spans="1:7" ht="15" x14ac:dyDescent="0.25">
      <c r="A182" s="62" t="s">
        <v>122</v>
      </c>
      <c r="B182" s="8" t="s">
        <v>3</v>
      </c>
      <c r="C182" s="74">
        <v>42005</v>
      </c>
      <c r="D182" s="75" t="str">
        <f>CHOOSE(MONTH(C182),"January","February","March","April","May","June","July","August","September","October","November","December")</f>
        <v>January</v>
      </c>
      <c r="E182" s="76">
        <v>2015</v>
      </c>
      <c r="F182" s="107" t="s">
        <v>26</v>
      </c>
      <c r="G182" s="25">
        <v>9300</v>
      </c>
    </row>
    <row r="183" spans="1:7" ht="15" x14ac:dyDescent="0.25">
      <c r="A183" s="62" t="s">
        <v>122</v>
      </c>
      <c r="B183" s="8" t="s">
        <v>3</v>
      </c>
      <c r="C183" s="74">
        <v>42036</v>
      </c>
      <c r="D183" s="75" t="str">
        <f t="shared" ref="D183:D215" si="7">CHOOSE(MONTH(C183),"January","February","March","April","May","June","July","August","September","October","November","December")</f>
        <v>February</v>
      </c>
      <c r="E183" s="76">
        <v>2015</v>
      </c>
      <c r="F183" s="107" t="s">
        <v>26</v>
      </c>
      <c r="G183" s="25">
        <v>11990</v>
      </c>
    </row>
    <row r="184" spans="1:7" ht="15" x14ac:dyDescent="0.25">
      <c r="A184" s="62" t="s">
        <v>122</v>
      </c>
      <c r="B184" s="8" t="s">
        <v>3</v>
      </c>
      <c r="C184" s="74">
        <v>42064</v>
      </c>
      <c r="D184" s="75" t="str">
        <f t="shared" si="7"/>
        <v>March</v>
      </c>
      <c r="E184" s="76">
        <v>2015</v>
      </c>
      <c r="F184" s="107" t="s">
        <v>26</v>
      </c>
      <c r="G184" s="25">
        <v>9660</v>
      </c>
    </row>
    <row r="185" spans="1:7" ht="15" x14ac:dyDescent="0.25">
      <c r="A185" s="62" t="s">
        <v>122</v>
      </c>
      <c r="B185" s="8" t="s">
        <v>3</v>
      </c>
      <c r="C185" s="74">
        <v>42095</v>
      </c>
      <c r="D185" s="75" t="str">
        <f t="shared" si="7"/>
        <v>April</v>
      </c>
      <c r="E185" s="76">
        <v>2015</v>
      </c>
      <c r="F185" s="107" t="s">
        <v>26</v>
      </c>
      <c r="G185" s="25">
        <v>11760</v>
      </c>
    </row>
    <row r="186" spans="1:7" ht="15" x14ac:dyDescent="0.25">
      <c r="A186" s="62" t="s">
        <v>122</v>
      </c>
      <c r="B186" s="8" t="s">
        <v>3</v>
      </c>
      <c r="C186" s="74">
        <v>42125</v>
      </c>
      <c r="D186" s="75" t="str">
        <f t="shared" si="7"/>
        <v>May</v>
      </c>
      <c r="E186" s="76">
        <v>2015</v>
      </c>
      <c r="F186" s="107" t="s">
        <v>26</v>
      </c>
      <c r="G186" s="25">
        <v>11530</v>
      </c>
    </row>
    <row r="187" spans="1:7" ht="15" x14ac:dyDescent="0.25">
      <c r="A187" s="62" t="s">
        <v>122</v>
      </c>
      <c r="B187" s="8" t="s">
        <v>3</v>
      </c>
      <c r="C187" s="74">
        <v>42156</v>
      </c>
      <c r="D187" s="75" t="str">
        <f t="shared" si="7"/>
        <v>June</v>
      </c>
      <c r="E187" s="76">
        <v>2015</v>
      </c>
      <c r="F187" s="107" t="s">
        <v>26</v>
      </c>
      <c r="G187" s="25">
        <v>13000</v>
      </c>
    </row>
    <row r="188" spans="1:7" ht="15" x14ac:dyDescent="0.25">
      <c r="A188" s="62" t="s">
        <v>122</v>
      </c>
      <c r="B188" s="8" t="s">
        <v>3</v>
      </c>
      <c r="C188" s="74">
        <v>42186</v>
      </c>
      <c r="D188" s="75" t="str">
        <f t="shared" si="7"/>
        <v>July</v>
      </c>
      <c r="E188" s="76">
        <v>2015</v>
      </c>
      <c r="F188" s="107" t="s">
        <v>26</v>
      </c>
      <c r="G188" s="25">
        <v>12510</v>
      </c>
    </row>
    <row r="189" spans="1:7" ht="15" x14ac:dyDescent="0.25">
      <c r="A189" s="62" t="s">
        <v>122</v>
      </c>
      <c r="B189" s="8" t="s">
        <v>3</v>
      </c>
      <c r="C189" s="74">
        <v>42217</v>
      </c>
      <c r="D189" s="75" t="str">
        <f t="shared" si="7"/>
        <v>August</v>
      </c>
      <c r="E189" s="76">
        <v>2015</v>
      </c>
      <c r="F189" s="107" t="s">
        <v>26</v>
      </c>
      <c r="G189" s="25">
        <v>12150</v>
      </c>
    </row>
    <row r="190" spans="1:7" ht="15" x14ac:dyDescent="0.25">
      <c r="A190" s="62" t="s">
        <v>122</v>
      </c>
      <c r="B190" s="7" t="s">
        <v>3</v>
      </c>
      <c r="C190" s="74">
        <v>42248</v>
      </c>
      <c r="D190" s="75" t="str">
        <f t="shared" si="7"/>
        <v>September</v>
      </c>
      <c r="E190" s="76">
        <v>2015</v>
      </c>
      <c r="F190" s="107" t="s">
        <v>26</v>
      </c>
      <c r="G190" s="25">
        <v>13150</v>
      </c>
    </row>
    <row r="191" spans="1:7" ht="15" x14ac:dyDescent="0.25">
      <c r="A191" s="62" t="s">
        <v>122</v>
      </c>
      <c r="B191" s="7" t="s">
        <v>3</v>
      </c>
      <c r="C191" s="74">
        <v>42278</v>
      </c>
      <c r="D191" s="75" t="str">
        <f t="shared" si="7"/>
        <v>October</v>
      </c>
      <c r="E191" s="76">
        <v>2015</v>
      </c>
      <c r="F191" s="107" t="s">
        <v>26</v>
      </c>
      <c r="G191" s="25">
        <v>13300</v>
      </c>
    </row>
    <row r="192" spans="1:7" ht="15" x14ac:dyDescent="0.25">
      <c r="A192" s="102" t="s">
        <v>122</v>
      </c>
      <c r="B192" s="7" t="s">
        <v>3</v>
      </c>
      <c r="C192" s="74">
        <v>42309</v>
      </c>
      <c r="D192" s="75" t="str">
        <f>CHOOSE(MONTH(C192),"January","February","March","April","May","June","July","August","September","October","November","December")</f>
        <v>November</v>
      </c>
      <c r="E192" s="76">
        <v>2015</v>
      </c>
      <c r="F192" s="106" t="s">
        <v>26</v>
      </c>
      <c r="G192" s="25">
        <v>11820</v>
      </c>
    </row>
    <row r="193" spans="1:7" ht="15" x14ac:dyDescent="0.25">
      <c r="A193" s="62" t="s">
        <v>122</v>
      </c>
      <c r="B193" s="7" t="s">
        <v>3</v>
      </c>
      <c r="C193" s="74">
        <v>42339</v>
      </c>
      <c r="D193" s="75" t="str">
        <f>CHOOSE(MONTH(C193),"January","February","March","April","May","June","July","August","September","October","November","December")</f>
        <v>December</v>
      </c>
      <c r="E193" s="76">
        <v>2015</v>
      </c>
      <c r="F193" s="106" t="s">
        <v>26</v>
      </c>
      <c r="G193" s="25">
        <v>12880</v>
      </c>
    </row>
    <row r="194" spans="1:7" ht="15" x14ac:dyDescent="0.25">
      <c r="A194" s="62" t="s">
        <v>123</v>
      </c>
      <c r="B194" s="8" t="s">
        <v>24</v>
      </c>
      <c r="C194" s="74">
        <v>42005</v>
      </c>
      <c r="D194" s="75" t="str">
        <f t="shared" si="7"/>
        <v>January</v>
      </c>
      <c r="E194" s="76">
        <v>2015</v>
      </c>
      <c r="F194" s="107" t="s">
        <v>26</v>
      </c>
      <c r="G194" s="25">
        <v>2060</v>
      </c>
    </row>
    <row r="195" spans="1:7" ht="15" x14ac:dyDescent="0.25">
      <c r="A195" s="62" t="s">
        <v>123</v>
      </c>
      <c r="B195" s="8" t="s">
        <v>24</v>
      </c>
      <c r="C195" s="74">
        <v>42036</v>
      </c>
      <c r="D195" s="75" t="str">
        <f t="shared" si="7"/>
        <v>February</v>
      </c>
      <c r="E195" s="76">
        <v>2015</v>
      </c>
      <c r="F195" s="107" t="s">
        <v>26</v>
      </c>
      <c r="G195" s="25">
        <v>3810</v>
      </c>
    </row>
    <row r="196" spans="1:7" ht="15" x14ac:dyDescent="0.25">
      <c r="A196" s="62" t="s">
        <v>123</v>
      </c>
      <c r="B196" s="8" t="s">
        <v>24</v>
      </c>
      <c r="C196" s="74">
        <v>42064</v>
      </c>
      <c r="D196" s="75" t="str">
        <f t="shared" si="7"/>
        <v>March</v>
      </c>
      <c r="E196" s="76">
        <v>2015</v>
      </c>
      <c r="F196" s="107" t="s">
        <v>26</v>
      </c>
      <c r="G196" s="25">
        <v>1650</v>
      </c>
    </row>
    <row r="197" spans="1:7" ht="15" x14ac:dyDescent="0.25">
      <c r="A197" s="62" t="s">
        <v>123</v>
      </c>
      <c r="B197" s="8" t="s">
        <v>24</v>
      </c>
      <c r="C197" s="74">
        <v>42095</v>
      </c>
      <c r="D197" s="75" t="str">
        <f t="shared" si="7"/>
        <v>April</v>
      </c>
      <c r="E197" s="76">
        <v>2015</v>
      </c>
      <c r="F197" s="107" t="s">
        <v>26</v>
      </c>
      <c r="G197" s="25">
        <v>2020</v>
      </c>
    </row>
    <row r="198" spans="1:7" ht="15" x14ac:dyDescent="0.25">
      <c r="A198" s="62" t="s">
        <v>123</v>
      </c>
      <c r="B198" s="1" t="s">
        <v>24</v>
      </c>
      <c r="C198" s="74">
        <v>42125</v>
      </c>
      <c r="D198" s="75" t="str">
        <f t="shared" si="7"/>
        <v>May</v>
      </c>
      <c r="E198" s="76">
        <v>2015</v>
      </c>
      <c r="F198" s="107" t="s">
        <v>26</v>
      </c>
      <c r="G198" s="25">
        <v>2000</v>
      </c>
    </row>
    <row r="199" spans="1:7" ht="15" x14ac:dyDescent="0.25">
      <c r="A199" s="62" t="s">
        <v>123</v>
      </c>
      <c r="B199" s="1" t="s">
        <v>24</v>
      </c>
      <c r="C199" s="74">
        <v>42156</v>
      </c>
      <c r="D199" s="75" t="str">
        <f t="shared" si="7"/>
        <v>June</v>
      </c>
      <c r="E199" s="76">
        <v>2015</v>
      </c>
      <c r="F199" s="107" t="s">
        <v>26</v>
      </c>
      <c r="G199" s="25">
        <v>3190</v>
      </c>
    </row>
    <row r="200" spans="1:7" ht="15" x14ac:dyDescent="0.25">
      <c r="A200" s="62" t="s">
        <v>123</v>
      </c>
      <c r="B200" s="1" t="s">
        <v>24</v>
      </c>
      <c r="C200" s="74">
        <v>42186</v>
      </c>
      <c r="D200" s="75" t="str">
        <f t="shared" si="7"/>
        <v>July</v>
      </c>
      <c r="E200" s="76">
        <v>2015</v>
      </c>
      <c r="F200" s="107" t="s">
        <v>26</v>
      </c>
      <c r="G200" s="25">
        <v>2750</v>
      </c>
    </row>
    <row r="201" spans="1:7" ht="15" x14ac:dyDescent="0.25">
      <c r="A201" s="62" t="s">
        <v>123</v>
      </c>
      <c r="B201" s="1" t="s">
        <v>24</v>
      </c>
      <c r="C201" s="74">
        <v>42217</v>
      </c>
      <c r="D201" s="75" t="str">
        <f t="shared" si="7"/>
        <v>August</v>
      </c>
      <c r="E201" s="76">
        <v>2015</v>
      </c>
      <c r="F201" s="107" t="s">
        <v>26</v>
      </c>
      <c r="G201" s="25">
        <v>2870</v>
      </c>
    </row>
    <row r="202" spans="1:7" ht="15" x14ac:dyDescent="0.25">
      <c r="A202" s="62" t="s">
        <v>123</v>
      </c>
      <c r="B202" s="1" t="s">
        <v>24</v>
      </c>
      <c r="C202" s="74">
        <v>42248</v>
      </c>
      <c r="D202" s="75" t="str">
        <f t="shared" si="7"/>
        <v>September</v>
      </c>
      <c r="E202" s="76">
        <v>2015</v>
      </c>
      <c r="F202" s="107" t="s">
        <v>26</v>
      </c>
      <c r="G202" s="25">
        <v>3660</v>
      </c>
    </row>
    <row r="203" spans="1:7" ht="15" x14ac:dyDescent="0.25">
      <c r="A203" s="62" t="s">
        <v>123</v>
      </c>
      <c r="B203" s="1" t="s">
        <v>24</v>
      </c>
      <c r="C203" s="74">
        <v>42278</v>
      </c>
      <c r="D203" s="75" t="str">
        <f t="shared" si="7"/>
        <v>October</v>
      </c>
      <c r="E203" s="76">
        <v>2015</v>
      </c>
      <c r="F203" s="107" t="s">
        <v>26</v>
      </c>
      <c r="G203" s="25">
        <v>2510</v>
      </c>
    </row>
    <row r="204" spans="1:7" ht="15" x14ac:dyDescent="0.25">
      <c r="A204" s="102" t="s">
        <v>123</v>
      </c>
      <c r="B204" s="1" t="s">
        <v>24</v>
      </c>
      <c r="C204" s="74">
        <v>42309</v>
      </c>
      <c r="D204" s="75" t="str">
        <f>CHOOSE(MONTH(C204),"January","February","March","April","May","June","July","August","September","October","November","December")</f>
        <v>November</v>
      </c>
      <c r="E204" s="76">
        <v>2015</v>
      </c>
      <c r="F204" s="106" t="s">
        <v>26</v>
      </c>
      <c r="G204" s="25">
        <v>3670</v>
      </c>
    </row>
    <row r="205" spans="1:7" ht="15" x14ac:dyDescent="0.25">
      <c r="A205" s="102" t="s">
        <v>123</v>
      </c>
      <c r="B205" s="1" t="s">
        <v>24</v>
      </c>
      <c r="C205" s="74">
        <v>42339</v>
      </c>
      <c r="D205" s="75" t="str">
        <f>CHOOSE(MONTH(C205),"January","February","March","April","May","June","July","August","September","October","November","December")</f>
        <v>December</v>
      </c>
      <c r="E205" s="76">
        <v>2015</v>
      </c>
      <c r="F205" s="106" t="s">
        <v>26</v>
      </c>
      <c r="G205" s="25"/>
    </row>
    <row r="206" spans="1:7" ht="15" x14ac:dyDescent="0.25">
      <c r="A206" s="62" t="s">
        <v>122</v>
      </c>
      <c r="B206" s="8" t="s">
        <v>44</v>
      </c>
      <c r="C206" s="74">
        <v>42005</v>
      </c>
      <c r="D206" s="75" t="str">
        <f t="shared" si="7"/>
        <v>January</v>
      </c>
      <c r="E206" s="76">
        <v>2015</v>
      </c>
      <c r="F206" s="107" t="s">
        <v>26</v>
      </c>
      <c r="G206" s="25">
        <v>920</v>
      </c>
    </row>
    <row r="207" spans="1:7" ht="15" x14ac:dyDescent="0.25">
      <c r="A207" s="62" t="s">
        <v>122</v>
      </c>
      <c r="B207" s="8" t="s">
        <v>44</v>
      </c>
      <c r="C207" s="74">
        <v>42036</v>
      </c>
      <c r="D207" s="75" t="str">
        <f t="shared" si="7"/>
        <v>February</v>
      </c>
      <c r="E207" s="76">
        <v>2015</v>
      </c>
      <c r="F207" s="107" t="s">
        <v>26</v>
      </c>
      <c r="G207" s="25">
        <v>750</v>
      </c>
    </row>
    <row r="208" spans="1:7" ht="15" x14ac:dyDescent="0.25">
      <c r="A208" s="62" t="s">
        <v>122</v>
      </c>
      <c r="B208" s="8" t="s">
        <v>44</v>
      </c>
      <c r="C208" s="74">
        <v>42064</v>
      </c>
      <c r="D208" s="75" t="str">
        <f t="shared" si="7"/>
        <v>March</v>
      </c>
      <c r="E208" s="76">
        <v>2015</v>
      </c>
      <c r="F208" s="107" t="s">
        <v>26</v>
      </c>
      <c r="G208" s="25">
        <v>750</v>
      </c>
    </row>
    <row r="209" spans="1:7" ht="15" x14ac:dyDescent="0.25">
      <c r="A209" s="62" t="s">
        <v>122</v>
      </c>
      <c r="B209" s="8" t="s">
        <v>44</v>
      </c>
      <c r="C209" s="74">
        <v>42095</v>
      </c>
      <c r="D209" s="75" t="str">
        <f t="shared" si="7"/>
        <v>April</v>
      </c>
      <c r="E209" s="76">
        <v>2015</v>
      </c>
      <c r="F209" s="107" t="s">
        <v>26</v>
      </c>
      <c r="G209" s="25">
        <v>770</v>
      </c>
    </row>
    <row r="210" spans="1:7" ht="15" x14ac:dyDescent="0.25">
      <c r="A210" s="62" t="s">
        <v>122</v>
      </c>
      <c r="B210" s="8" t="s">
        <v>44</v>
      </c>
      <c r="C210" s="74">
        <v>42125</v>
      </c>
      <c r="D210" s="75" t="str">
        <f t="shared" si="7"/>
        <v>May</v>
      </c>
      <c r="E210" s="76">
        <v>2015</v>
      </c>
      <c r="F210" s="107" t="s">
        <v>26</v>
      </c>
      <c r="G210" s="25">
        <v>920</v>
      </c>
    </row>
    <row r="211" spans="1:7" ht="15" x14ac:dyDescent="0.25">
      <c r="A211" s="62" t="s">
        <v>122</v>
      </c>
      <c r="B211" s="8" t="s">
        <v>44</v>
      </c>
      <c r="C211" s="74">
        <v>42156</v>
      </c>
      <c r="D211" s="75" t="str">
        <f t="shared" si="7"/>
        <v>June</v>
      </c>
      <c r="E211" s="76">
        <v>2015</v>
      </c>
      <c r="F211" s="107" t="s">
        <v>26</v>
      </c>
      <c r="G211" s="25">
        <v>750</v>
      </c>
    </row>
    <row r="212" spans="1:7" ht="15" x14ac:dyDescent="0.25">
      <c r="A212" s="62" t="s">
        <v>122</v>
      </c>
      <c r="B212" s="8" t="s">
        <v>44</v>
      </c>
      <c r="C212" s="74">
        <v>42186</v>
      </c>
      <c r="D212" s="75" t="str">
        <f t="shared" si="7"/>
        <v>July</v>
      </c>
      <c r="E212" s="76">
        <v>2015</v>
      </c>
      <c r="F212" s="107" t="s">
        <v>26</v>
      </c>
      <c r="G212" s="25">
        <v>940</v>
      </c>
    </row>
    <row r="213" spans="1:7" ht="15" x14ac:dyDescent="0.25">
      <c r="A213" s="62" t="s">
        <v>122</v>
      </c>
      <c r="B213" s="8" t="s">
        <v>44</v>
      </c>
      <c r="C213" s="74">
        <v>42217</v>
      </c>
      <c r="D213" s="75" t="str">
        <f t="shared" si="7"/>
        <v>August</v>
      </c>
      <c r="E213" s="76">
        <v>2015</v>
      </c>
      <c r="F213" s="107" t="s">
        <v>26</v>
      </c>
      <c r="G213" s="25">
        <v>750</v>
      </c>
    </row>
    <row r="214" spans="1:7" ht="15" x14ac:dyDescent="0.25">
      <c r="A214" s="62" t="s">
        <v>122</v>
      </c>
      <c r="B214" s="8" t="s">
        <v>44</v>
      </c>
      <c r="C214" s="74">
        <v>42248</v>
      </c>
      <c r="D214" s="75" t="str">
        <f t="shared" si="7"/>
        <v>September</v>
      </c>
      <c r="E214" s="76">
        <v>2015</v>
      </c>
      <c r="F214" s="107" t="s">
        <v>26</v>
      </c>
      <c r="G214" s="25">
        <v>940</v>
      </c>
    </row>
    <row r="215" spans="1:7" ht="15" x14ac:dyDescent="0.25">
      <c r="A215" s="62" t="s">
        <v>122</v>
      </c>
      <c r="B215" s="8" t="s">
        <v>44</v>
      </c>
      <c r="C215" s="74">
        <v>42278</v>
      </c>
      <c r="D215" s="75" t="str">
        <f t="shared" si="7"/>
        <v>October</v>
      </c>
      <c r="E215" s="76">
        <v>2015</v>
      </c>
      <c r="F215" s="107" t="s">
        <v>26</v>
      </c>
      <c r="G215" s="25">
        <v>750</v>
      </c>
    </row>
    <row r="216" spans="1:7" ht="15" x14ac:dyDescent="0.25">
      <c r="A216" s="102" t="s">
        <v>122</v>
      </c>
      <c r="B216" s="8" t="s">
        <v>44</v>
      </c>
      <c r="C216" s="74">
        <v>42309</v>
      </c>
      <c r="D216" s="75" t="str">
        <f>CHOOSE(MONTH(C216),"January","February","March","April","May","June","July","August","September","October","November","December")</f>
        <v>November</v>
      </c>
      <c r="E216" s="76">
        <v>2015</v>
      </c>
      <c r="F216" s="106" t="s">
        <v>26</v>
      </c>
      <c r="G216" s="25">
        <v>770</v>
      </c>
    </row>
    <row r="217" spans="1:7" ht="15" x14ac:dyDescent="0.25">
      <c r="A217" s="62" t="s">
        <v>122</v>
      </c>
      <c r="B217" s="8" t="s">
        <v>44</v>
      </c>
      <c r="C217" s="74">
        <v>42339</v>
      </c>
      <c r="D217" s="75" t="str">
        <f>CHOOSE(MONTH(C217),"January","February","March","April","May","June","July","August","September","October","November","December")</f>
        <v>December</v>
      </c>
      <c r="E217" s="76">
        <v>2015</v>
      </c>
      <c r="F217" s="106" t="s">
        <v>26</v>
      </c>
      <c r="G217" s="25">
        <v>1860</v>
      </c>
    </row>
    <row r="218" spans="1:7" ht="15" x14ac:dyDescent="0.25">
      <c r="A218" s="62" t="s">
        <v>122</v>
      </c>
      <c r="B218" s="8" t="s">
        <v>3</v>
      </c>
      <c r="C218" s="74">
        <v>42005</v>
      </c>
      <c r="D218" s="75" t="str">
        <f>CHOOSE(MONTH(C218),"January","February","March","April","May","June","July","August","September","October","November","December")</f>
        <v>January</v>
      </c>
      <c r="E218" s="76">
        <v>2015</v>
      </c>
      <c r="F218" s="107" t="s">
        <v>11</v>
      </c>
      <c r="G218" s="25">
        <v>11150</v>
      </c>
    </row>
    <row r="219" spans="1:7" ht="15" x14ac:dyDescent="0.25">
      <c r="A219" s="62" t="s">
        <v>122</v>
      </c>
      <c r="B219" s="8" t="s">
        <v>3</v>
      </c>
      <c r="C219" s="74">
        <v>42036</v>
      </c>
      <c r="D219" s="75" t="str">
        <f t="shared" ref="D219:D263" si="8">CHOOSE(MONTH(C219),"January","February","March","April","May","June","July","August","September","October","November","December")</f>
        <v>February</v>
      </c>
      <c r="E219" s="76">
        <v>2015</v>
      </c>
      <c r="F219" s="107" t="s">
        <v>11</v>
      </c>
      <c r="G219" s="25">
        <v>10300</v>
      </c>
    </row>
    <row r="220" spans="1:7" ht="15" x14ac:dyDescent="0.25">
      <c r="A220" s="62" t="s">
        <v>122</v>
      </c>
      <c r="B220" s="8" t="s">
        <v>3</v>
      </c>
      <c r="C220" s="74">
        <v>42064</v>
      </c>
      <c r="D220" s="75" t="str">
        <f t="shared" si="8"/>
        <v>March</v>
      </c>
      <c r="E220" s="76">
        <v>2015</v>
      </c>
      <c r="F220" s="107" t="s">
        <v>11</v>
      </c>
      <c r="G220" s="25">
        <v>12270</v>
      </c>
    </row>
    <row r="221" spans="1:7" ht="15" x14ac:dyDescent="0.25">
      <c r="A221" s="62" t="s">
        <v>122</v>
      </c>
      <c r="B221" s="8" t="s">
        <v>3</v>
      </c>
      <c r="C221" s="74">
        <v>42095</v>
      </c>
      <c r="D221" s="75" t="str">
        <f t="shared" si="8"/>
        <v>April</v>
      </c>
      <c r="E221" s="76">
        <v>2015</v>
      </c>
      <c r="F221" s="107" t="s">
        <v>11</v>
      </c>
      <c r="G221" s="25">
        <v>15340</v>
      </c>
    </row>
    <row r="222" spans="1:7" ht="15" x14ac:dyDescent="0.25">
      <c r="A222" s="62" t="s">
        <v>122</v>
      </c>
      <c r="B222" s="8" t="s">
        <v>3</v>
      </c>
      <c r="C222" s="74">
        <v>42125</v>
      </c>
      <c r="D222" s="75" t="str">
        <f t="shared" si="8"/>
        <v>May</v>
      </c>
      <c r="E222" s="76">
        <v>2015</v>
      </c>
      <c r="F222" s="107" t="s">
        <v>11</v>
      </c>
      <c r="G222" s="25">
        <v>15340</v>
      </c>
    </row>
    <row r="223" spans="1:7" ht="15" x14ac:dyDescent="0.25">
      <c r="A223" s="62" t="s">
        <v>122</v>
      </c>
      <c r="B223" s="8" t="s">
        <v>3</v>
      </c>
      <c r="C223" s="74">
        <v>42156</v>
      </c>
      <c r="D223" s="75" t="str">
        <f t="shared" si="8"/>
        <v>June</v>
      </c>
      <c r="E223" s="76">
        <v>2015</v>
      </c>
      <c r="F223" s="107" t="s">
        <v>11</v>
      </c>
      <c r="G223" s="25">
        <v>12440</v>
      </c>
    </row>
    <row r="224" spans="1:7" ht="15" x14ac:dyDescent="0.25">
      <c r="A224" s="62" t="s">
        <v>122</v>
      </c>
      <c r="B224" s="8" t="s">
        <v>3</v>
      </c>
      <c r="C224" s="74">
        <v>42186</v>
      </c>
      <c r="D224" s="75" t="str">
        <f t="shared" si="8"/>
        <v>July</v>
      </c>
      <c r="E224" s="76">
        <v>2015</v>
      </c>
      <c r="F224" s="107" t="s">
        <v>11</v>
      </c>
      <c r="G224" s="25">
        <v>12170</v>
      </c>
    </row>
    <row r="225" spans="1:7" ht="15" x14ac:dyDescent="0.25">
      <c r="A225" s="62" t="s">
        <v>122</v>
      </c>
      <c r="B225" s="8" t="s">
        <v>3</v>
      </c>
      <c r="C225" s="74">
        <v>42217</v>
      </c>
      <c r="D225" s="75" t="str">
        <f t="shared" si="8"/>
        <v>August</v>
      </c>
      <c r="E225" s="76">
        <v>2015</v>
      </c>
      <c r="F225" s="107" t="s">
        <v>11</v>
      </c>
      <c r="G225" s="25">
        <v>10670</v>
      </c>
    </row>
    <row r="226" spans="1:7" ht="15" x14ac:dyDescent="0.25">
      <c r="A226" s="62" t="s">
        <v>122</v>
      </c>
      <c r="B226" s="7" t="s">
        <v>3</v>
      </c>
      <c r="C226" s="74">
        <v>42248</v>
      </c>
      <c r="D226" s="75" t="str">
        <f t="shared" si="8"/>
        <v>September</v>
      </c>
      <c r="E226" s="76">
        <v>2015</v>
      </c>
      <c r="F226" s="107" t="s">
        <v>11</v>
      </c>
      <c r="G226" s="25">
        <v>9820</v>
      </c>
    </row>
    <row r="227" spans="1:7" ht="15" x14ac:dyDescent="0.25">
      <c r="A227" s="62" t="s">
        <v>122</v>
      </c>
      <c r="B227" s="7" t="s">
        <v>3</v>
      </c>
      <c r="C227" s="74">
        <v>42278</v>
      </c>
      <c r="D227" s="75" t="str">
        <f t="shared" si="8"/>
        <v>October</v>
      </c>
      <c r="E227" s="76">
        <v>2015</v>
      </c>
      <c r="F227" s="107" t="s">
        <v>11</v>
      </c>
      <c r="G227" s="25">
        <v>12500</v>
      </c>
    </row>
    <row r="228" spans="1:7" ht="15" x14ac:dyDescent="0.25">
      <c r="A228" s="102" t="s">
        <v>122</v>
      </c>
      <c r="B228" s="7" t="s">
        <v>3</v>
      </c>
      <c r="C228" s="74">
        <v>42309</v>
      </c>
      <c r="D228" s="75" t="str">
        <f>CHOOSE(MONTH(C228),"January","February","March","April","May","June","July","August","September","October","November","December")</f>
        <v>November</v>
      </c>
      <c r="E228" s="76">
        <v>2015</v>
      </c>
      <c r="F228" s="106" t="s">
        <v>11</v>
      </c>
      <c r="G228" s="25">
        <v>11920</v>
      </c>
    </row>
    <row r="229" spans="1:7" ht="15" x14ac:dyDescent="0.25">
      <c r="A229" s="62" t="s">
        <v>122</v>
      </c>
      <c r="B229" s="7" t="s">
        <v>3</v>
      </c>
      <c r="C229" s="74">
        <v>42339</v>
      </c>
      <c r="D229" s="75" t="str">
        <f>CHOOSE(MONTH(C229),"January","February","March","April","May","June","July","August","September","October","November","December")</f>
        <v>December</v>
      </c>
      <c r="E229" s="76">
        <v>2015</v>
      </c>
      <c r="F229" s="106" t="s">
        <v>11</v>
      </c>
      <c r="G229" s="25">
        <v>10840</v>
      </c>
    </row>
    <row r="230" spans="1:7" ht="15" x14ac:dyDescent="0.25">
      <c r="A230" s="62" t="s">
        <v>123</v>
      </c>
      <c r="B230" s="8" t="s">
        <v>24</v>
      </c>
      <c r="C230" s="74">
        <v>42005</v>
      </c>
      <c r="D230" s="75" t="str">
        <f t="shared" si="8"/>
        <v>January</v>
      </c>
      <c r="E230" s="76">
        <v>2015</v>
      </c>
      <c r="F230" s="107" t="s">
        <v>11</v>
      </c>
      <c r="G230" s="25">
        <v>0</v>
      </c>
    </row>
    <row r="231" spans="1:7" ht="15" x14ac:dyDescent="0.25">
      <c r="A231" s="62" t="s">
        <v>123</v>
      </c>
      <c r="B231" s="8" t="s">
        <v>24</v>
      </c>
      <c r="C231" s="74">
        <v>42036</v>
      </c>
      <c r="D231" s="75" t="str">
        <f t="shared" si="8"/>
        <v>February</v>
      </c>
      <c r="E231" s="76">
        <v>2015</v>
      </c>
      <c r="F231" s="107" t="s">
        <v>11</v>
      </c>
      <c r="G231" s="25">
        <v>0</v>
      </c>
    </row>
    <row r="232" spans="1:7" ht="15" x14ac:dyDescent="0.25">
      <c r="A232" s="62" t="s">
        <v>123</v>
      </c>
      <c r="B232" s="8" t="s">
        <v>24</v>
      </c>
      <c r="C232" s="74">
        <v>42064</v>
      </c>
      <c r="D232" s="75" t="str">
        <f t="shared" si="8"/>
        <v>March</v>
      </c>
      <c r="E232" s="76">
        <v>2015</v>
      </c>
      <c r="F232" s="107" t="s">
        <v>11</v>
      </c>
      <c r="G232" s="25">
        <v>0</v>
      </c>
    </row>
    <row r="233" spans="1:7" ht="15" x14ac:dyDescent="0.25">
      <c r="A233" s="62" t="s">
        <v>123</v>
      </c>
      <c r="B233" s="8" t="s">
        <v>24</v>
      </c>
      <c r="C233" s="74">
        <v>42095</v>
      </c>
      <c r="D233" s="75" t="str">
        <f t="shared" si="8"/>
        <v>April</v>
      </c>
      <c r="E233" s="76">
        <v>2015</v>
      </c>
      <c r="F233" s="107" t="s">
        <v>11</v>
      </c>
      <c r="G233" s="25">
        <v>0</v>
      </c>
    </row>
    <row r="234" spans="1:7" ht="15" x14ac:dyDescent="0.25">
      <c r="A234" s="62" t="s">
        <v>123</v>
      </c>
      <c r="B234" s="1" t="s">
        <v>24</v>
      </c>
      <c r="C234" s="74">
        <v>42125</v>
      </c>
      <c r="D234" s="75" t="str">
        <f t="shared" si="8"/>
        <v>May</v>
      </c>
      <c r="E234" s="76">
        <v>2015</v>
      </c>
      <c r="F234" s="107" t="s">
        <v>11</v>
      </c>
      <c r="G234" s="25">
        <v>0</v>
      </c>
    </row>
    <row r="235" spans="1:7" ht="15" x14ac:dyDescent="0.25">
      <c r="A235" s="62" t="s">
        <v>123</v>
      </c>
      <c r="B235" s="1" t="s">
        <v>24</v>
      </c>
      <c r="C235" s="74">
        <v>42156</v>
      </c>
      <c r="D235" s="75" t="str">
        <f t="shared" si="8"/>
        <v>June</v>
      </c>
      <c r="E235" s="76">
        <v>2015</v>
      </c>
      <c r="F235" s="107" t="s">
        <v>11</v>
      </c>
      <c r="G235" s="25">
        <v>0</v>
      </c>
    </row>
    <row r="236" spans="1:7" ht="15" x14ac:dyDescent="0.25">
      <c r="A236" s="62" t="s">
        <v>123</v>
      </c>
      <c r="B236" s="1" t="s">
        <v>24</v>
      </c>
      <c r="C236" s="74">
        <v>42186</v>
      </c>
      <c r="D236" s="75" t="str">
        <f t="shared" si="8"/>
        <v>July</v>
      </c>
      <c r="E236" s="76">
        <v>2015</v>
      </c>
      <c r="F236" s="107" t="s">
        <v>11</v>
      </c>
      <c r="G236" s="25">
        <v>0</v>
      </c>
    </row>
    <row r="237" spans="1:7" ht="15" x14ac:dyDescent="0.25">
      <c r="A237" s="62" t="s">
        <v>123</v>
      </c>
      <c r="B237" s="1" t="s">
        <v>24</v>
      </c>
      <c r="C237" s="74">
        <v>42217</v>
      </c>
      <c r="D237" s="75" t="str">
        <f t="shared" si="8"/>
        <v>August</v>
      </c>
      <c r="E237" s="76">
        <v>2015</v>
      </c>
      <c r="F237" s="107" t="s">
        <v>11</v>
      </c>
      <c r="G237" s="25">
        <v>0</v>
      </c>
    </row>
    <row r="238" spans="1:7" ht="15" x14ac:dyDescent="0.25">
      <c r="A238" s="62" t="s">
        <v>123</v>
      </c>
      <c r="B238" s="1" t="s">
        <v>24</v>
      </c>
      <c r="C238" s="74">
        <v>42248</v>
      </c>
      <c r="D238" s="75" t="str">
        <f t="shared" si="8"/>
        <v>September</v>
      </c>
      <c r="E238" s="76">
        <v>2015</v>
      </c>
      <c r="F238" s="107" t="s">
        <v>11</v>
      </c>
      <c r="G238" s="25">
        <v>0</v>
      </c>
    </row>
    <row r="239" spans="1:7" ht="15" x14ac:dyDescent="0.25">
      <c r="A239" s="62" t="s">
        <v>123</v>
      </c>
      <c r="B239" s="1" t="s">
        <v>24</v>
      </c>
      <c r="C239" s="74">
        <v>42278</v>
      </c>
      <c r="D239" s="75" t="str">
        <f t="shared" si="8"/>
        <v>October</v>
      </c>
      <c r="E239" s="76">
        <v>2015</v>
      </c>
      <c r="F239" s="107" t="s">
        <v>11</v>
      </c>
      <c r="G239" s="25">
        <v>0</v>
      </c>
    </row>
    <row r="240" spans="1:7" ht="15" x14ac:dyDescent="0.25">
      <c r="A240" s="102" t="s">
        <v>123</v>
      </c>
      <c r="B240" s="1" t="s">
        <v>24</v>
      </c>
      <c r="C240" s="74">
        <v>42309</v>
      </c>
      <c r="D240" s="75" t="str">
        <f>CHOOSE(MONTH(C240),"January","February","March","April","May","June","July","August","September","October","November","December")</f>
        <v>November</v>
      </c>
      <c r="E240" s="76">
        <v>2015</v>
      </c>
      <c r="F240" s="106" t="s">
        <v>11</v>
      </c>
      <c r="G240" s="25">
        <v>0</v>
      </c>
    </row>
    <row r="241" spans="1:7" ht="15" x14ac:dyDescent="0.25">
      <c r="A241" s="102" t="s">
        <v>123</v>
      </c>
      <c r="B241" s="1" t="s">
        <v>24</v>
      </c>
      <c r="C241" s="74">
        <v>42339</v>
      </c>
      <c r="D241" s="75" t="str">
        <f>CHOOSE(MONTH(C241),"January","February","March","April","May","June","July","August","September","October","November","December")</f>
        <v>December</v>
      </c>
      <c r="E241" s="76">
        <v>2015</v>
      </c>
      <c r="F241" s="106" t="s">
        <v>11</v>
      </c>
      <c r="G241" s="25">
        <v>0</v>
      </c>
    </row>
    <row r="242" spans="1:7" ht="15" x14ac:dyDescent="0.25">
      <c r="A242" s="62" t="s">
        <v>122</v>
      </c>
      <c r="B242" s="8" t="s">
        <v>44</v>
      </c>
      <c r="C242" s="74">
        <v>42005</v>
      </c>
      <c r="D242" s="75" t="str">
        <f t="shared" si="8"/>
        <v>January</v>
      </c>
      <c r="E242" s="76">
        <v>2015</v>
      </c>
      <c r="F242" s="107" t="s">
        <v>11</v>
      </c>
      <c r="G242" s="25">
        <v>4080</v>
      </c>
    </row>
    <row r="243" spans="1:7" ht="15" x14ac:dyDescent="0.25">
      <c r="A243" s="62" t="s">
        <v>122</v>
      </c>
      <c r="B243" s="8" t="s">
        <v>44</v>
      </c>
      <c r="C243" s="74">
        <v>42036</v>
      </c>
      <c r="D243" s="75" t="str">
        <f t="shared" si="8"/>
        <v>February</v>
      </c>
      <c r="E243" s="76">
        <v>2015</v>
      </c>
      <c r="F243" s="107" t="s">
        <v>11</v>
      </c>
      <c r="G243" s="25">
        <v>3630</v>
      </c>
    </row>
    <row r="244" spans="1:7" ht="15" x14ac:dyDescent="0.25">
      <c r="A244" s="62" t="s">
        <v>122</v>
      </c>
      <c r="B244" s="8" t="s">
        <v>44</v>
      </c>
      <c r="C244" s="74">
        <v>42064</v>
      </c>
      <c r="D244" s="75" t="str">
        <f t="shared" si="8"/>
        <v>March</v>
      </c>
      <c r="E244" s="76">
        <v>2015</v>
      </c>
      <c r="F244" s="107" t="s">
        <v>11</v>
      </c>
      <c r="G244" s="25">
        <v>4080</v>
      </c>
    </row>
    <row r="245" spans="1:7" ht="15" x14ac:dyDescent="0.25">
      <c r="A245" s="62" t="s">
        <v>122</v>
      </c>
      <c r="B245" s="8" t="s">
        <v>44</v>
      </c>
      <c r="C245" s="74">
        <v>42095</v>
      </c>
      <c r="D245" s="75" t="str">
        <f t="shared" si="8"/>
        <v>April</v>
      </c>
      <c r="E245" s="76">
        <v>2015</v>
      </c>
      <c r="F245" s="107" t="s">
        <v>11</v>
      </c>
      <c r="G245" s="25">
        <v>4080</v>
      </c>
    </row>
    <row r="246" spans="1:7" ht="15" x14ac:dyDescent="0.25">
      <c r="A246" s="62" t="s">
        <v>122</v>
      </c>
      <c r="B246" s="8" t="s">
        <v>44</v>
      </c>
      <c r="C246" s="74">
        <v>42125</v>
      </c>
      <c r="D246" s="75" t="str">
        <f t="shared" si="8"/>
        <v>May</v>
      </c>
      <c r="E246" s="76">
        <v>2015</v>
      </c>
      <c r="F246" s="107" t="s">
        <v>11</v>
      </c>
      <c r="G246" s="25">
        <v>3630</v>
      </c>
    </row>
    <row r="247" spans="1:7" ht="15" x14ac:dyDescent="0.25">
      <c r="A247" s="62" t="s">
        <v>122</v>
      </c>
      <c r="B247" s="8" t="s">
        <v>44</v>
      </c>
      <c r="C247" s="74">
        <v>42156</v>
      </c>
      <c r="D247" s="75" t="str">
        <f t="shared" si="8"/>
        <v>June</v>
      </c>
      <c r="E247" s="76">
        <v>2015</v>
      </c>
      <c r="F247" s="107" t="s">
        <v>11</v>
      </c>
      <c r="G247" s="25">
        <v>4080</v>
      </c>
    </row>
    <row r="248" spans="1:7" ht="15" x14ac:dyDescent="0.25">
      <c r="A248" s="62" t="s">
        <v>122</v>
      </c>
      <c r="B248" s="8" t="s">
        <v>44</v>
      </c>
      <c r="C248" s="74">
        <v>42186</v>
      </c>
      <c r="D248" s="75" t="str">
        <f t="shared" si="8"/>
        <v>July</v>
      </c>
      <c r="E248" s="76">
        <v>2015</v>
      </c>
      <c r="F248" s="107" t="s">
        <v>11</v>
      </c>
      <c r="G248" s="25">
        <v>4080</v>
      </c>
    </row>
    <row r="249" spans="1:7" ht="15" x14ac:dyDescent="0.25">
      <c r="A249" s="62" t="s">
        <v>122</v>
      </c>
      <c r="B249" s="8" t="s">
        <v>44</v>
      </c>
      <c r="C249" s="74">
        <v>42217</v>
      </c>
      <c r="D249" s="75" t="str">
        <f t="shared" si="8"/>
        <v>August</v>
      </c>
      <c r="E249" s="76">
        <v>2015</v>
      </c>
      <c r="F249" s="107" t="s">
        <v>11</v>
      </c>
      <c r="G249" s="25">
        <v>4080</v>
      </c>
    </row>
    <row r="250" spans="1:7" ht="15" x14ac:dyDescent="0.25">
      <c r="A250" s="62" t="s">
        <v>122</v>
      </c>
      <c r="B250" s="8" t="s">
        <v>44</v>
      </c>
      <c r="C250" s="74">
        <v>42248</v>
      </c>
      <c r="D250" s="75" t="str">
        <f t="shared" si="8"/>
        <v>September</v>
      </c>
      <c r="E250" s="76">
        <v>2015</v>
      </c>
      <c r="F250" s="107" t="s">
        <v>11</v>
      </c>
      <c r="G250" s="25">
        <v>3630</v>
      </c>
    </row>
    <row r="251" spans="1:7" ht="15" x14ac:dyDescent="0.25">
      <c r="A251" s="62" t="s">
        <v>122</v>
      </c>
      <c r="B251" s="8" t="s">
        <v>44</v>
      </c>
      <c r="C251" s="74">
        <v>42278</v>
      </c>
      <c r="D251" s="75" t="str">
        <f t="shared" si="8"/>
        <v>October</v>
      </c>
      <c r="E251" s="76">
        <v>2015</v>
      </c>
      <c r="F251" s="107" t="s">
        <v>11</v>
      </c>
      <c r="G251" s="25">
        <v>4080</v>
      </c>
    </row>
    <row r="252" spans="1:7" ht="15" x14ac:dyDescent="0.25">
      <c r="A252" s="102" t="s">
        <v>122</v>
      </c>
      <c r="B252" s="8" t="s">
        <v>44</v>
      </c>
      <c r="C252" s="74">
        <v>42309</v>
      </c>
      <c r="D252" s="75" t="str">
        <f>CHOOSE(MONTH(C252),"January","February","March","April","May","June","July","August","September","October","November","December")</f>
        <v>November</v>
      </c>
      <c r="E252" s="76">
        <v>2015</v>
      </c>
      <c r="F252" s="106" t="s">
        <v>11</v>
      </c>
      <c r="G252" s="25">
        <v>4080</v>
      </c>
    </row>
    <row r="253" spans="1:7" ht="15" x14ac:dyDescent="0.25">
      <c r="A253" s="62" t="s">
        <v>122</v>
      </c>
      <c r="B253" s="8" t="s">
        <v>44</v>
      </c>
      <c r="C253" s="74">
        <v>42339</v>
      </c>
      <c r="D253" s="75" t="str">
        <f>CHOOSE(MONTH(C253),"January","February","March","April","May","June","July","August","September","October","November","December")</f>
        <v>December</v>
      </c>
      <c r="E253" s="76">
        <v>2015</v>
      </c>
      <c r="F253" s="106" t="s">
        <v>11</v>
      </c>
      <c r="G253" s="25">
        <v>4080</v>
      </c>
    </row>
    <row r="254" spans="1:7" ht="15" x14ac:dyDescent="0.25">
      <c r="A254" s="62" t="s">
        <v>122</v>
      </c>
      <c r="B254" s="8" t="s">
        <v>27</v>
      </c>
      <c r="C254" s="74">
        <v>42005</v>
      </c>
      <c r="D254" s="75" t="str">
        <f t="shared" si="8"/>
        <v>January</v>
      </c>
      <c r="E254" s="76">
        <v>2015</v>
      </c>
      <c r="F254" s="107" t="s">
        <v>11</v>
      </c>
      <c r="G254" s="25">
        <v>1550</v>
      </c>
    </row>
    <row r="255" spans="1:7" ht="15" x14ac:dyDescent="0.25">
      <c r="A255" s="62" t="s">
        <v>122</v>
      </c>
      <c r="B255" s="8" t="s">
        <v>27</v>
      </c>
      <c r="C255" s="74">
        <v>42036</v>
      </c>
      <c r="D255" s="75" t="str">
        <f t="shared" si="8"/>
        <v>February</v>
      </c>
      <c r="E255" s="76">
        <v>2015</v>
      </c>
      <c r="F255" s="107" t="s">
        <v>11</v>
      </c>
      <c r="G255" s="25">
        <v>1240</v>
      </c>
    </row>
    <row r="256" spans="1:7" ht="15" x14ac:dyDescent="0.25">
      <c r="A256" s="62" t="s">
        <v>122</v>
      </c>
      <c r="B256" s="8" t="s">
        <v>27</v>
      </c>
      <c r="C256" s="74">
        <v>42064</v>
      </c>
      <c r="D256" s="75" t="str">
        <f t="shared" si="8"/>
        <v>March</v>
      </c>
      <c r="E256" s="76">
        <v>2015</v>
      </c>
      <c r="F256" s="107" t="s">
        <v>11</v>
      </c>
      <c r="G256" s="25">
        <v>1240</v>
      </c>
    </row>
    <row r="257" spans="1:7" ht="15" x14ac:dyDescent="0.25">
      <c r="A257" s="62" t="s">
        <v>122</v>
      </c>
      <c r="B257" s="8" t="s">
        <v>27</v>
      </c>
      <c r="C257" s="74">
        <v>42095</v>
      </c>
      <c r="D257" s="75" t="str">
        <f t="shared" si="8"/>
        <v>April</v>
      </c>
      <c r="E257" s="76">
        <v>2015</v>
      </c>
      <c r="F257" s="107" t="s">
        <v>11</v>
      </c>
      <c r="G257" s="25">
        <v>1550</v>
      </c>
    </row>
    <row r="258" spans="1:7" ht="15" x14ac:dyDescent="0.25">
      <c r="A258" s="62" t="s">
        <v>122</v>
      </c>
      <c r="B258" s="8" t="s">
        <v>27</v>
      </c>
      <c r="C258" s="74">
        <v>42125</v>
      </c>
      <c r="D258" s="75" t="str">
        <f t="shared" si="8"/>
        <v>May</v>
      </c>
      <c r="E258" s="76">
        <v>2015</v>
      </c>
      <c r="F258" s="107" t="s">
        <v>11</v>
      </c>
      <c r="G258" s="25">
        <v>1240</v>
      </c>
    </row>
    <row r="259" spans="1:7" ht="15" x14ac:dyDescent="0.25">
      <c r="A259" s="62" t="s">
        <v>122</v>
      </c>
      <c r="B259" s="8" t="s">
        <v>27</v>
      </c>
      <c r="C259" s="74">
        <v>42156</v>
      </c>
      <c r="D259" s="75" t="str">
        <f t="shared" si="8"/>
        <v>June</v>
      </c>
      <c r="E259" s="76">
        <v>2015</v>
      </c>
      <c r="F259" s="107" t="s">
        <v>11</v>
      </c>
      <c r="G259" s="25">
        <v>1240</v>
      </c>
    </row>
    <row r="260" spans="1:7" ht="15" x14ac:dyDescent="0.25">
      <c r="A260" s="62" t="s">
        <v>122</v>
      </c>
      <c r="B260" s="8" t="s">
        <v>27</v>
      </c>
      <c r="C260" s="74">
        <v>42186</v>
      </c>
      <c r="D260" s="75" t="str">
        <f t="shared" si="8"/>
        <v>July</v>
      </c>
      <c r="E260" s="76">
        <v>2015</v>
      </c>
      <c r="F260" s="107" t="s">
        <v>11</v>
      </c>
      <c r="G260" s="25">
        <v>1550</v>
      </c>
    </row>
    <row r="261" spans="1:7" ht="15" x14ac:dyDescent="0.25">
      <c r="A261" s="62" t="s">
        <v>122</v>
      </c>
      <c r="B261" s="8" t="s">
        <v>27</v>
      </c>
      <c r="C261" s="74">
        <v>42217</v>
      </c>
      <c r="D261" s="75" t="str">
        <f t="shared" si="8"/>
        <v>August</v>
      </c>
      <c r="E261" s="76">
        <v>2015</v>
      </c>
      <c r="F261" s="107" t="s">
        <v>11</v>
      </c>
      <c r="G261" s="25">
        <v>1240</v>
      </c>
    </row>
    <row r="262" spans="1:7" ht="15" x14ac:dyDescent="0.25">
      <c r="A262" s="62" t="s">
        <v>122</v>
      </c>
      <c r="B262" s="8" t="s">
        <v>27</v>
      </c>
      <c r="C262" s="74">
        <v>42248</v>
      </c>
      <c r="D262" s="75" t="str">
        <f t="shared" si="8"/>
        <v>September</v>
      </c>
      <c r="E262" s="76">
        <v>2015</v>
      </c>
      <c r="F262" s="107" t="s">
        <v>11</v>
      </c>
      <c r="G262" s="25">
        <v>1240</v>
      </c>
    </row>
    <row r="263" spans="1:7" ht="15" x14ac:dyDescent="0.25">
      <c r="A263" s="62" t="s">
        <v>122</v>
      </c>
      <c r="B263" s="7" t="s">
        <v>27</v>
      </c>
      <c r="C263" s="74">
        <v>42278</v>
      </c>
      <c r="D263" s="75" t="str">
        <f t="shared" si="8"/>
        <v>October</v>
      </c>
      <c r="E263" s="76">
        <v>2015</v>
      </c>
      <c r="F263" s="107" t="s">
        <v>11</v>
      </c>
      <c r="G263" s="25">
        <v>1550</v>
      </c>
    </row>
    <row r="264" spans="1:7" ht="15" x14ac:dyDescent="0.25">
      <c r="A264" s="102" t="s">
        <v>122</v>
      </c>
      <c r="B264" s="7" t="s">
        <v>27</v>
      </c>
      <c r="C264" s="74">
        <v>42309</v>
      </c>
      <c r="D264" s="75" t="str">
        <f>CHOOSE(MONTH(C264),"January","February","March","April","May","June","July","August","September","October","November","December")</f>
        <v>November</v>
      </c>
      <c r="E264" s="76">
        <v>2015</v>
      </c>
      <c r="F264" s="106" t="s">
        <v>11</v>
      </c>
      <c r="G264" s="25">
        <v>1240</v>
      </c>
    </row>
    <row r="265" spans="1:7" ht="15" x14ac:dyDescent="0.25">
      <c r="A265" s="62" t="s">
        <v>122</v>
      </c>
      <c r="B265" s="7" t="s">
        <v>27</v>
      </c>
      <c r="C265" s="74">
        <v>42339</v>
      </c>
      <c r="D265" s="75" t="str">
        <f>CHOOSE(MONTH(C265),"January","February","March","April","May","June","July","August","September","October","November","December")</f>
        <v>December</v>
      </c>
      <c r="E265" s="76">
        <v>2015</v>
      </c>
      <c r="F265" s="106" t="s">
        <v>11</v>
      </c>
      <c r="G265" s="25">
        <v>1550</v>
      </c>
    </row>
    <row r="266" spans="1:7" x14ac:dyDescent="0.2">
      <c r="G266" s="62"/>
    </row>
  </sheetData>
  <mergeCells count="2">
    <mergeCell ref="B5:E5"/>
    <mergeCell ref="A4:E4"/>
  </mergeCells>
  <pageMargins left="0.7" right="0.7" top="0.75" bottom="0.75" header="0.3" footer="0.3"/>
  <pageSetup orientation="portrait"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52"/>
  <sheetViews>
    <sheetView workbookViewId="0">
      <pane ySplit="2" topLeftCell="A3" activePane="bottomLeft" state="frozen"/>
      <selection pane="bottomLeft" activeCell="H14" sqref="H14"/>
    </sheetView>
  </sheetViews>
  <sheetFormatPr defaultColWidth="9.42578125" defaultRowHeight="15" x14ac:dyDescent="0.25"/>
  <cols>
    <col min="1" max="2" width="11" customWidth="1"/>
    <col min="3" max="3" width="11" style="1" customWidth="1"/>
    <col min="4" max="9" width="11" customWidth="1"/>
    <col min="10" max="14" width="12" customWidth="1"/>
  </cols>
  <sheetData>
    <row r="1" spans="1:14" x14ac:dyDescent="0.25">
      <c r="A1" s="1"/>
      <c r="B1" s="1" t="s">
        <v>66</v>
      </c>
      <c r="C1" s="344" t="s">
        <v>3</v>
      </c>
      <c r="D1" s="344"/>
      <c r="E1" s="344"/>
      <c r="F1" s="344" t="s">
        <v>24</v>
      </c>
      <c r="G1" s="344"/>
      <c r="H1" s="344"/>
      <c r="I1" s="344" t="s">
        <v>44</v>
      </c>
      <c r="J1" s="344"/>
      <c r="K1" s="344"/>
      <c r="L1" s="344" t="s">
        <v>27</v>
      </c>
      <c r="M1" s="344"/>
      <c r="N1" s="344"/>
    </row>
    <row r="2" spans="1:14" ht="60" x14ac:dyDescent="0.25">
      <c r="A2" s="1"/>
      <c r="B2" s="2" t="s">
        <v>67</v>
      </c>
      <c r="C2" s="2" t="s">
        <v>69</v>
      </c>
      <c r="D2" s="4" t="s">
        <v>68</v>
      </c>
      <c r="E2" s="2" t="s">
        <v>51</v>
      </c>
      <c r="F2" s="2" t="s">
        <v>69</v>
      </c>
      <c r="G2" s="4" t="s">
        <v>68</v>
      </c>
      <c r="H2" s="2" t="s">
        <v>51</v>
      </c>
      <c r="I2" s="2" t="s">
        <v>69</v>
      </c>
      <c r="J2" s="4" t="s">
        <v>68</v>
      </c>
      <c r="K2" s="2" t="s">
        <v>51</v>
      </c>
      <c r="L2" s="2" t="s">
        <v>69</v>
      </c>
      <c r="M2" s="4" t="s">
        <v>68</v>
      </c>
      <c r="N2" s="2" t="s">
        <v>51</v>
      </c>
    </row>
    <row r="3" spans="1:14" x14ac:dyDescent="0.25">
      <c r="A3" s="3" t="s">
        <v>320</v>
      </c>
      <c r="B3" s="22" t="s">
        <v>321</v>
      </c>
      <c r="C3" s="59" t="s">
        <v>322</v>
      </c>
      <c r="D3" s="59" t="s">
        <v>323</v>
      </c>
      <c r="E3" s="59" t="s">
        <v>324</v>
      </c>
      <c r="F3" s="59" t="s">
        <v>325</v>
      </c>
      <c r="G3" s="59" t="s">
        <v>326</v>
      </c>
      <c r="H3" s="22" t="s">
        <v>327</v>
      </c>
      <c r="I3" s="59" t="s">
        <v>328</v>
      </c>
      <c r="J3" s="59" t="s">
        <v>329</v>
      </c>
      <c r="K3" s="22" t="s">
        <v>330</v>
      </c>
      <c r="L3" s="59" t="s">
        <v>331</v>
      </c>
      <c r="M3" s="59" t="s">
        <v>332</v>
      </c>
      <c r="N3" s="22" t="s">
        <v>333</v>
      </c>
    </row>
    <row r="4" spans="1:14" x14ac:dyDescent="0.25">
      <c r="A4" s="3">
        <v>41974</v>
      </c>
      <c r="B4" s="22">
        <v>0.73186101444806684</v>
      </c>
      <c r="C4" s="59">
        <v>0.51625186465970063</v>
      </c>
      <c r="D4" s="59">
        <v>0.23594518857268229</v>
      </c>
      <c r="E4" s="59">
        <v>0.2478029467676171</v>
      </c>
      <c r="F4" s="59">
        <v>0</v>
      </c>
      <c r="G4" s="59">
        <v>1</v>
      </c>
      <c r="H4" s="22">
        <v>0</v>
      </c>
      <c r="I4" s="59">
        <v>0.34246041945347588</v>
      </c>
      <c r="J4" s="59">
        <v>0.16256513614987866</v>
      </c>
      <c r="K4" s="22">
        <v>0.49497444439664545</v>
      </c>
      <c r="L4" s="59">
        <v>0.67022144895653013</v>
      </c>
      <c r="M4" s="59">
        <v>0</v>
      </c>
      <c r="N4" s="22">
        <v>0.32977855104346987</v>
      </c>
    </row>
    <row r="5" spans="1:14" x14ac:dyDescent="0.25">
      <c r="A5" s="3">
        <v>42005</v>
      </c>
      <c r="B5" s="22">
        <v>0.7195401950475393</v>
      </c>
      <c r="C5" s="59">
        <v>0.51477447885165561</v>
      </c>
      <c r="D5" s="59">
        <v>0.2206649069280979</v>
      </c>
      <c r="E5" s="59">
        <v>0.2645606142202464</v>
      </c>
      <c r="F5" s="59">
        <v>0</v>
      </c>
      <c r="G5" s="59">
        <v>1</v>
      </c>
      <c r="H5" s="22">
        <v>0</v>
      </c>
      <c r="I5" s="59">
        <v>0.38132096635190338</v>
      </c>
      <c r="J5" s="59">
        <v>0.11383694219124976</v>
      </c>
      <c r="K5" s="22">
        <v>0.50484209145684678</v>
      </c>
      <c r="L5" s="59">
        <v>0.64756348586725021</v>
      </c>
      <c r="M5" s="59">
        <v>0</v>
      </c>
      <c r="N5" s="22">
        <v>0.35243651413274968</v>
      </c>
    </row>
    <row r="6" spans="1:14" x14ac:dyDescent="0.25">
      <c r="A6" s="3">
        <v>42036</v>
      </c>
      <c r="B6" s="22">
        <v>0.73169438423104216</v>
      </c>
      <c r="C6" s="59">
        <v>0.46330513686039249</v>
      </c>
      <c r="D6" s="59">
        <v>0.28869319914956909</v>
      </c>
      <c r="E6" s="59">
        <v>0.24800166399003851</v>
      </c>
      <c r="F6" s="59">
        <v>0</v>
      </c>
      <c r="G6" s="59">
        <v>1</v>
      </c>
      <c r="H6" s="22">
        <v>0</v>
      </c>
      <c r="I6" s="59">
        <v>0.39432517536360406</v>
      </c>
      <c r="J6" s="59">
        <v>0.10371144257472535</v>
      </c>
      <c r="K6" s="22">
        <v>0.50196338206167068</v>
      </c>
      <c r="L6" s="59">
        <v>0.67674258297587753</v>
      </c>
      <c r="M6" s="59">
        <v>0</v>
      </c>
      <c r="N6" s="22">
        <v>0.32325741702412242</v>
      </c>
    </row>
    <row r="7" spans="1:14" x14ac:dyDescent="0.25">
      <c r="A7" s="3">
        <v>42064</v>
      </c>
      <c r="B7" s="22">
        <v>0.73321928775319956</v>
      </c>
      <c r="C7" s="59">
        <v>0.52626609328950413</v>
      </c>
      <c r="D7" s="59">
        <v>0.20867622156057411</v>
      </c>
      <c r="E7" s="59">
        <v>0.26505768514992178</v>
      </c>
      <c r="F7" s="59">
        <v>0</v>
      </c>
      <c r="G7" s="59">
        <v>1</v>
      </c>
      <c r="H7" s="22">
        <v>0</v>
      </c>
      <c r="I7" s="59">
        <v>0.40072582896491826</v>
      </c>
      <c r="J7" s="59">
        <v>9.3054995502341878E-2</v>
      </c>
      <c r="K7" s="22">
        <v>0.50621917553273987</v>
      </c>
      <c r="L7" s="59">
        <v>0.70415401169545999</v>
      </c>
      <c r="M7" s="59">
        <v>0</v>
      </c>
      <c r="N7" s="22">
        <v>0.29584598830454006</v>
      </c>
    </row>
    <row r="8" spans="1:14" x14ac:dyDescent="0.25">
      <c r="A8" s="3">
        <v>42095</v>
      </c>
      <c r="B8" s="22">
        <v>0.71148765032741146</v>
      </c>
      <c r="C8" s="59">
        <v>0.46284971506258593</v>
      </c>
      <c r="D8" s="59">
        <v>0.23309547420162322</v>
      </c>
      <c r="E8" s="59">
        <v>0.30405481073579083</v>
      </c>
      <c r="F8" s="59">
        <v>0</v>
      </c>
      <c r="G8" s="59">
        <v>1</v>
      </c>
      <c r="H8" s="22">
        <v>0</v>
      </c>
      <c r="I8" s="59">
        <v>0.39077086955210982</v>
      </c>
      <c r="J8" s="59">
        <v>9.6722975349458853E-2</v>
      </c>
      <c r="K8" s="22">
        <v>0.51250615509843134</v>
      </c>
      <c r="L8" s="59">
        <v>0.66251156714386805</v>
      </c>
      <c r="M8" s="59">
        <v>0</v>
      </c>
      <c r="N8" s="22">
        <v>0.33748843285613195</v>
      </c>
    </row>
    <row r="9" spans="1:14" x14ac:dyDescent="0.25">
      <c r="A9" s="3">
        <v>42125</v>
      </c>
      <c r="B9" s="22">
        <v>0.72182898863787703</v>
      </c>
      <c r="C9" s="59">
        <v>0.39802088444106898</v>
      </c>
      <c r="D9" s="59">
        <v>0.25831109796778839</v>
      </c>
      <c r="E9" s="59">
        <v>0.34366801759114263</v>
      </c>
      <c r="F9" s="59">
        <v>0</v>
      </c>
      <c r="G9" s="59">
        <v>1</v>
      </c>
      <c r="H9" s="22">
        <v>0</v>
      </c>
      <c r="I9" s="59">
        <v>0.38886799548702516</v>
      </c>
      <c r="J9" s="59">
        <v>0.12356954816526085</v>
      </c>
      <c r="K9" s="22">
        <v>0.487562456347714</v>
      </c>
      <c r="L9" s="59">
        <v>0.71854642849036476</v>
      </c>
      <c r="M9" s="59">
        <v>0</v>
      </c>
      <c r="N9" s="22">
        <v>0.28145357150963524</v>
      </c>
    </row>
    <row r="10" spans="1:14" x14ac:dyDescent="0.25">
      <c r="A10" s="3">
        <v>42156</v>
      </c>
      <c r="B10" s="22">
        <v>0.7318592660432145</v>
      </c>
      <c r="C10" s="59">
        <v>0.41534713763702802</v>
      </c>
      <c r="D10" s="59">
        <v>0.29876128972950611</v>
      </c>
      <c r="E10" s="59">
        <v>0.28589157263346587</v>
      </c>
      <c r="F10" s="59">
        <v>0</v>
      </c>
      <c r="G10" s="59">
        <v>1</v>
      </c>
      <c r="H10" s="22">
        <v>0</v>
      </c>
      <c r="I10" s="59">
        <v>0.38084860915267271</v>
      </c>
      <c r="J10" s="59">
        <v>9.6141520317907958E-2</v>
      </c>
      <c r="K10" s="22">
        <v>0.52300987052941927</v>
      </c>
      <c r="L10" s="59">
        <v>0.73633850733574313</v>
      </c>
      <c r="M10" s="59">
        <v>0</v>
      </c>
      <c r="N10" s="22">
        <v>0.26366149266425687</v>
      </c>
    </row>
    <row r="11" spans="1:14" x14ac:dyDescent="0.25">
      <c r="A11" s="3">
        <v>42186</v>
      </c>
      <c r="B11" s="22">
        <v>0.73060098788589811</v>
      </c>
      <c r="C11" s="59">
        <v>0.44029935366821638</v>
      </c>
      <c r="D11" s="59">
        <v>0.28370563555958728</v>
      </c>
      <c r="E11" s="59">
        <v>0.2759950107721964</v>
      </c>
      <c r="F11" s="59">
        <v>0</v>
      </c>
      <c r="G11" s="59">
        <v>1</v>
      </c>
      <c r="H11" s="22">
        <v>0</v>
      </c>
      <c r="I11" s="59">
        <v>0.42305482128490979</v>
      </c>
      <c r="J11" s="59">
        <v>0.10803355936099299</v>
      </c>
      <c r="K11" s="22">
        <v>0.46891161935409725</v>
      </c>
      <c r="L11" s="59">
        <v>0.66731058166988622</v>
      </c>
      <c r="M11" s="59">
        <v>0</v>
      </c>
      <c r="N11" s="22">
        <v>0.33268941833011378</v>
      </c>
    </row>
    <row r="12" spans="1:14" x14ac:dyDescent="0.25">
      <c r="A12" s="3">
        <v>42217</v>
      </c>
      <c r="B12" s="22">
        <v>0.73244353025915099</v>
      </c>
      <c r="C12" s="59">
        <v>0.44138454383001641</v>
      </c>
      <c r="D12" s="59">
        <v>0.29742233972240584</v>
      </c>
      <c r="E12" s="59">
        <v>0.26119311644757776</v>
      </c>
      <c r="F12" s="59">
        <v>0</v>
      </c>
      <c r="G12" s="59">
        <v>1</v>
      </c>
      <c r="H12" s="22">
        <v>0</v>
      </c>
      <c r="I12" s="59">
        <v>0.36572554169402494</v>
      </c>
      <c r="J12" s="59">
        <v>9.8489822718319103E-2</v>
      </c>
      <c r="K12" s="22">
        <v>0.53578463558765599</v>
      </c>
      <c r="L12" s="59">
        <v>0.72675187307183786</v>
      </c>
      <c r="M12" s="59">
        <v>0</v>
      </c>
      <c r="N12" s="22">
        <v>0.27324812692816219</v>
      </c>
    </row>
    <row r="13" spans="1:14" x14ac:dyDescent="0.25">
      <c r="A13" s="3">
        <v>42248</v>
      </c>
      <c r="B13" s="22">
        <v>0.78053637547529819</v>
      </c>
      <c r="C13" s="59">
        <v>0.51479669411152873</v>
      </c>
      <c r="D13" s="59">
        <v>0.27777202753301689</v>
      </c>
      <c r="E13" s="59">
        <v>0.20743127835545441</v>
      </c>
      <c r="F13" s="59">
        <v>0</v>
      </c>
      <c r="G13" s="59">
        <v>1</v>
      </c>
      <c r="H13" s="22">
        <v>0</v>
      </c>
      <c r="I13" s="59">
        <v>0.44005734204899805</v>
      </c>
      <c r="J13" s="59">
        <v>0.11517420097898071</v>
      </c>
      <c r="K13" s="22">
        <v>0.44476845697202122</v>
      </c>
      <c r="L13" s="59">
        <v>0.77434523722866833</v>
      </c>
      <c r="M13" s="59">
        <v>0</v>
      </c>
      <c r="N13" s="22">
        <v>0.22565476277133165</v>
      </c>
    </row>
    <row r="14" spans="1:14" x14ac:dyDescent="0.25">
      <c r="A14" s="3">
        <v>42278</v>
      </c>
      <c r="B14" s="22">
        <v>0.74574753801321825</v>
      </c>
      <c r="C14" s="59">
        <v>0.49320641231390555</v>
      </c>
      <c r="D14" s="59">
        <v>0.26125405876841301</v>
      </c>
      <c r="E14" s="59">
        <v>0.24553952891768138</v>
      </c>
      <c r="F14" s="59">
        <v>0</v>
      </c>
      <c r="G14" s="59">
        <v>1</v>
      </c>
      <c r="H14" s="22">
        <v>0</v>
      </c>
      <c r="I14" s="59">
        <v>0.40962927652084635</v>
      </c>
      <c r="J14" s="59">
        <v>9.1672472589930692E-2</v>
      </c>
      <c r="K14" s="22">
        <v>0.49869825088922298</v>
      </c>
      <c r="L14" s="59">
        <v>0.72722793185977752</v>
      </c>
      <c r="M14" s="59">
        <v>0</v>
      </c>
      <c r="N14" s="22">
        <v>0.27277206814022248</v>
      </c>
    </row>
    <row r="15" spans="1:14" x14ac:dyDescent="0.25">
      <c r="A15" s="3">
        <v>42309</v>
      </c>
      <c r="B15" s="22">
        <v>0.75203367388227516</v>
      </c>
      <c r="C15" s="59">
        <v>0.5227408746306218</v>
      </c>
      <c r="D15" s="59">
        <v>0.23762438339789602</v>
      </c>
      <c r="E15" s="59">
        <v>0.2396347419714823</v>
      </c>
      <c r="F15" s="59">
        <v>0</v>
      </c>
      <c r="G15" s="59">
        <v>1</v>
      </c>
      <c r="H15" s="22">
        <v>0</v>
      </c>
      <c r="I15" s="59">
        <v>0.39286510088453924</v>
      </c>
      <c r="J15" s="59">
        <v>9.639048913791852E-2</v>
      </c>
      <c r="K15" s="22">
        <v>0.51074440997754222</v>
      </c>
      <c r="L15" s="59">
        <v>0.758513847478125</v>
      </c>
      <c r="M15" s="59">
        <v>0</v>
      </c>
      <c r="N15" s="22">
        <v>0.24148615252187494</v>
      </c>
    </row>
    <row r="16" spans="1:14" x14ac:dyDescent="0.25">
      <c r="A16" s="3"/>
      <c r="B16" s="22"/>
      <c r="C16" s="104"/>
      <c r="D16" s="104"/>
      <c r="E16" s="104"/>
      <c r="F16" s="104"/>
      <c r="G16" s="104"/>
      <c r="H16" s="22"/>
      <c r="I16" s="104"/>
      <c r="J16" s="104"/>
      <c r="K16" s="22"/>
      <c r="L16" s="104"/>
      <c r="M16" s="104"/>
      <c r="N16" s="22"/>
    </row>
    <row r="17" spans="1:14" x14ac:dyDescent="0.25">
      <c r="A17" s="3"/>
      <c r="B17" s="22"/>
      <c r="C17" s="104"/>
      <c r="D17" s="104"/>
      <c r="E17" s="104"/>
      <c r="F17" s="104"/>
      <c r="G17" s="104"/>
      <c r="H17" s="22"/>
      <c r="I17" s="104"/>
      <c r="J17" s="104"/>
      <c r="K17" s="22"/>
      <c r="L17" s="104"/>
      <c r="M17" s="104"/>
      <c r="N17" s="22"/>
    </row>
    <row r="18" spans="1:14" x14ac:dyDescent="0.25">
      <c r="A18" s="3"/>
      <c r="B18" s="22"/>
      <c r="C18" s="104"/>
      <c r="D18" s="104"/>
      <c r="E18" s="104"/>
      <c r="F18" s="104"/>
      <c r="G18" s="104"/>
      <c r="H18" s="22"/>
      <c r="I18" s="104"/>
      <c r="J18" s="104"/>
      <c r="K18" s="22"/>
      <c r="L18" s="104"/>
      <c r="M18" s="104"/>
      <c r="N18" s="22"/>
    </row>
    <row r="19" spans="1:14" x14ac:dyDescent="0.25">
      <c r="A19" s="3"/>
      <c r="B19" s="22"/>
      <c r="C19" s="104"/>
      <c r="D19" s="104"/>
      <c r="E19" s="104"/>
      <c r="F19" s="104"/>
      <c r="G19" s="104"/>
      <c r="H19" s="22"/>
      <c r="I19" s="104"/>
      <c r="J19" s="104"/>
      <c r="K19" s="22"/>
      <c r="L19" s="104"/>
      <c r="M19" s="104"/>
      <c r="N19" s="22"/>
    </row>
    <row r="20" spans="1:14" x14ac:dyDescent="0.25">
      <c r="A20" s="3"/>
      <c r="B20" s="22"/>
      <c r="C20" s="104"/>
      <c r="D20" s="104"/>
      <c r="E20" s="104"/>
      <c r="F20" s="104"/>
      <c r="G20" s="104"/>
      <c r="H20" s="22"/>
      <c r="I20" s="104"/>
      <c r="J20" s="104"/>
      <c r="K20" s="22"/>
      <c r="L20" s="104"/>
      <c r="M20" s="104"/>
      <c r="N20" s="22"/>
    </row>
    <row r="21" spans="1:14" x14ac:dyDescent="0.25">
      <c r="A21" s="3"/>
      <c r="B21" s="22"/>
      <c r="C21" s="104"/>
      <c r="D21" s="104"/>
      <c r="E21" s="104"/>
      <c r="F21" s="104"/>
      <c r="G21" s="104"/>
      <c r="H21" s="22"/>
      <c r="I21" s="104"/>
      <c r="J21" s="104"/>
      <c r="K21" s="22"/>
      <c r="L21" s="104"/>
      <c r="M21" s="104"/>
      <c r="N21" s="22"/>
    </row>
    <row r="22" spans="1:14" x14ac:dyDescent="0.25">
      <c r="A22" s="3"/>
      <c r="B22" s="22"/>
      <c r="C22" s="59"/>
      <c r="D22" s="59"/>
      <c r="E22" s="59"/>
      <c r="F22" s="59"/>
      <c r="G22" s="59"/>
      <c r="H22" s="22"/>
      <c r="I22" s="59"/>
      <c r="J22" s="59"/>
      <c r="K22" s="22"/>
      <c r="L22" s="59"/>
      <c r="M22" s="59"/>
      <c r="N22" s="22"/>
    </row>
    <row r="23" spans="1:14" x14ac:dyDescent="0.25">
      <c r="A23" s="3"/>
      <c r="B23" s="22"/>
      <c r="C23" s="59"/>
      <c r="D23" s="59"/>
      <c r="E23" s="59"/>
      <c r="F23" s="59"/>
      <c r="G23" s="59"/>
      <c r="H23" s="22"/>
      <c r="I23" s="59"/>
      <c r="J23" s="59"/>
      <c r="K23" s="22"/>
      <c r="L23" s="59"/>
      <c r="M23" s="59"/>
      <c r="N23" s="22"/>
    </row>
    <row r="24" spans="1:14" x14ac:dyDescent="0.25">
      <c r="A24" s="3"/>
      <c r="B24" s="22"/>
      <c r="C24" s="59"/>
      <c r="D24" s="59"/>
      <c r="E24" s="59"/>
      <c r="F24" s="59"/>
      <c r="G24" s="59"/>
      <c r="H24" s="22"/>
      <c r="I24" s="59"/>
      <c r="J24" s="59"/>
      <c r="K24" s="22"/>
      <c r="L24" s="59"/>
      <c r="M24" s="59"/>
      <c r="N24" s="22"/>
    </row>
    <row r="25" spans="1:14" x14ac:dyDescent="0.25">
      <c r="A25" s="3"/>
      <c r="B25" s="22"/>
      <c r="C25" s="59"/>
      <c r="D25" s="59"/>
      <c r="E25" s="59"/>
      <c r="F25" s="59"/>
      <c r="G25" s="59"/>
      <c r="H25" s="22"/>
      <c r="I25" s="59"/>
      <c r="J25" s="59"/>
      <c r="K25" s="22"/>
      <c r="L25" s="59"/>
      <c r="M25" s="59"/>
      <c r="N25" s="22"/>
    </row>
    <row r="26" spans="1:14" x14ac:dyDescent="0.25">
      <c r="A26" s="3"/>
      <c r="B26" s="22"/>
      <c r="C26" s="59"/>
      <c r="D26" s="59"/>
      <c r="E26" s="59"/>
      <c r="F26" s="59"/>
      <c r="G26" s="59"/>
      <c r="H26" s="22"/>
      <c r="I26" s="59"/>
      <c r="J26" s="59"/>
      <c r="K26" s="22"/>
      <c r="L26" s="59"/>
      <c r="M26" s="59"/>
      <c r="N26" s="22"/>
    </row>
    <row r="27" spans="1:14" x14ac:dyDescent="0.25">
      <c r="A27" s="3"/>
      <c r="B27" s="22"/>
      <c r="C27" s="59"/>
      <c r="D27" s="59"/>
      <c r="E27" s="59"/>
      <c r="F27" s="59"/>
      <c r="G27" s="59"/>
      <c r="H27" s="22"/>
      <c r="I27" s="59"/>
      <c r="J27" s="59"/>
      <c r="K27" s="22"/>
      <c r="L27" s="59"/>
      <c r="M27" s="59"/>
      <c r="N27" s="22"/>
    </row>
    <row r="28" spans="1:14" x14ac:dyDescent="0.25">
      <c r="A28" s="3"/>
      <c r="B28" s="22"/>
      <c r="C28" s="59"/>
      <c r="D28" s="59"/>
      <c r="E28" s="59"/>
      <c r="F28" s="59"/>
      <c r="G28" s="59"/>
      <c r="H28" s="22"/>
      <c r="I28" s="59"/>
      <c r="J28" s="59"/>
      <c r="K28" s="22"/>
      <c r="L28" s="59"/>
      <c r="M28" s="59"/>
      <c r="N28" s="22"/>
    </row>
    <row r="29" spans="1:14" x14ac:dyDescent="0.25">
      <c r="A29" s="3"/>
      <c r="B29" s="22"/>
      <c r="C29" s="59"/>
      <c r="D29" s="59"/>
      <c r="E29" s="59"/>
      <c r="F29" s="59"/>
      <c r="G29" s="59"/>
      <c r="H29" s="22"/>
      <c r="I29" s="59"/>
      <c r="J29" s="59"/>
      <c r="K29" s="22"/>
      <c r="L29" s="59"/>
      <c r="M29" s="59"/>
      <c r="N29" s="22"/>
    </row>
    <row r="30" spans="1:14" x14ac:dyDescent="0.25">
      <c r="A30" s="3"/>
      <c r="B30" s="22"/>
      <c r="C30" s="59"/>
      <c r="D30" s="59"/>
      <c r="E30" s="59"/>
      <c r="F30" s="59"/>
      <c r="G30" s="59"/>
      <c r="H30" s="22"/>
      <c r="I30" s="59"/>
      <c r="J30" s="59"/>
      <c r="K30" s="22"/>
      <c r="L30" s="59"/>
      <c r="M30" s="59"/>
      <c r="N30" s="22"/>
    </row>
    <row r="31" spans="1:14" x14ac:dyDescent="0.25">
      <c r="A31" s="3"/>
      <c r="B31" s="22"/>
      <c r="C31" s="59"/>
      <c r="D31" s="59"/>
      <c r="E31" s="59"/>
      <c r="F31" s="59"/>
      <c r="G31" s="59"/>
      <c r="H31" s="22"/>
      <c r="I31" s="59"/>
      <c r="J31" s="59"/>
      <c r="K31" s="22"/>
      <c r="L31" s="59"/>
      <c r="M31" s="59"/>
      <c r="N31" s="22"/>
    </row>
    <row r="32" spans="1:14" x14ac:dyDescent="0.25">
      <c r="A32" s="3"/>
      <c r="B32" s="22"/>
      <c r="C32" s="59"/>
      <c r="D32" s="59"/>
      <c r="E32" s="59"/>
      <c r="F32" s="59"/>
      <c r="G32" s="59"/>
      <c r="H32" s="22"/>
      <c r="I32" s="59"/>
      <c r="J32" s="59"/>
      <c r="K32" s="22"/>
      <c r="L32" s="59"/>
      <c r="M32" s="59"/>
      <c r="N32" s="22"/>
    </row>
    <row r="33" spans="1:14" x14ac:dyDescent="0.25">
      <c r="A33" s="3"/>
      <c r="B33" s="22"/>
      <c r="C33" s="59"/>
      <c r="D33" s="59"/>
      <c r="E33" s="59"/>
      <c r="F33" s="59"/>
      <c r="G33" s="59"/>
      <c r="H33" s="22"/>
      <c r="I33" s="59"/>
      <c r="J33" s="59"/>
      <c r="K33" s="22"/>
      <c r="L33" s="59"/>
      <c r="M33" s="59"/>
      <c r="N33" s="22"/>
    </row>
    <row r="34" spans="1:14" x14ac:dyDescent="0.25">
      <c r="A34" s="3"/>
      <c r="B34" s="22"/>
      <c r="C34" s="59"/>
      <c r="D34" s="59"/>
      <c r="E34" s="59"/>
      <c r="F34" s="59"/>
      <c r="G34" s="59"/>
      <c r="H34" s="22"/>
      <c r="I34" s="59"/>
      <c r="J34" s="59"/>
      <c r="K34" s="22"/>
      <c r="L34" s="59"/>
      <c r="M34" s="59"/>
      <c r="N34" s="22"/>
    </row>
    <row r="35" spans="1:14" x14ac:dyDescent="0.25">
      <c r="A35" s="3"/>
      <c r="B35" s="22"/>
      <c r="C35" s="59"/>
      <c r="D35" s="59"/>
      <c r="E35" s="59"/>
      <c r="F35" s="59"/>
      <c r="G35" s="59"/>
      <c r="H35" s="22"/>
      <c r="I35" s="59"/>
      <c r="J35" s="59"/>
      <c r="K35" s="22"/>
      <c r="L35" s="59"/>
      <c r="M35" s="59"/>
      <c r="N35" s="22"/>
    </row>
    <row r="36" spans="1:14" x14ac:dyDescent="0.25">
      <c r="A36" s="3"/>
      <c r="B36" s="22"/>
      <c r="C36" s="59"/>
      <c r="D36" s="59"/>
      <c r="E36" s="59"/>
      <c r="F36" s="59"/>
      <c r="G36" s="59"/>
      <c r="H36" s="22"/>
      <c r="I36" s="59"/>
      <c r="J36" s="59"/>
      <c r="K36" s="22"/>
      <c r="L36" s="59"/>
      <c r="M36" s="59"/>
      <c r="N36" s="22"/>
    </row>
    <row r="37" spans="1:14" x14ac:dyDescent="0.25">
      <c r="A37" s="3"/>
      <c r="B37" s="22"/>
      <c r="C37" s="59"/>
      <c r="D37" s="59"/>
      <c r="E37" s="59"/>
      <c r="F37" s="59"/>
      <c r="G37" s="59"/>
      <c r="H37" s="22"/>
      <c r="I37" s="59"/>
      <c r="J37" s="59"/>
      <c r="K37" s="22"/>
      <c r="L37" s="59"/>
      <c r="M37" s="59"/>
      <c r="N37" s="22"/>
    </row>
    <row r="38" spans="1:14" x14ac:dyDescent="0.25">
      <c r="A38" s="3"/>
      <c r="B38" s="22"/>
      <c r="C38" s="59"/>
      <c r="D38" s="59"/>
      <c r="E38" s="59"/>
      <c r="F38" s="59"/>
      <c r="G38" s="59"/>
      <c r="H38" s="22"/>
      <c r="I38" s="59"/>
      <c r="J38" s="59"/>
      <c r="K38" s="22"/>
      <c r="L38" s="59"/>
      <c r="M38" s="59"/>
      <c r="N38" s="22"/>
    </row>
    <row r="39" spans="1:14" x14ac:dyDescent="0.25">
      <c r="A39" s="3"/>
      <c r="B39" s="22"/>
      <c r="C39" s="59"/>
      <c r="D39" s="59"/>
      <c r="E39" s="59"/>
      <c r="F39" s="59"/>
      <c r="G39" s="59"/>
      <c r="H39" s="22"/>
      <c r="I39" s="59"/>
      <c r="J39" s="59"/>
      <c r="K39" s="22"/>
      <c r="L39" s="59"/>
      <c r="M39" s="59"/>
      <c r="N39" s="22"/>
    </row>
    <row r="40" spans="1:14" x14ac:dyDescent="0.25">
      <c r="A40" s="3"/>
      <c r="B40" s="22"/>
      <c r="C40" s="59"/>
      <c r="D40" s="59"/>
      <c r="E40" s="59"/>
      <c r="F40" s="59"/>
      <c r="G40" s="59"/>
      <c r="H40" s="22"/>
      <c r="I40" s="59"/>
      <c r="J40" s="59"/>
      <c r="K40" s="22"/>
      <c r="L40" s="59"/>
      <c r="M40" s="59"/>
      <c r="N40" s="22"/>
    </row>
    <row r="41" spans="1:14" x14ac:dyDescent="0.25">
      <c r="A41" s="3"/>
      <c r="B41" s="22"/>
      <c r="C41" s="59"/>
      <c r="D41" s="59"/>
      <c r="E41" s="59"/>
      <c r="F41" s="59"/>
      <c r="G41" s="59"/>
      <c r="H41" s="22"/>
      <c r="I41" s="59"/>
      <c r="J41" s="59"/>
      <c r="K41" s="22"/>
      <c r="L41" s="59"/>
      <c r="M41" s="59"/>
      <c r="N41" s="22"/>
    </row>
    <row r="42" spans="1:14" x14ac:dyDescent="0.25">
      <c r="A42" s="3"/>
      <c r="B42" s="22"/>
      <c r="C42" s="59"/>
      <c r="D42" s="59"/>
      <c r="E42" s="59"/>
      <c r="F42" s="59"/>
      <c r="G42" s="59"/>
      <c r="H42" s="22"/>
      <c r="I42" s="59"/>
      <c r="J42" s="59"/>
      <c r="K42" s="22"/>
      <c r="L42" s="59"/>
      <c r="M42" s="59"/>
      <c r="N42" s="22"/>
    </row>
    <row r="43" spans="1:14" x14ac:dyDescent="0.25">
      <c r="A43" s="3"/>
      <c r="B43" s="22"/>
      <c r="C43" s="59"/>
      <c r="D43" s="59"/>
      <c r="E43" s="59"/>
      <c r="F43" s="59"/>
      <c r="G43" s="59"/>
      <c r="H43" s="22"/>
      <c r="I43" s="59"/>
      <c r="J43" s="59"/>
      <c r="K43" s="22"/>
      <c r="L43" s="59"/>
      <c r="M43" s="59"/>
      <c r="N43" s="22"/>
    </row>
    <row r="44" spans="1:14" x14ac:dyDescent="0.25">
      <c r="A44" s="3"/>
      <c r="B44" s="22"/>
      <c r="C44" s="59"/>
      <c r="D44" s="59"/>
      <c r="E44" s="59"/>
      <c r="F44" s="59"/>
      <c r="G44" s="59"/>
      <c r="H44" s="22"/>
      <c r="I44" s="59"/>
      <c r="J44" s="59"/>
      <c r="K44" s="22"/>
      <c r="L44" s="59"/>
      <c r="M44" s="59"/>
      <c r="N44" s="22"/>
    </row>
    <row r="45" spans="1:14" x14ac:dyDescent="0.25">
      <c r="A45" s="3"/>
      <c r="B45" s="22"/>
      <c r="C45" s="59"/>
      <c r="D45" s="59"/>
      <c r="E45" s="59"/>
      <c r="F45" s="59"/>
      <c r="G45" s="59"/>
      <c r="H45" s="22"/>
      <c r="I45" s="59"/>
      <c r="J45" s="59"/>
      <c r="K45" s="22"/>
      <c r="L45" s="59"/>
      <c r="M45" s="59"/>
      <c r="N45" s="22"/>
    </row>
    <row r="46" spans="1:14" x14ac:dyDescent="0.25">
      <c r="A46" s="3"/>
      <c r="B46" s="22"/>
      <c r="C46" s="59"/>
      <c r="D46" s="59"/>
      <c r="E46" s="59"/>
      <c r="F46" s="59"/>
      <c r="G46" s="59"/>
      <c r="H46" s="22"/>
      <c r="I46" s="59"/>
      <c r="J46" s="59"/>
      <c r="K46" s="22"/>
      <c r="L46" s="59"/>
      <c r="M46" s="59"/>
      <c r="N46" s="22"/>
    </row>
    <row r="47" spans="1:14" x14ac:dyDescent="0.25">
      <c r="A47" s="3"/>
      <c r="B47" s="22"/>
      <c r="C47" s="59"/>
      <c r="D47" s="59"/>
      <c r="E47" s="59"/>
      <c r="F47" s="59"/>
      <c r="G47" s="59"/>
      <c r="H47" s="22"/>
      <c r="I47" s="59"/>
      <c r="J47" s="59"/>
      <c r="K47" s="22"/>
      <c r="L47" s="59"/>
      <c r="M47" s="59"/>
      <c r="N47" s="22"/>
    </row>
    <row r="48" spans="1:14" x14ac:dyDescent="0.25">
      <c r="A48" s="3"/>
      <c r="B48" s="22"/>
      <c r="C48" s="59"/>
      <c r="D48" s="59"/>
      <c r="E48" s="59"/>
      <c r="F48" s="59"/>
      <c r="G48" s="59"/>
      <c r="H48" s="22"/>
      <c r="I48" s="59"/>
      <c r="J48" s="59"/>
      <c r="K48" s="22"/>
      <c r="L48" s="59"/>
      <c r="M48" s="59"/>
      <c r="N48" s="22"/>
    </row>
    <row r="49" spans="1:14" x14ac:dyDescent="0.25">
      <c r="A49" s="3"/>
      <c r="B49" s="22"/>
      <c r="C49" s="59"/>
      <c r="D49" s="59"/>
      <c r="E49" s="59"/>
      <c r="F49" s="59"/>
      <c r="G49" s="59"/>
      <c r="H49" s="22"/>
      <c r="I49" s="59"/>
      <c r="J49" s="59"/>
      <c r="K49" s="22"/>
      <c r="L49" s="59"/>
      <c r="M49" s="59"/>
      <c r="N49" s="22"/>
    </row>
    <row r="50" spans="1:14" x14ac:dyDescent="0.25">
      <c r="A50" s="3"/>
      <c r="B50" s="22"/>
      <c r="C50" s="59"/>
      <c r="D50" s="59"/>
      <c r="E50" s="59"/>
      <c r="F50" s="59"/>
      <c r="G50" s="59"/>
      <c r="H50" s="22"/>
      <c r="I50" s="59"/>
      <c r="J50" s="59"/>
      <c r="K50" s="22"/>
      <c r="L50" s="59"/>
      <c r="M50" s="59"/>
      <c r="N50" s="22"/>
    </row>
    <row r="51" spans="1:14" x14ac:dyDescent="0.25">
      <c r="A51" s="3"/>
      <c r="B51" s="22"/>
      <c r="C51" s="59"/>
      <c r="D51" s="59"/>
      <c r="E51" s="59"/>
      <c r="F51" s="59"/>
      <c r="G51" s="59"/>
      <c r="H51" s="22"/>
      <c r="I51" s="59"/>
      <c r="J51" s="59"/>
      <c r="K51" s="22"/>
      <c r="L51" s="59"/>
      <c r="M51" s="59"/>
      <c r="N51" s="22"/>
    </row>
    <row r="52" spans="1:14" x14ac:dyDescent="0.25">
      <c r="A52" s="3"/>
      <c r="B52" s="22"/>
      <c r="C52" s="59"/>
      <c r="D52" s="59"/>
      <c r="E52" s="59"/>
      <c r="F52" s="59"/>
      <c r="G52" s="59"/>
      <c r="H52" s="22"/>
      <c r="I52" s="59"/>
      <c r="J52" s="59"/>
      <c r="K52" s="22"/>
      <c r="L52" s="59"/>
      <c r="M52" s="59"/>
      <c r="N52" s="22"/>
    </row>
  </sheetData>
  <mergeCells count="4">
    <mergeCell ref="C1:E1"/>
    <mergeCell ref="F1:H1"/>
    <mergeCell ref="I1:K1"/>
    <mergeCell ref="L1:N1"/>
  </mergeCell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DI377"/>
  <sheetViews>
    <sheetView zoomScaleNormal="100" workbookViewId="0">
      <pane xSplit="1" ySplit="2" topLeftCell="CM33" activePane="bottomRight" state="frozenSplit"/>
      <selection activeCell="EZ19" sqref="EZ19"/>
      <selection pane="topRight" activeCell="EZ19" sqref="EZ19"/>
      <selection pane="bottomLeft" activeCell="EZ19" sqref="EZ19"/>
      <selection pane="bottomRight" activeCell="DA37" sqref="DA37"/>
    </sheetView>
  </sheetViews>
  <sheetFormatPr defaultRowHeight="12.75" x14ac:dyDescent="0.2"/>
  <cols>
    <col min="1" max="1" width="28.7109375" style="251" customWidth="1"/>
    <col min="2" max="13" width="9.42578125" style="251" customWidth="1"/>
    <col min="14" max="14" width="9.42578125" style="262" customWidth="1"/>
    <col min="15" max="24" width="9.42578125" style="251" customWidth="1"/>
    <col min="25" max="25" width="13.7109375" style="251" bestFit="1" customWidth="1"/>
    <col min="26" max="26" width="11.7109375" style="262" customWidth="1"/>
    <col min="27" max="27" width="10.28515625" style="251" bestFit="1" customWidth="1"/>
    <col min="28" max="29" width="9.85546875" style="251" bestFit="1" customWidth="1"/>
    <col min="30" max="30" width="12.5703125" style="251" customWidth="1"/>
    <col min="31" max="31" width="11.7109375" style="251" customWidth="1"/>
    <col min="32" max="35" width="9.85546875" style="251" bestFit="1" customWidth="1"/>
    <col min="36" max="36" width="10.28515625" style="251" customWidth="1"/>
    <col min="37" max="37" width="10.5703125" style="251" customWidth="1"/>
    <col min="38" max="38" width="12" style="251" customWidth="1"/>
    <col min="39" max="39" width="10.140625" style="251" customWidth="1"/>
    <col min="40" max="40" width="12.28515625" style="251" customWidth="1"/>
    <col min="41" max="41" width="13" style="251" customWidth="1"/>
    <col min="42" max="42" width="12.5703125" style="251" customWidth="1"/>
    <col min="43" max="43" width="12.42578125" style="251" customWidth="1"/>
    <col min="44" max="44" width="11.28515625" style="251" customWidth="1"/>
    <col min="45" max="45" width="11.5703125" style="251" customWidth="1"/>
    <col min="46" max="46" width="10.85546875" style="251" customWidth="1"/>
    <col min="47" max="47" width="11.7109375" style="251" customWidth="1"/>
    <col min="48" max="48" width="12.5703125" style="251" customWidth="1"/>
    <col min="49" max="49" width="12.7109375" style="251" customWidth="1"/>
    <col min="50" max="50" width="14.140625" style="251" customWidth="1"/>
    <col min="51" max="51" width="13.140625" style="251" customWidth="1"/>
    <col min="52" max="52" width="12.85546875" style="251" customWidth="1"/>
    <col min="53" max="53" width="12.140625" style="251" customWidth="1"/>
    <col min="54" max="54" width="11.5703125" style="251" customWidth="1"/>
    <col min="55" max="55" width="13.7109375" style="251" customWidth="1"/>
    <col min="56" max="56" width="12.7109375" style="251" customWidth="1"/>
    <col min="57" max="57" width="13.28515625" style="251" customWidth="1"/>
    <col min="58" max="58" width="13.85546875" style="251" customWidth="1"/>
    <col min="59" max="59" width="15.5703125" style="251" customWidth="1"/>
    <col min="60" max="60" width="15.28515625" style="251" customWidth="1"/>
    <col min="61" max="61" width="16.28515625" style="251" customWidth="1"/>
    <col min="62" max="62" width="16.7109375" style="251" customWidth="1"/>
    <col min="63" max="63" width="14.85546875" style="251" customWidth="1"/>
    <col min="64" max="64" width="14.7109375" style="251" customWidth="1"/>
    <col min="65" max="65" width="12.28515625" style="251" customWidth="1"/>
    <col min="66" max="66" width="12.85546875" style="251" customWidth="1"/>
    <col min="67" max="67" width="15.140625" style="251" customWidth="1"/>
    <col min="68" max="68" width="14" style="251" customWidth="1"/>
    <col min="69" max="69" width="15.140625" style="251" customWidth="1"/>
    <col min="70" max="70" width="14.85546875" style="251" customWidth="1"/>
    <col min="71" max="71" width="16.140625" style="251" customWidth="1"/>
    <col min="72" max="72" width="15.28515625" style="251" customWidth="1"/>
    <col min="73" max="73" width="13.140625" style="251" customWidth="1"/>
    <col min="74" max="74" width="13.42578125" style="251" customWidth="1"/>
    <col min="75" max="75" width="15.7109375" style="251" customWidth="1"/>
    <col min="76" max="76" width="13.140625" style="251" customWidth="1"/>
    <col min="77" max="77" width="12.85546875" style="251" customWidth="1"/>
    <col min="78" max="78" width="13.42578125" style="251" customWidth="1"/>
    <col min="79" max="80" width="13" style="251" customWidth="1"/>
    <col min="81" max="81" width="9.140625" style="251"/>
    <col min="82" max="82" width="12" style="251" bestFit="1" customWidth="1"/>
    <col min="83" max="83" width="9.140625" style="251"/>
    <col min="84" max="84" width="11" style="251" customWidth="1"/>
    <col min="85" max="88" width="9.140625" style="251"/>
    <col min="89" max="89" width="9.140625" style="83"/>
    <col min="90" max="90" width="9.140625" style="91"/>
    <col min="91" max="91" width="9.42578125" style="91" bestFit="1" customWidth="1"/>
    <col min="92" max="92" width="33.140625" style="91" customWidth="1"/>
    <col min="93" max="94" width="9.140625" style="91"/>
    <col min="95" max="96" width="9.140625" style="83"/>
    <col min="97" max="97" width="16.140625" style="83" customWidth="1"/>
    <col min="98" max="106" width="9.140625" style="83"/>
    <col min="107" max="107" width="20.7109375" style="83" customWidth="1"/>
    <col min="108" max="108" width="19.85546875" style="83" customWidth="1"/>
    <col min="109" max="109" width="20" style="83" customWidth="1"/>
    <col min="110" max="110" width="9.140625" style="83"/>
    <col min="111" max="111" width="13.140625" style="83" customWidth="1"/>
    <col min="112" max="112" width="19.85546875" style="83" customWidth="1"/>
    <col min="113" max="113" width="13.28515625" style="83" customWidth="1"/>
    <col min="114" max="16384" width="9.140625" style="83"/>
  </cols>
  <sheetData>
    <row r="1" spans="1:108" x14ac:dyDescent="0.2">
      <c r="N1" s="345" t="s">
        <v>128</v>
      </c>
      <c r="O1" s="345"/>
      <c r="P1" s="345"/>
      <c r="Q1" s="345"/>
      <c r="R1" s="345"/>
      <c r="S1" s="345"/>
      <c r="T1" s="345"/>
      <c r="U1" s="345"/>
      <c r="V1" s="345"/>
      <c r="W1" s="345"/>
      <c r="X1" s="345"/>
      <c r="Y1" s="345"/>
      <c r="Z1" s="345" t="s">
        <v>129</v>
      </c>
      <c r="AA1" s="345"/>
      <c r="AB1" s="345"/>
      <c r="AC1" s="345"/>
      <c r="AD1" s="345"/>
      <c r="AE1" s="345"/>
      <c r="AF1" s="345"/>
      <c r="AG1" s="345"/>
      <c r="AH1" s="345"/>
      <c r="AI1" s="345"/>
      <c r="AJ1" s="345"/>
      <c r="AK1" s="345"/>
    </row>
    <row r="2" spans="1:108" x14ac:dyDescent="0.2">
      <c r="B2" s="252">
        <v>39753</v>
      </c>
      <c r="C2" s="252">
        <v>39783</v>
      </c>
      <c r="D2" s="252">
        <v>39814</v>
      </c>
      <c r="E2" s="252">
        <v>39845</v>
      </c>
      <c r="F2" s="252">
        <v>39873</v>
      </c>
      <c r="G2" s="252">
        <v>39904</v>
      </c>
      <c r="H2" s="252">
        <v>39934</v>
      </c>
      <c r="I2" s="252">
        <v>39965</v>
      </c>
      <c r="J2" s="252">
        <v>39995</v>
      </c>
      <c r="K2" s="252">
        <v>40026</v>
      </c>
      <c r="L2" s="252">
        <v>40057</v>
      </c>
      <c r="M2" s="252">
        <v>40087</v>
      </c>
      <c r="N2" s="253">
        <v>40118</v>
      </c>
      <c r="O2" s="254">
        <v>40148</v>
      </c>
      <c r="P2" s="254">
        <v>40179</v>
      </c>
      <c r="Q2" s="254">
        <v>40210</v>
      </c>
      <c r="R2" s="254">
        <v>40238</v>
      </c>
      <c r="S2" s="254">
        <v>40269</v>
      </c>
      <c r="T2" s="254">
        <v>40299</v>
      </c>
      <c r="U2" s="254">
        <v>40330</v>
      </c>
      <c r="V2" s="254">
        <v>40360</v>
      </c>
      <c r="W2" s="254">
        <v>40391</v>
      </c>
      <c r="X2" s="254">
        <v>40422</v>
      </c>
      <c r="Y2" s="254">
        <v>40452</v>
      </c>
      <c r="Z2" s="253">
        <v>40483</v>
      </c>
      <c r="AA2" s="254">
        <v>40513</v>
      </c>
      <c r="AB2" s="254">
        <v>40544</v>
      </c>
      <c r="AC2" s="254">
        <v>40575</v>
      </c>
      <c r="AD2" s="254">
        <v>40603</v>
      </c>
      <c r="AE2" s="254">
        <v>40634</v>
      </c>
      <c r="AF2" s="254">
        <v>40664</v>
      </c>
      <c r="AG2" s="254">
        <v>40695</v>
      </c>
      <c r="AH2" s="254">
        <v>40725</v>
      </c>
      <c r="AI2" s="254">
        <v>40756</v>
      </c>
      <c r="AJ2" s="254">
        <v>40787</v>
      </c>
      <c r="AK2" s="254">
        <v>40817</v>
      </c>
      <c r="AL2" s="254">
        <v>40858</v>
      </c>
      <c r="AM2" s="254">
        <v>40888</v>
      </c>
      <c r="AN2" s="254">
        <v>40909</v>
      </c>
      <c r="AO2" s="254">
        <v>40941</v>
      </c>
      <c r="AP2" s="254">
        <v>40971</v>
      </c>
      <c r="AQ2" s="254">
        <v>41000</v>
      </c>
      <c r="AR2" s="254">
        <v>41030</v>
      </c>
      <c r="AS2" s="254">
        <v>41061</v>
      </c>
      <c r="AT2" s="254">
        <v>41091</v>
      </c>
      <c r="AU2" s="254">
        <v>41122</v>
      </c>
      <c r="AV2" s="254">
        <v>41153</v>
      </c>
      <c r="AW2" s="254">
        <v>41183</v>
      </c>
      <c r="AX2" s="254">
        <v>41214</v>
      </c>
      <c r="AY2" s="254">
        <v>41244</v>
      </c>
      <c r="AZ2" s="254">
        <v>41275</v>
      </c>
      <c r="BA2" s="254">
        <v>41306</v>
      </c>
      <c r="BB2" s="254">
        <v>41334</v>
      </c>
      <c r="BC2" s="254">
        <v>41365</v>
      </c>
      <c r="BD2" s="254">
        <v>41395</v>
      </c>
      <c r="BE2" s="254">
        <v>41426</v>
      </c>
      <c r="BF2" s="254">
        <v>41456</v>
      </c>
      <c r="BG2" s="254">
        <v>41487</v>
      </c>
      <c r="BH2" s="254">
        <v>41518</v>
      </c>
      <c r="BI2" s="254">
        <v>41548</v>
      </c>
      <c r="BJ2" s="254">
        <v>41579</v>
      </c>
      <c r="BK2" s="254">
        <v>41609</v>
      </c>
      <c r="BL2" s="254">
        <v>41640</v>
      </c>
      <c r="BM2" s="254">
        <v>41671</v>
      </c>
      <c r="BN2" s="254">
        <v>41699</v>
      </c>
      <c r="BO2" s="254">
        <v>41730</v>
      </c>
      <c r="BP2" s="254">
        <v>41760</v>
      </c>
      <c r="BQ2" s="254">
        <v>41791</v>
      </c>
      <c r="BR2" s="254">
        <v>41821</v>
      </c>
      <c r="BS2" s="254">
        <v>41852</v>
      </c>
      <c r="BT2" s="254">
        <v>41883</v>
      </c>
      <c r="BU2" s="254">
        <v>41913</v>
      </c>
      <c r="BV2" s="254">
        <v>41944</v>
      </c>
      <c r="BW2" s="254">
        <v>41974</v>
      </c>
      <c r="BX2" s="254">
        <v>42005</v>
      </c>
      <c r="BY2" s="254">
        <v>42036</v>
      </c>
      <c r="BZ2" s="254">
        <v>42064</v>
      </c>
      <c r="CA2" s="254">
        <v>42095</v>
      </c>
      <c r="CB2" s="255">
        <v>42125</v>
      </c>
      <c r="CC2" s="255">
        <v>42156</v>
      </c>
      <c r="CD2" s="255">
        <v>42186</v>
      </c>
      <c r="CE2" s="255">
        <v>42217</v>
      </c>
      <c r="CF2" s="255">
        <v>42262</v>
      </c>
      <c r="CG2" s="255">
        <v>42292</v>
      </c>
      <c r="CH2" s="255">
        <v>42323</v>
      </c>
      <c r="CI2" s="255">
        <v>42353</v>
      </c>
      <c r="CJ2" s="255">
        <v>42370</v>
      </c>
    </row>
    <row r="3" spans="1:108" x14ac:dyDescent="0.2">
      <c r="A3" s="256" t="s">
        <v>130</v>
      </c>
      <c r="B3" s="257"/>
      <c r="C3" s="257"/>
      <c r="D3" s="257"/>
      <c r="E3" s="257"/>
      <c r="F3" s="257"/>
      <c r="G3" s="257"/>
      <c r="H3" s="257"/>
      <c r="I3" s="257"/>
      <c r="J3" s="257"/>
      <c r="K3" s="257"/>
      <c r="L3" s="257"/>
      <c r="M3" s="257"/>
      <c r="N3" s="258"/>
      <c r="O3" s="259"/>
      <c r="P3" s="259"/>
      <c r="Q3" s="259"/>
      <c r="R3" s="259"/>
      <c r="S3" s="259"/>
      <c r="T3" s="259"/>
      <c r="U3" s="259"/>
      <c r="V3" s="259"/>
      <c r="W3" s="259"/>
      <c r="X3" s="259"/>
      <c r="Y3" s="259"/>
      <c r="Z3" s="259"/>
      <c r="AA3" s="259"/>
      <c r="AB3" s="259"/>
      <c r="AC3" s="259"/>
      <c r="AD3" s="259"/>
      <c r="AE3" s="259"/>
      <c r="AF3" s="259"/>
      <c r="AG3" s="259"/>
      <c r="AH3" s="259"/>
      <c r="AI3" s="259"/>
      <c r="AJ3" s="259"/>
      <c r="AK3" s="259"/>
      <c r="AL3" s="259"/>
      <c r="AM3" s="259"/>
      <c r="AN3" s="259"/>
      <c r="AO3" s="259"/>
      <c r="AP3" s="259"/>
      <c r="AQ3" s="259"/>
      <c r="AR3" s="259"/>
      <c r="AS3" s="259"/>
      <c r="AT3" s="259"/>
      <c r="AU3" s="259"/>
      <c r="AV3" s="259"/>
      <c r="AW3" s="259"/>
      <c r="AX3" s="259"/>
      <c r="AY3" s="259"/>
      <c r="AZ3" s="259"/>
      <c r="BA3" s="259"/>
      <c r="BB3" s="259"/>
      <c r="BC3" s="259"/>
      <c r="BD3" s="259"/>
      <c r="BE3" s="259"/>
      <c r="BF3" s="259"/>
      <c r="BG3" s="259"/>
      <c r="BH3" s="259"/>
      <c r="BI3" s="259"/>
      <c r="BJ3" s="259"/>
      <c r="BK3" s="259"/>
      <c r="BL3" s="259"/>
      <c r="BM3" s="259"/>
      <c r="BN3" s="259"/>
      <c r="BO3" s="259"/>
      <c r="BP3" s="259"/>
      <c r="BQ3" s="259"/>
      <c r="BR3" s="259"/>
      <c r="BS3" s="259"/>
      <c r="BT3" s="259"/>
      <c r="BU3" s="259"/>
      <c r="BV3" s="259"/>
      <c r="BW3" s="259"/>
      <c r="BX3" s="259"/>
      <c r="BY3" s="259"/>
      <c r="BZ3" s="259"/>
      <c r="CA3" s="259"/>
      <c r="CB3" s="259"/>
      <c r="CC3" s="259"/>
      <c r="CD3" s="259"/>
      <c r="CE3" s="259"/>
      <c r="CF3" s="259"/>
      <c r="CG3" s="259"/>
      <c r="CH3" s="259"/>
      <c r="CI3" s="259"/>
      <c r="CJ3" s="259"/>
    </row>
    <row r="4" spans="1:108" ht="15" x14ac:dyDescent="0.25">
      <c r="A4" s="256" t="s">
        <v>131</v>
      </c>
      <c r="B4" s="260">
        <v>11659</v>
      </c>
      <c r="C4" s="260">
        <v>9100</v>
      </c>
      <c r="D4" s="260">
        <v>10048</v>
      </c>
      <c r="E4" s="260">
        <v>9704</v>
      </c>
      <c r="F4" s="260">
        <v>9686</v>
      </c>
      <c r="G4" s="260">
        <v>10019</v>
      </c>
      <c r="H4" s="260">
        <v>10356</v>
      </c>
      <c r="I4" s="260">
        <v>10044</v>
      </c>
      <c r="J4" s="260">
        <v>9376</v>
      </c>
      <c r="K4" s="260">
        <v>8708</v>
      </c>
      <c r="L4" s="260">
        <v>9415</v>
      </c>
      <c r="M4" s="260">
        <v>10129</v>
      </c>
      <c r="N4" s="261">
        <v>9486</v>
      </c>
      <c r="O4" s="260">
        <v>8228</v>
      </c>
      <c r="P4" s="260">
        <v>9173</v>
      </c>
      <c r="Q4" s="260">
        <v>8958</v>
      </c>
      <c r="R4" s="260">
        <v>9010</v>
      </c>
      <c r="S4" s="260">
        <v>8777</v>
      </c>
      <c r="T4" s="260">
        <v>8930</v>
      </c>
      <c r="U4" s="260">
        <v>8720</v>
      </c>
      <c r="V4" s="260">
        <v>7408</v>
      </c>
      <c r="W4" s="260">
        <v>6875</v>
      </c>
      <c r="X4" s="260">
        <v>7047</v>
      </c>
      <c r="Y4" s="84"/>
      <c r="Z4" s="262">
        <v>7645</v>
      </c>
      <c r="AA4" s="263">
        <v>5806</v>
      </c>
      <c r="AB4" s="263">
        <v>6401</v>
      </c>
      <c r="AC4" s="263">
        <v>6409</v>
      </c>
      <c r="AD4" s="263">
        <v>7619</v>
      </c>
      <c r="AE4" s="263">
        <v>6508</v>
      </c>
      <c r="AF4" s="263">
        <v>6996</v>
      </c>
      <c r="AG4" s="263">
        <v>6548</v>
      </c>
      <c r="AH4" s="263">
        <v>5601</v>
      </c>
      <c r="AI4" s="263">
        <v>6435</v>
      </c>
      <c r="AJ4" s="264">
        <v>6271</v>
      </c>
      <c r="AK4" s="264">
        <v>6514</v>
      </c>
      <c r="AL4" s="264">
        <v>7234</v>
      </c>
      <c r="AM4" s="264">
        <v>5431</v>
      </c>
      <c r="AN4" s="264">
        <v>6345</v>
      </c>
      <c r="AO4" s="264">
        <v>6596</v>
      </c>
      <c r="AP4" s="264">
        <v>6622</v>
      </c>
      <c r="AQ4" s="251">
        <v>5682</v>
      </c>
      <c r="AR4" s="259"/>
      <c r="AS4" s="259"/>
      <c r="AT4" s="259"/>
      <c r="AU4" s="259"/>
      <c r="AV4" s="259"/>
      <c r="AW4" s="259"/>
      <c r="AX4" s="259"/>
      <c r="AY4" s="259"/>
      <c r="AZ4" s="259"/>
      <c r="BA4" s="259"/>
      <c r="BB4" s="259"/>
      <c r="BC4" s="259"/>
      <c r="BD4" s="259"/>
      <c r="BE4" s="259"/>
      <c r="BF4" s="259"/>
      <c r="BG4" s="259"/>
      <c r="BH4" s="259"/>
      <c r="BI4" s="259"/>
      <c r="BJ4" s="259"/>
      <c r="BK4" s="259"/>
      <c r="BL4" s="259"/>
      <c r="BM4" s="259"/>
      <c r="BN4" s="259"/>
      <c r="BO4" s="259"/>
      <c r="BP4" s="259"/>
      <c r="BQ4" s="259"/>
      <c r="BR4" s="259"/>
      <c r="BS4" s="259"/>
      <c r="BT4" s="259"/>
      <c r="BU4" s="259"/>
      <c r="BV4" s="259"/>
      <c r="BW4" s="259"/>
      <c r="BX4" s="259"/>
      <c r="BY4" s="259"/>
      <c r="BZ4" s="259"/>
      <c r="CA4" s="259"/>
      <c r="CB4" s="259"/>
      <c r="CC4" s="259"/>
      <c r="CD4" s="259"/>
      <c r="CE4" s="259"/>
      <c r="CF4" s="259"/>
      <c r="CG4" s="259"/>
      <c r="CH4" s="259"/>
      <c r="CI4" s="259"/>
      <c r="CJ4" s="259"/>
    </row>
    <row r="5" spans="1:108" ht="15" x14ac:dyDescent="0.25">
      <c r="A5" s="256" t="s">
        <v>132</v>
      </c>
      <c r="B5" s="260">
        <v>5677.5</v>
      </c>
      <c r="C5" s="260">
        <v>6295.45</v>
      </c>
      <c r="D5" s="260">
        <v>4707.25</v>
      </c>
      <c r="E5" s="260">
        <v>5984.5</v>
      </c>
      <c r="F5" s="260">
        <v>5811.79</v>
      </c>
      <c r="G5" s="260">
        <v>5485</v>
      </c>
      <c r="H5" s="260">
        <v>8204</v>
      </c>
      <c r="I5" s="260">
        <v>5318</v>
      </c>
      <c r="J5" s="260">
        <v>5343.5</v>
      </c>
      <c r="K5" s="260">
        <v>5505.5</v>
      </c>
      <c r="L5" s="260">
        <v>5531</v>
      </c>
      <c r="M5" s="260">
        <v>8089.55</v>
      </c>
      <c r="N5" s="261">
        <v>5917.9</v>
      </c>
      <c r="O5" s="260">
        <v>5717.55</v>
      </c>
      <c r="P5" s="260">
        <v>4826.75</v>
      </c>
      <c r="Q5" s="260">
        <v>6095.1</v>
      </c>
      <c r="R5" s="260">
        <v>5632.5</v>
      </c>
      <c r="S5" s="260">
        <v>8298.7000000000007</v>
      </c>
      <c r="T5" s="260">
        <v>5794.25</v>
      </c>
      <c r="U5" s="260">
        <v>5307.7</v>
      </c>
      <c r="V5" s="260">
        <v>5055.7</v>
      </c>
      <c r="W5" s="260">
        <v>5374.75</v>
      </c>
      <c r="X5" s="260">
        <v>5118.5</v>
      </c>
      <c r="Y5" s="85">
        <v>7681</v>
      </c>
      <c r="Z5" s="262">
        <v>5258.75</v>
      </c>
      <c r="AA5" s="251">
        <v>5384.15</v>
      </c>
      <c r="AB5" s="265">
        <f>[2]Data!CJ23</f>
        <v>4309.5</v>
      </c>
      <c r="AC5" s="265">
        <v>5377</v>
      </c>
      <c r="AD5" s="265">
        <v>5255.65</v>
      </c>
      <c r="AE5" s="30">
        <v>7715.5</v>
      </c>
      <c r="AF5" s="30">
        <v>4770.75</v>
      </c>
      <c r="AG5" s="30">
        <v>4628.8999999999996</v>
      </c>
      <c r="AH5" s="265">
        <v>4351.3500000000004</v>
      </c>
      <c r="AI5" s="117">
        <v>4597.55</v>
      </c>
      <c r="AJ5" s="117">
        <v>4597.55</v>
      </c>
      <c r="AK5" s="117">
        <v>4462.5</v>
      </c>
      <c r="AL5" s="117">
        <v>4808.25</v>
      </c>
      <c r="AM5" s="117">
        <v>4762.25</v>
      </c>
      <c r="AN5" s="117">
        <v>3806.51</v>
      </c>
      <c r="AO5" s="117">
        <v>4843.95</v>
      </c>
      <c r="AP5" s="117">
        <v>7134</v>
      </c>
      <c r="AQ5" s="117">
        <v>4843.25</v>
      </c>
      <c r="AR5" s="259"/>
      <c r="AS5" s="259"/>
      <c r="AT5" s="259"/>
      <c r="AU5" s="259"/>
      <c r="AV5" s="259"/>
      <c r="AW5" s="259"/>
      <c r="AX5" s="259"/>
      <c r="AY5" s="259"/>
      <c r="AZ5" s="259"/>
      <c r="BA5" s="259"/>
      <c r="BB5" s="259"/>
      <c r="BC5" s="259"/>
      <c r="BD5" s="259"/>
      <c r="BE5" s="259"/>
      <c r="BF5" s="259"/>
      <c r="BG5" s="259"/>
      <c r="BH5" s="259"/>
      <c r="BI5" s="259"/>
      <c r="BJ5" s="259"/>
      <c r="BK5" s="259"/>
      <c r="BL5" s="259"/>
      <c r="BM5" s="259"/>
      <c r="BN5" s="259"/>
      <c r="BO5" s="259"/>
      <c r="BP5" s="259"/>
      <c r="BQ5" s="259"/>
      <c r="BR5" s="259"/>
      <c r="BS5" s="259"/>
      <c r="BT5" s="259"/>
      <c r="BU5" s="259"/>
      <c r="BV5" s="259"/>
      <c r="BW5" s="259"/>
      <c r="BX5" s="259"/>
      <c r="BY5" s="259"/>
      <c r="BZ5" s="259"/>
      <c r="CA5" s="259"/>
      <c r="CB5" s="259"/>
      <c r="CC5" s="259"/>
      <c r="CD5" s="259"/>
      <c r="CE5" s="259"/>
      <c r="CF5" s="259"/>
      <c r="CG5" s="259"/>
      <c r="CH5" s="259"/>
      <c r="CI5" s="259"/>
      <c r="CJ5" s="259"/>
    </row>
    <row r="6" spans="1:108" x14ac:dyDescent="0.2">
      <c r="A6" s="256" t="s">
        <v>133</v>
      </c>
      <c r="B6" s="263">
        <v>0</v>
      </c>
      <c r="C6" s="251">
        <v>0</v>
      </c>
      <c r="D6" s="251">
        <v>0</v>
      </c>
      <c r="E6" s="263">
        <v>0</v>
      </c>
      <c r="F6" s="251">
        <v>0</v>
      </c>
      <c r="G6" s="251">
        <v>0</v>
      </c>
      <c r="H6" s="251">
        <v>0</v>
      </c>
      <c r="I6" s="251">
        <v>0</v>
      </c>
      <c r="J6" s="251">
        <v>0</v>
      </c>
      <c r="K6" s="251">
        <v>0</v>
      </c>
      <c r="L6" s="251">
        <v>0</v>
      </c>
      <c r="M6" s="251">
        <v>0</v>
      </c>
      <c r="N6" s="262">
        <v>0</v>
      </c>
      <c r="O6" s="263">
        <v>0</v>
      </c>
      <c r="P6" s="251">
        <v>0</v>
      </c>
      <c r="Q6" s="263">
        <v>0</v>
      </c>
      <c r="R6" s="251">
        <v>0</v>
      </c>
      <c r="S6" s="251">
        <v>0</v>
      </c>
      <c r="T6" s="251">
        <v>0</v>
      </c>
      <c r="U6" s="251">
        <v>0</v>
      </c>
      <c r="V6" s="251">
        <v>0</v>
      </c>
      <c r="W6" s="251">
        <v>0</v>
      </c>
      <c r="X6" s="251">
        <v>0</v>
      </c>
      <c r="Y6" s="251">
        <v>0</v>
      </c>
      <c r="Z6" s="262">
        <v>0</v>
      </c>
      <c r="AA6" s="251">
        <v>0</v>
      </c>
      <c r="AB6" s="251">
        <v>0</v>
      </c>
      <c r="AC6" s="251">
        <v>0</v>
      </c>
      <c r="AD6" s="251">
        <v>0</v>
      </c>
      <c r="AE6" s="251">
        <v>0</v>
      </c>
      <c r="AF6" s="251">
        <v>0</v>
      </c>
      <c r="AG6" s="251">
        <v>0</v>
      </c>
      <c r="AH6" s="251">
        <v>0</v>
      </c>
      <c r="AI6" s="251">
        <v>0</v>
      </c>
      <c r="AJ6" s="251">
        <v>0</v>
      </c>
      <c r="AK6" s="251">
        <v>0</v>
      </c>
      <c r="AL6" s="251">
        <v>0</v>
      </c>
      <c r="AM6" s="251">
        <v>0</v>
      </c>
      <c r="AN6" s="251">
        <v>0</v>
      </c>
      <c r="AO6" s="251">
        <v>0</v>
      </c>
      <c r="AP6" s="251">
        <v>0</v>
      </c>
      <c r="AQ6" s="251">
        <v>0</v>
      </c>
      <c r="AR6" s="259"/>
      <c r="AS6" s="259"/>
      <c r="AT6" s="259"/>
      <c r="AU6" s="259"/>
      <c r="AV6" s="259"/>
      <c r="AW6" s="259"/>
      <c r="AX6" s="259"/>
      <c r="AY6" s="259"/>
      <c r="AZ6" s="259"/>
      <c r="BA6" s="259"/>
      <c r="BB6" s="259"/>
      <c r="BC6" s="259"/>
      <c r="BD6" s="259"/>
      <c r="BE6" s="259"/>
      <c r="BF6" s="259"/>
      <c r="BG6" s="259"/>
      <c r="BH6" s="259"/>
      <c r="BI6" s="259"/>
      <c r="BJ6" s="259"/>
      <c r="BK6" s="259"/>
      <c r="BL6" s="259"/>
      <c r="BM6" s="259"/>
      <c r="BN6" s="259"/>
      <c r="BO6" s="259"/>
      <c r="BP6" s="259"/>
      <c r="BQ6" s="259"/>
      <c r="BR6" s="259"/>
      <c r="BS6" s="259"/>
      <c r="BT6" s="259"/>
      <c r="BU6" s="259"/>
      <c r="BV6" s="259"/>
      <c r="BW6" s="259"/>
      <c r="BX6" s="259"/>
      <c r="BY6" s="259"/>
      <c r="BZ6" s="259"/>
      <c r="CA6" s="259"/>
      <c r="CB6" s="259"/>
      <c r="CC6" s="259"/>
      <c r="CD6" s="259"/>
      <c r="CE6" s="259"/>
      <c r="CF6" s="259"/>
      <c r="CG6" s="259"/>
      <c r="CH6" s="259"/>
      <c r="CI6" s="259"/>
      <c r="CJ6" s="259"/>
    </row>
    <row r="7" spans="1:108" x14ac:dyDescent="0.2">
      <c r="A7" s="256" t="s">
        <v>134</v>
      </c>
      <c r="B7" s="263">
        <v>0</v>
      </c>
      <c r="C7" s="251">
        <v>0</v>
      </c>
      <c r="D7" s="251">
        <v>0</v>
      </c>
      <c r="E7" s="263">
        <v>0</v>
      </c>
      <c r="F7" s="251">
        <v>0</v>
      </c>
      <c r="G7" s="251">
        <v>0</v>
      </c>
      <c r="H7" s="251">
        <v>0</v>
      </c>
      <c r="I7" s="251">
        <v>0</v>
      </c>
      <c r="J7" s="251">
        <v>0</v>
      </c>
      <c r="K7" s="251">
        <v>0</v>
      </c>
      <c r="L7" s="251">
        <v>0</v>
      </c>
      <c r="M7" s="251">
        <v>0</v>
      </c>
      <c r="N7" s="262">
        <v>0</v>
      </c>
      <c r="O7" s="263">
        <v>0</v>
      </c>
      <c r="P7" s="251">
        <v>0</v>
      </c>
      <c r="Q7" s="263">
        <v>0</v>
      </c>
      <c r="R7" s="251">
        <v>0</v>
      </c>
      <c r="S7" s="251">
        <v>0</v>
      </c>
      <c r="T7" s="251">
        <v>0</v>
      </c>
      <c r="U7" s="251">
        <v>0</v>
      </c>
      <c r="V7" s="251">
        <v>0</v>
      </c>
      <c r="W7" s="251">
        <v>0</v>
      </c>
      <c r="X7" s="251">
        <v>0</v>
      </c>
      <c r="Y7" s="251">
        <v>0</v>
      </c>
      <c r="Z7" s="262">
        <v>0</v>
      </c>
      <c r="AA7" s="251">
        <v>0</v>
      </c>
      <c r="AB7" s="251">
        <v>0</v>
      </c>
      <c r="AC7" s="251">
        <v>0</v>
      </c>
      <c r="AD7" s="251">
        <v>0</v>
      </c>
      <c r="AE7" s="251">
        <v>0</v>
      </c>
      <c r="AF7" s="251">
        <v>0</v>
      </c>
      <c r="AG7" s="251">
        <v>0</v>
      </c>
      <c r="AH7" s="251">
        <v>0</v>
      </c>
      <c r="AI7" s="251">
        <v>0</v>
      </c>
      <c r="AJ7" s="251">
        <v>0</v>
      </c>
      <c r="AK7" s="251">
        <v>0</v>
      </c>
      <c r="AL7" s="251">
        <v>0</v>
      </c>
      <c r="AM7" s="251">
        <v>0</v>
      </c>
      <c r="AN7" s="251">
        <v>0</v>
      </c>
      <c r="AO7" s="251">
        <v>0</v>
      </c>
      <c r="AP7" s="251">
        <v>0</v>
      </c>
      <c r="AQ7" s="251">
        <v>0</v>
      </c>
      <c r="AR7" s="259"/>
      <c r="AS7" s="259"/>
      <c r="AT7" s="259"/>
      <c r="AU7" s="259"/>
      <c r="AV7" s="259"/>
      <c r="AW7" s="259"/>
      <c r="AX7" s="259"/>
      <c r="AY7" s="259"/>
      <c r="AZ7" s="259"/>
      <c r="BA7" s="259"/>
      <c r="BB7" s="259"/>
      <c r="BC7" s="259"/>
      <c r="BD7" s="259"/>
      <c r="BE7" s="259"/>
      <c r="BF7" s="259"/>
      <c r="BG7" s="259"/>
      <c r="BH7" s="259"/>
      <c r="BI7" s="259"/>
      <c r="BJ7" s="259"/>
      <c r="BK7" s="259"/>
      <c r="BL7" s="259"/>
      <c r="BM7" s="259"/>
      <c r="BN7" s="259"/>
      <c r="BO7" s="259"/>
      <c r="BP7" s="259"/>
      <c r="BQ7" s="259"/>
      <c r="BR7" s="259"/>
      <c r="BS7" s="259"/>
      <c r="BT7" s="259"/>
      <c r="BU7" s="259"/>
      <c r="BV7" s="259"/>
      <c r="BW7" s="259"/>
      <c r="BX7" s="259"/>
      <c r="BY7" s="259"/>
      <c r="BZ7" s="259"/>
      <c r="CA7" s="259"/>
      <c r="CB7" s="259"/>
      <c r="CC7" s="259"/>
      <c r="CD7" s="259"/>
      <c r="CE7" s="259"/>
      <c r="CF7" s="259"/>
      <c r="CG7" s="259"/>
      <c r="CH7" s="259"/>
      <c r="CI7" s="259"/>
      <c r="CJ7" s="259"/>
    </row>
    <row r="8" spans="1:108" x14ac:dyDescent="0.2">
      <c r="A8" s="256" t="s">
        <v>135</v>
      </c>
      <c r="B8" s="263">
        <f t="shared" ref="B8:AL8" si="0">SUM(B6:B7)/B4*1000000</f>
        <v>0</v>
      </c>
      <c r="C8" s="251">
        <f t="shared" si="0"/>
        <v>0</v>
      </c>
      <c r="D8" s="251">
        <f t="shared" si="0"/>
        <v>0</v>
      </c>
      <c r="E8" s="263">
        <f t="shared" si="0"/>
        <v>0</v>
      </c>
      <c r="F8" s="251">
        <f t="shared" si="0"/>
        <v>0</v>
      </c>
      <c r="G8" s="251">
        <f t="shared" si="0"/>
        <v>0</v>
      </c>
      <c r="H8" s="251">
        <f t="shared" si="0"/>
        <v>0</v>
      </c>
      <c r="I8" s="251">
        <f t="shared" si="0"/>
        <v>0</v>
      </c>
      <c r="J8" s="251">
        <f t="shared" si="0"/>
        <v>0</v>
      </c>
      <c r="K8" s="251">
        <f t="shared" si="0"/>
        <v>0</v>
      </c>
      <c r="L8" s="251">
        <f t="shared" si="0"/>
        <v>0</v>
      </c>
      <c r="M8" s="251">
        <f t="shared" si="0"/>
        <v>0</v>
      </c>
      <c r="N8" s="262">
        <f t="shared" si="0"/>
        <v>0</v>
      </c>
      <c r="O8" s="251">
        <f t="shared" si="0"/>
        <v>0</v>
      </c>
      <c r="P8" s="251">
        <f t="shared" si="0"/>
        <v>0</v>
      </c>
      <c r="Q8" s="263">
        <f t="shared" si="0"/>
        <v>0</v>
      </c>
      <c r="R8" s="251">
        <f t="shared" si="0"/>
        <v>0</v>
      </c>
      <c r="S8" s="251">
        <f t="shared" si="0"/>
        <v>0</v>
      </c>
      <c r="T8" s="251">
        <f t="shared" si="0"/>
        <v>0</v>
      </c>
      <c r="U8" s="251">
        <f t="shared" si="0"/>
        <v>0</v>
      </c>
      <c r="V8" s="251">
        <f t="shared" si="0"/>
        <v>0</v>
      </c>
      <c r="W8" s="251">
        <f t="shared" si="0"/>
        <v>0</v>
      </c>
      <c r="X8" s="251">
        <f t="shared" si="0"/>
        <v>0</v>
      </c>
      <c r="Y8" s="251" t="e">
        <f t="shared" si="0"/>
        <v>#DIV/0!</v>
      </c>
      <c r="Z8" s="262">
        <f t="shared" si="0"/>
        <v>0</v>
      </c>
      <c r="AA8" s="251">
        <f t="shared" si="0"/>
        <v>0</v>
      </c>
      <c r="AB8" s="251">
        <f t="shared" si="0"/>
        <v>0</v>
      </c>
      <c r="AC8" s="251">
        <f t="shared" si="0"/>
        <v>0</v>
      </c>
      <c r="AD8" s="251">
        <f t="shared" si="0"/>
        <v>0</v>
      </c>
      <c r="AE8" s="251">
        <f t="shared" si="0"/>
        <v>0</v>
      </c>
      <c r="AF8" s="251">
        <f t="shared" si="0"/>
        <v>0</v>
      </c>
      <c r="AG8" s="251">
        <f t="shared" si="0"/>
        <v>0</v>
      </c>
      <c r="AH8" s="251">
        <f t="shared" si="0"/>
        <v>0</v>
      </c>
      <c r="AI8" s="251">
        <f t="shared" si="0"/>
        <v>0</v>
      </c>
      <c r="AJ8" s="251">
        <f t="shared" si="0"/>
        <v>0</v>
      </c>
      <c r="AK8" s="251">
        <f t="shared" si="0"/>
        <v>0</v>
      </c>
      <c r="AL8" s="251">
        <f t="shared" si="0"/>
        <v>0</v>
      </c>
      <c r="AM8" s="251">
        <v>0</v>
      </c>
      <c r="AN8" s="251">
        <v>0</v>
      </c>
      <c r="AO8" s="251">
        <v>0</v>
      </c>
      <c r="AP8" s="251">
        <v>0</v>
      </c>
      <c r="AQ8" s="251">
        <v>0</v>
      </c>
      <c r="AR8" s="259"/>
      <c r="AS8" s="259"/>
      <c r="AT8" s="259"/>
      <c r="AU8" s="259"/>
      <c r="AV8" s="259"/>
      <c r="AW8" s="259"/>
      <c r="AX8" s="259"/>
      <c r="AY8" s="259"/>
      <c r="AZ8" s="259"/>
      <c r="BA8" s="259"/>
      <c r="BB8" s="259"/>
      <c r="BC8" s="259"/>
      <c r="BD8" s="259"/>
      <c r="BE8" s="259"/>
      <c r="BF8" s="259"/>
      <c r="BG8" s="259"/>
      <c r="BH8" s="259"/>
      <c r="BI8" s="259"/>
      <c r="BJ8" s="259"/>
      <c r="BK8" s="259"/>
      <c r="BL8" s="259"/>
      <c r="BM8" s="259"/>
      <c r="BN8" s="259"/>
      <c r="BO8" s="259"/>
      <c r="BP8" s="259"/>
      <c r="BQ8" s="259"/>
      <c r="BR8" s="259"/>
      <c r="BS8" s="259"/>
      <c r="BT8" s="259"/>
      <c r="BU8" s="259"/>
      <c r="BV8" s="259"/>
      <c r="BW8" s="259"/>
      <c r="BX8" s="259"/>
      <c r="BY8" s="259"/>
      <c r="BZ8" s="259"/>
      <c r="CA8" s="259"/>
      <c r="CB8" s="259"/>
      <c r="CC8" s="259"/>
      <c r="CD8" s="259"/>
      <c r="CE8" s="259"/>
      <c r="CF8" s="259"/>
      <c r="CG8" s="259"/>
      <c r="CH8" s="259"/>
      <c r="CI8" s="259"/>
      <c r="CJ8" s="259"/>
    </row>
    <row r="9" spans="1:108" x14ac:dyDescent="0.2">
      <c r="A9" s="256" t="s">
        <v>136</v>
      </c>
      <c r="B9" s="263" t="e">
        <f>SUM(#REF!)/SUM(#REF!)*1000000</f>
        <v>#REF!</v>
      </c>
      <c r="C9" s="251" t="e">
        <f>SUM(#REF!)/SUM(#REF!)*1000000</f>
        <v>#REF!</v>
      </c>
      <c r="D9" s="251" t="e">
        <f>SUM(#REF!)/SUM(#REF!)*1000000</f>
        <v>#REF!</v>
      </c>
      <c r="E9" s="263" t="e">
        <f>SUM(#REF!)/SUM(#REF!)*1000000</f>
        <v>#REF!</v>
      </c>
      <c r="F9" s="251" t="e">
        <f>SUM(#REF!)/SUM(#REF!)*1000000</f>
        <v>#REF!</v>
      </c>
      <c r="G9" s="251" t="e">
        <f>SUM(#REF!)/SUM(#REF!)*1000000</f>
        <v>#REF!</v>
      </c>
      <c r="H9" s="251" t="e">
        <f>SUM(#REF!)/SUM(#REF!)*1000000</f>
        <v>#REF!</v>
      </c>
      <c r="I9" s="251" t="e">
        <f>SUM(#REF!)/SUM(#REF!)*1000000</f>
        <v>#REF!</v>
      </c>
      <c r="J9" s="251" t="e">
        <f>SUM(#REF!)/SUM(#REF!)*1000000</f>
        <v>#REF!</v>
      </c>
      <c r="K9" s="251" t="e">
        <f>SUM(#REF!)/SUM(#REF!)*1000000</f>
        <v>#REF!</v>
      </c>
      <c r="L9" s="251">
        <f>SUM(B6:L7)/SUM(B4:L4)*1000000</f>
        <v>0</v>
      </c>
      <c r="M9" s="251">
        <f t="shared" ref="M9:AQ9" si="1">SUM(B6:M7)/SUM(B4:M4)*1000000</f>
        <v>0</v>
      </c>
      <c r="N9" s="262">
        <f t="shared" si="1"/>
        <v>0</v>
      </c>
      <c r="O9" s="251">
        <f t="shared" si="1"/>
        <v>0</v>
      </c>
      <c r="P9" s="251">
        <f t="shared" si="1"/>
        <v>0</v>
      </c>
      <c r="Q9" s="263">
        <f t="shared" si="1"/>
        <v>0</v>
      </c>
      <c r="R9" s="251">
        <f t="shared" si="1"/>
        <v>0</v>
      </c>
      <c r="S9" s="251">
        <f t="shared" si="1"/>
        <v>0</v>
      </c>
      <c r="T9" s="251">
        <f t="shared" si="1"/>
        <v>0</v>
      </c>
      <c r="U9" s="251">
        <f t="shared" si="1"/>
        <v>0</v>
      </c>
      <c r="V9" s="251">
        <f t="shared" si="1"/>
        <v>0</v>
      </c>
      <c r="W9" s="251">
        <f t="shared" si="1"/>
        <v>0</v>
      </c>
      <c r="X9" s="251">
        <f t="shared" si="1"/>
        <v>0</v>
      </c>
      <c r="Y9" s="251">
        <f t="shared" si="1"/>
        <v>0</v>
      </c>
      <c r="Z9" s="262">
        <f t="shared" si="1"/>
        <v>0</v>
      </c>
      <c r="AA9" s="251">
        <f t="shared" si="1"/>
        <v>0</v>
      </c>
      <c r="AB9" s="251">
        <f t="shared" si="1"/>
        <v>0</v>
      </c>
      <c r="AC9" s="251">
        <f t="shared" si="1"/>
        <v>0</v>
      </c>
      <c r="AD9" s="251">
        <f t="shared" si="1"/>
        <v>0</v>
      </c>
      <c r="AE9" s="251">
        <f t="shared" si="1"/>
        <v>0</v>
      </c>
      <c r="AF9" s="251">
        <f t="shared" si="1"/>
        <v>0</v>
      </c>
      <c r="AG9" s="251">
        <f t="shared" si="1"/>
        <v>0</v>
      </c>
      <c r="AH9" s="251">
        <f t="shared" si="1"/>
        <v>0</v>
      </c>
      <c r="AI9" s="251">
        <f t="shared" si="1"/>
        <v>0</v>
      </c>
      <c r="AJ9" s="251">
        <f t="shared" si="1"/>
        <v>0</v>
      </c>
      <c r="AK9" s="251">
        <f t="shared" si="1"/>
        <v>0</v>
      </c>
      <c r="AL9" s="251">
        <f t="shared" si="1"/>
        <v>0</v>
      </c>
      <c r="AM9" s="251">
        <f t="shared" si="1"/>
        <v>0</v>
      </c>
      <c r="AN9" s="251">
        <f t="shared" si="1"/>
        <v>0</v>
      </c>
      <c r="AO9" s="251">
        <f t="shared" si="1"/>
        <v>0</v>
      </c>
      <c r="AP9" s="251">
        <f t="shared" si="1"/>
        <v>0</v>
      </c>
      <c r="AQ9" s="251">
        <f t="shared" si="1"/>
        <v>0</v>
      </c>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row>
    <row r="10" spans="1:108" x14ac:dyDescent="0.2">
      <c r="A10" s="256" t="s">
        <v>137</v>
      </c>
      <c r="B10" s="263">
        <v>0</v>
      </c>
      <c r="C10" s="251">
        <v>0</v>
      </c>
      <c r="D10" s="251">
        <v>0</v>
      </c>
      <c r="E10" s="263">
        <v>0</v>
      </c>
      <c r="F10" s="251">
        <v>0</v>
      </c>
      <c r="G10" s="251">
        <v>0</v>
      </c>
      <c r="H10" s="251">
        <v>0</v>
      </c>
      <c r="I10" s="251">
        <v>0</v>
      </c>
      <c r="J10" s="251">
        <v>0</v>
      </c>
      <c r="K10" s="251">
        <v>0</v>
      </c>
      <c r="L10" s="251">
        <v>0</v>
      </c>
      <c r="M10" s="251">
        <v>0</v>
      </c>
      <c r="N10" s="262">
        <v>0</v>
      </c>
      <c r="O10" s="263">
        <v>0</v>
      </c>
      <c r="P10" s="251">
        <v>0</v>
      </c>
      <c r="Q10" s="263">
        <v>0</v>
      </c>
      <c r="R10" s="251">
        <v>0</v>
      </c>
      <c r="S10" s="251">
        <v>0</v>
      </c>
      <c r="T10" s="251">
        <v>0</v>
      </c>
      <c r="U10" s="251">
        <v>0</v>
      </c>
      <c r="V10" s="251">
        <v>0</v>
      </c>
      <c r="W10" s="251">
        <v>0</v>
      </c>
      <c r="X10" s="251">
        <v>0</v>
      </c>
      <c r="Y10" s="251">
        <v>0</v>
      </c>
      <c r="Z10" s="262">
        <v>0</v>
      </c>
      <c r="AA10" s="251">
        <v>0</v>
      </c>
      <c r="AB10" s="251">
        <v>0</v>
      </c>
      <c r="AC10" s="251">
        <v>0</v>
      </c>
      <c r="AD10" s="251">
        <v>0</v>
      </c>
      <c r="AE10" s="251">
        <v>0</v>
      </c>
      <c r="AF10" s="251">
        <v>0</v>
      </c>
      <c r="AG10" s="251">
        <v>0</v>
      </c>
      <c r="AH10" s="251">
        <v>0</v>
      </c>
      <c r="AI10" s="251">
        <v>0</v>
      </c>
      <c r="AJ10" s="251">
        <v>0</v>
      </c>
      <c r="AK10" s="251">
        <v>0</v>
      </c>
      <c r="AL10" s="251">
        <v>0</v>
      </c>
      <c r="AM10" s="251">
        <v>0</v>
      </c>
      <c r="AN10" s="251">
        <v>0</v>
      </c>
      <c r="AO10" s="251">
        <v>0</v>
      </c>
      <c r="AP10" s="251">
        <v>0</v>
      </c>
      <c r="AQ10" s="251">
        <v>0</v>
      </c>
      <c r="AR10" s="259"/>
      <c r="AS10" s="259"/>
      <c r="AT10" s="259"/>
      <c r="AU10" s="259"/>
      <c r="AV10" s="259"/>
      <c r="AW10" s="259"/>
      <c r="AX10" s="259"/>
      <c r="AY10" s="259"/>
      <c r="AZ10" s="259"/>
      <c r="BA10" s="259"/>
      <c r="BB10" s="259"/>
      <c r="BC10" s="259"/>
      <c r="BD10" s="259"/>
      <c r="BE10" s="259"/>
      <c r="BF10" s="259"/>
      <c r="BG10" s="259"/>
      <c r="BH10" s="259"/>
      <c r="BI10" s="259"/>
      <c r="BJ10" s="259"/>
      <c r="BK10" s="259"/>
      <c r="BL10" s="259"/>
      <c r="BM10" s="259"/>
      <c r="BN10" s="259"/>
      <c r="BO10" s="259"/>
      <c r="BP10" s="259"/>
      <c r="BQ10" s="259"/>
      <c r="BR10" s="259"/>
      <c r="BS10" s="259"/>
      <c r="BT10" s="259"/>
      <c r="BU10" s="259"/>
      <c r="BV10" s="259"/>
      <c r="BW10" s="259"/>
      <c r="BX10" s="259"/>
      <c r="BY10" s="259"/>
      <c r="BZ10" s="259"/>
      <c r="CA10" s="259"/>
      <c r="CB10" s="259"/>
      <c r="CC10" s="259"/>
      <c r="CD10" s="259"/>
      <c r="CE10" s="259"/>
      <c r="CF10" s="259"/>
      <c r="CG10" s="259"/>
      <c r="CH10" s="259"/>
      <c r="CI10" s="259"/>
      <c r="CJ10" s="259"/>
    </row>
    <row r="11" spans="1:108" x14ac:dyDescent="0.2">
      <c r="A11" s="256" t="s">
        <v>138</v>
      </c>
      <c r="B11" s="263">
        <f t="shared" ref="B11:AQ11" si="2">B10/B5*200000</f>
        <v>0</v>
      </c>
      <c r="C11" s="251">
        <f t="shared" si="2"/>
        <v>0</v>
      </c>
      <c r="D11" s="251">
        <f t="shared" si="2"/>
        <v>0</v>
      </c>
      <c r="E11" s="263">
        <f t="shared" si="2"/>
        <v>0</v>
      </c>
      <c r="F11" s="251">
        <f t="shared" si="2"/>
        <v>0</v>
      </c>
      <c r="G11" s="251">
        <f t="shared" si="2"/>
        <v>0</v>
      </c>
      <c r="H11" s="251">
        <f t="shared" si="2"/>
        <v>0</v>
      </c>
      <c r="I11" s="251">
        <f t="shared" si="2"/>
        <v>0</v>
      </c>
      <c r="J11" s="251">
        <f t="shared" si="2"/>
        <v>0</v>
      </c>
      <c r="K11" s="251">
        <f t="shared" si="2"/>
        <v>0</v>
      </c>
      <c r="L11" s="251">
        <f t="shared" si="2"/>
        <v>0</v>
      </c>
      <c r="M11" s="251">
        <f t="shared" si="2"/>
        <v>0</v>
      </c>
      <c r="N11" s="262">
        <f t="shared" si="2"/>
        <v>0</v>
      </c>
      <c r="O11" s="263">
        <f t="shared" si="2"/>
        <v>0</v>
      </c>
      <c r="P11" s="251">
        <f t="shared" si="2"/>
        <v>0</v>
      </c>
      <c r="Q11" s="263">
        <f t="shared" si="2"/>
        <v>0</v>
      </c>
      <c r="R11" s="251">
        <f t="shared" si="2"/>
        <v>0</v>
      </c>
      <c r="S11" s="251">
        <f t="shared" si="2"/>
        <v>0</v>
      </c>
      <c r="T11" s="251">
        <f t="shared" si="2"/>
        <v>0</v>
      </c>
      <c r="U11" s="251">
        <f t="shared" si="2"/>
        <v>0</v>
      </c>
      <c r="V11" s="251">
        <f t="shared" si="2"/>
        <v>0</v>
      </c>
      <c r="W11" s="251">
        <f t="shared" si="2"/>
        <v>0</v>
      </c>
      <c r="X11" s="251">
        <f t="shared" si="2"/>
        <v>0</v>
      </c>
      <c r="Y11" s="251">
        <f t="shared" si="2"/>
        <v>0</v>
      </c>
      <c r="Z11" s="262">
        <f t="shared" si="2"/>
        <v>0</v>
      </c>
      <c r="AA11" s="251">
        <f t="shared" si="2"/>
        <v>0</v>
      </c>
      <c r="AB11" s="251">
        <f t="shared" si="2"/>
        <v>0</v>
      </c>
      <c r="AC11" s="251">
        <f t="shared" si="2"/>
        <v>0</v>
      </c>
      <c r="AD11" s="251">
        <f t="shared" si="2"/>
        <v>0</v>
      </c>
      <c r="AE11" s="251">
        <f t="shared" si="2"/>
        <v>0</v>
      </c>
      <c r="AF11" s="251">
        <f t="shared" si="2"/>
        <v>0</v>
      </c>
      <c r="AG11" s="251">
        <f t="shared" si="2"/>
        <v>0</v>
      </c>
      <c r="AH11" s="251">
        <f t="shared" si="2"/>
        <v>0</v>
      </c>
      <c r="AI11" s="251">
        <f t="shared" si="2"/>
        <v>0</v>
      </c>
      <c r="AJ11" s="251">
        <f t="shared" si="2"/>
        <v>0</v>
      </c>
      <c r="AK11" s="251">
        <f t="shared" si="2"/>
        <v>0</v>
      </c>
      <c r="AL11" s="251">
        <f t="shared" si="2"/>
        <v>0</v>
      </c>
      <c r="AM11" s="251">
        <f t="shared" si="2"/>
        <v>0</v>
      </c>
      <c r="AN11" s="251">
        <f t="shared" si="2"/>
        <v>0</v>
      </c>
      <c r="AO11" s="251">
        <f t="shared" si="2"/>
        <v>0</v>
      </c>
      <c r="AP11" s="251">
        <f t="shared" si="2"/>
        <v>0</v>
      </c>
      <c r="AQ11" s="251">
        <f t="shared" si="2"/>
        <v>0</v>
      </c>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row>
    <row r="12" spans="1:108" x14ac:dyDescent="0.2">
      <c r="A12" s="256" t="s">
        <v>136</v>
      </c>
      <c r="B12" s="263" t="e">
        <f>SUM(#REF!)/SUM(#REF!)*200000</f>
        <v>#REF!</v>
      </c>
      <c r="C12" s="251" t="e">
        <f>SUM(#REF!)/SUM(#REF!)*200000</f>
        <v>#REF!</v>
      </c>
      <c r="D12" s="251" t="e">
        <f>SUM(#REF!)/SUM(#REF!)*200000</f>
        <v>#REF!</v>
      </c>
      <c r="E12" s="263" t="e">
        <f>SUM(#REF!)/SUM(#REF!)*200000</f>
        <v>#REF!</v>
      </c>
      <c r="F12" s="251" t="e">
        <f>SUM(#REF!)/SUM(#REF!)*200000</f>
        <v>#REF!</v>
      </c>
      <c r="G12" s="251" t="e">
        <f>SUM(#REF!)/SUM(#REF!)*200000</f>
        <v>#REF!</v>
      </c>
      <c r="H12" s="251" t="e">
        <f>SUM(#REF!)/SUM(#REF!)*200000</f>
        <v>#REF!</v>
      </c>
      <c r="I12" s="251" t="e">
        <f>SUM(#REF!)/SUM(#REF!)*200000</f>
        <v>#REF!</v>
      </c>
      <c r="J12" s="251" t="e">
        <f>SUM(#REF!)/SUM(#REF!)*200000</f>
        <v>#REF!</v>
      </c>
      <c r="K12" s="251" t="e">
        <f>SUM(#REF!)/SUM(#REF!)*200000</f>
        <v>#REF!</v>
      </c>
      <c r="L12" s="251">
        <f>SUM(B10:L10)/SUM(B5:L5)*200000</f>
        <v>0</v>
      </c>
      <c r="M12" s="251">
        <f t="shared" ref="M12:AQ12" si="3">SUM(B10:M10)/SUM(B5:M5)*200000</f>
        <v>0</v>
      </c>
      <c r="N12" s="262">
        <f t="shared" si="3"/>
        <v>0</v>
      </c>
      <c r="O12" s="263">
        <f t="shared" si="3"/>
        <v>0</v>
      </c>
      <c r="P12" s="251">
        <f t="shared" si="3"/>
        <v>0</v>
      </c>
      <c r="Q12" s="263">
        <f t="shared" si="3"/>
        <v>0</v>
      </c>
      <c r="R12" s="251">
        <f t="shared" si="3"/>
        <v>0</v>
      </c>
      <c r="S12" s="251">
        <f t="shared" si="3"/>
        <v>0</v>
      </c>
      <c r="T12" s="251">
        <f t="shared" si="3"/>
        <v>0</v>
      </c>
      <c r="U12" s="251">
        <f t="shared" si="3"/>
        <v>0</v>
      </c>
      <c r="V12" s="251">
        <f t="shared" si="3"/>
        <v>0</v>
      </c>
      <c r="W12" s="251">
        <f t="shared" si="3"/>
        <v>0</v>
      </c>
      <c r="X12" s="251">
        <f t="shared" si="3"/>
        <v>0</v>
      </c>
      <c r="Y12" s="251">
        <f t="shared" si="3"/>
        <v>0</v>
      </c>
      <c r="Z12" s="262">
        <f t="shared" si="3"/>
        <v>0</v>
      </c>
      <c r="AA12" s="251">
        <f t="shared" si="3"/>
        <v>0</v>
      </c>
      <c r="AB12" s="251">
        <f t="shared" si="3"/>
        <v>0</v>
      </c>
      <c r="AC12" s="251">
        <f t="shared" si="3"/>
        <v>0</v>
      </c>
      <c r="AD12" s="251">
        <f t="shared" si="3"/>
        <v>0</v>
      </c>
      <c r="AE12" s="251">
        <f t="shared" si="3"/>
        <v>0</v>
      </c>
      <c r="AF12" s="251">
        <f t="shared" si="3"/>
        <v>0</v>
      </c>
      <c r="AG12" s="251">
        <f t="shared" si="3"/>
        <v>0</v>
      </c>
      <c r="AH12" s="251">
        <f t="shared" si="3"/>
        <v>0</v>
      </c>
      <c r="AI12" s="251">
        <f t="shared" si="3"/>
        <v>0</v>
      </c>
      <c r="AJ12" s="251">
        <f t="shared" si="3"/>
        <v>0</v>
      </c>
      <c r="AK12" s="251">
        <f t="shared" si="3"/>
        <v>0</v>
      </c>
      <c r="AL12" s="251">
        <f t="shared" si="3"/>
        <v>0</v>
      </c>
      <c r="AM12" s="251">
        <f t="shared" si="3"/>
        <v>0</v>
      </c>
      <c r="AN12" s="251">
        <f t="shared" si="3"/>
        <v>0</v>
      </c>
      <c r="AO12" s="251">
        <f t="shared" si="3"/>
        <v>0</v>
      </c>
      <c r="AP12" s="251">
        <f t="shared" si="3"/>
        <v>0</v>
      </c>
      <c r="AQ12" s="251">
        <f t="shared" si="3"/>
        <v>0</v>
      </c>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row>
    <row r="13" spans="1:108" x14ac:dyDescent="0.2">
      <c r="A13" s="256" t="s">
        <v>139</v>
      </c>
      <c r="B13" s="263">
        <v>0</v>
      </c>
      <c r="C13" s="251">
        <v>0</v>
      </c>
      <c r="D13" s="251">
        <v>0</v>
      </c>
      <c r="E13" s="263">
        <v>0</v>
      </c>
      <c r="F13" s="251">
        <v>0</v>
      </c>
      <c r="G13" s="251">
        <v>0</v>
      </c>
      <c r="H13" s="251">
        <v>0</v>
      </c>
      <c r="I13" s="251">
        <v>0</v>
      </c>
      <c r="J13" s="251">
        <v>0</v>
      </c>
      <c r="K13" s="251">
        <v>0</v>
      </c>
      <c r="L13" s="251">
        <v>0</v>
      </c>
      <c r="M13" s="251">
        <v>0</v>
      </c>
      <c r="N13" s="262">
        <v>0</v>
      </c>
      <c r="O13" s="263">
        <v>0</v>
      </c>
      <c r="P13" s="251">
        <v>0</v>
      </c>
      <c r="Q13" s="263">
        <v>0</v>
      </c>
      <c r="R13" s="251">
        <v>0</v>
      </c>
      <c r="S13" s="251">
        <v>0</v>
      </c>
      <c r="T13" s="251">
        <v>0</v>
      </c>
      <c r="U13" s="251">
        <v>0</v>
      </c>
      <c r="V13" s="251">
        <v>0</v>
      </c>
      <c r="W13" s="251">
        <v>0</v>
      </c>
      <c r="X13" s="251">
        <v>0</v>
      </c>
      <c r="Y13" s="251">
        <v>0</v>
      </c>
      <c r="Z13" s="262">
        <v>0</v>
      </c>
      <c r="AA13" s="251">
        <v>0</v>
      </c>
      <c r="AB13" s="251">
        <v>0</v>
      </c>
      <c r="AC13" s="251">
        <v>0</v>
      </c>
      <c r="AD13" s="251">
        <v>0</v>
      </c>
      <c r="AE13" s="251">
        <v>0</v>
      </c>
      <c r="AF13" s="251">
        <v>0</v>
      </c>
      <c r="AG13" s="251">
        <v>0</v>
      </c>
      <c r="AH13" s="251">
        <v>0</v>
      </c>
      <c r="AI13" s="251">
        <v>0</v>
      </c>
      <c r="AJ13" s="251">
        <v>0</v>
      </c>
      <c r="AK13" s="251">
        <v>0</v>
      </c>
      <c r="AL13" s="251">
        <v>0</v>
      </c>
      <c r="AM13" s="251">
        <v>0</v>
      </c>
      <c r="AN13" s="251">
        <v>0</v>
      </c>
      <c r="AO13" s="251">
        <v>0</v>
      </c>
      <c r="AP13" s="251">
        <v>0</v>
      </c>
      <c r="AQ13" s="251">
        <v>0</v>
      </c>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row>
    <row r="14" spans="1:108" x14ac:dyDescent="0.2">
      <c r="A14" s="256" t="s">
        <v>140</v>
      </c>
      <c r="B14" s="263">
        <f t="shared" ref="B14:AQ14" si="4">B13/B5*200000</f>
        <v>0</v>
      </c>
      <c r="C14" s="251">
        <f t="shared" si="4"/>
        <v>0</v>
      </c>
      <c r="D14" s="251">
        <f t="shared" si="4"/>
        <v>0</v>
      </c>
      <c r="E14" s="263">
        <f t="shared" si="4"/>
        <v>0</v>
      </c>
      <c r="F14" s="251">
        <f t="shared" si="4"/>
        <v>0</v>
      </c>
      <c r="G14" s="251">
        <f t="shared" si="4"/>
        <v>0</v>
      </c>
      <c r="H14" s="251">
        <f t="shared" si="4"/>
        <v>0</v>
      </c>
      <c r="I14" s="251">
        <f t="shared" si="4"/>
        <v>0</v>
      </c>
      <c r="J14" s="251">
        <f t="shared" si="4"/>
        <v>0</v>
      </c>
      <c r="K14" s="251">
        <f t="shared" si="4"/>
        <v>0</v>
      </c>
      <c r="L14" s="251">
        <f t="shared" si="4"/>
        <v>0</v>
      </c>
      <c r="M14" s="251">
        <f t="shared" si="4"/>
        <v>0</v>
      </c>
      <c r="N14" s="262">
        <f t="shared" si="4"/>
        <v>0</v>
      </c>
      <c r="O14" s="263">
        <f t="shared" si="4"/>
        <v>0</v>
      </c>
      <c r="P14" s="251">
        <f t="shared" si="4"/>
        <v>0</v>
      </c>
      <c r="Q14" s="263">
        <f t="shared" si="4"/>
        <v>0</v>
      </c>
      <c r="R14" s="251">
        <f t="shared" si="4"/>
        <v>0</v>
      </c>
      <c r="S14" s="251">
        <f t="shared" si="4"/>
        <v>0</v>
      </c>
      <c r="T14" s="251">
        <f t="shared" si="4"/>
        <v>0</v>
      </c>
      <c r="U14" s="251">
        <f t="shared" si="4"/>
        <v>0</v>
      </c>
      <c r="V14" s="251">
        <f t="shared" si="4"/>
        <v>0</v>
      </c>
      <c r="W14" s="251">
        <f t="shared" si="4"/>
        <v>0</v>
      </c>
      <c r="X14" s="251">
        <f t="shared" si="4"/>
        <v>0</v>
      </c>
      <c r="Y14" s="251">
        <f t="shared" si="4"/>
        <v>0</v>
      </c>
      <c r="Z14" s="262">
        <f t="shared" si="4"/>
        <v>0</v>
      </c>
      <c r="AA14" s="251">
        <f t="shared" si="4"/>
        <v>0</v>
      </c>
      <c r="AB14" s="251">
        <f t="shared" si="4"/>
        <v>0</v>
      </c>
      <c r="AC14" s="251">
        <f t="shared" si="4"/>
        <v>0</v>
      </c>
      <c r="AD14" s="251">
        <f t="shared" si="4"/>
        <v>0</v>
      </c>
      <c r="AE14" s="251">
        <f t="shared" si="4"/>
        <v>0</v>
      </c>
      <c r="AF14" s="251">
        <f t="shared" si="4"/>
        <v>0</v>
      </c>
      <c r="AG14" s="251">
        <f t="shared" si="4"/>
        <v>0</v>
      </c>
      <c r="AH14" s="251">
        <f t="shared" si="4"/>
        <v>0</v>
      </c>
      <c r="AI14" s="251">
        <f t="shared" si="4"/>
        <v>0</v>
      </c>
      <c r="AJ14" s="251">
        <f t="shared" si="4"/>
        <v>0</v>
      </c>
      <c r="AK14" s="251">
        <f t="shared" si="4"/>
        <v>0</v>
      </c>
      <c r="AL14" s="251">
        <f t="shared" si="4"/>
        <v>0</v>
      </c>
      <c r="AM14" s="251">
        <f t="shared" si="4"/>
        <v>0</v>
      </c>
      <c r="AN14" s="251">
        <f t="shared" si="4"/>
        <v>0</v>
      </c>
      <c r="AO14" s="251">
        <f t="shared" si="4"/>
        <v>0</v>
      </c>
      <c r="AP14" s="251">
        <f t="shared" si="4"/>
        <v>0</v>
      </c>
      <c r="AQ14" s="251">
        <f t="shared" si="4"/>
        <v>0</v>
      </c>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row>
    <row r="15" spans="1:108" x14ac:dyDescent="0.2">
      <c r="A15" s="256" t="s">
        <v>136</v>
      </c>
      <c r="B15" s="263" t="e">
        <f>SUM(#REF!)/SUM(#REF!)*200000</f>
        <v>#REF!</v>
      </c>
      <c r="C15" s="251" t="e">
        <f>SUM(#REF!)/SUM(#REF!)*200000</f>
        <v>#REF!</v>
      </c>
      <c r="D15" s="251" t="e">
        <f>SUM(#REF!)/SUM(#REF!)*200000</f>
        <v>#REF!</v>
      </c>
      <c r="E15" s="263" t="e">
        <f>SUM(#REF!)/SUM(#REF!)*200000</f>
        <v>#REF!</v>
      </c>
      <c r="F15" s="251" t="e">
        <f>SUM(#REF!)/SUM(#REF!)*200000</f>
        <v>#REF!</v>
      </c>
      <c r="G15" s="251" t="e">
        <f>SUM(#REF!)/SUM(#REF!)*200000</f>
        <v>#REF!</v>
      </c>
      <c r="H15" s="251" t="e">
        <f>SUM(#REF!)/SUM(#REF!)*200000</f>
        <v>#REF!</v>
      </c>
      <c r="I15" s="251" t="e">
        <f>SUM(#REF!)/SUM(#REF!)*200000</f>
        <v>#REF!</v>
      </c>
      <c r="J15" s="251" t="e">
        <f>SUM(#REF!)/SUM(#REF!)*200000</f>
        <v>#REF!</v>
      </c>
      <c r="K15" s="251" t="e">
        <f>SUM(#REF!)/SUM(#REF!)*200000</f>
        <v>#REF!</v>
      </c>
      <c r="L15" s="251">
        <f>SUM(B13:L13)/SUM(B5:L5)*200000</f>
        <v>0</v>
      </c>
      <c r="M15" s="251">
        <f t="shared" ref="M15:AQ15" si="5">SUM(B13:M13)/SUM(B5:M5)*200000</f>
        <v>0</v>
      </c>
      <c r="N15" s="262">
        <f t="shared" si="5"/>
        <v>0</v>
      </c>
      <c r="O15" s="251">
        <f t="shared" si="5"/>
        <v>0</v>
      </c>
      <c r="P15" s="251">
        <f t="shared" si="5"/>
        <v>0</v>
      </c>
      <c r="Q15" s="263">
        <f t="shared" si="5"/>
        <v>0</v>
      </c>
      <c r="R15" s="251">
        <f t="shared" si="5"/>
        <v>0</v>
      </c>
      <c r="S15" s="251">
        <f t="shared" si="5"/>
        <v>0</v>
      </c>
      <c r="T15" s="251">
        <f t="shared" si="5"/>
        <v>0</v>
      </c>
      <c r="U15" s="251">
        <f t="shared" si="5"/>
        <v>0</v>
      </c>
      <c r="V15" s="251">
        <f t="shared" si="5"/>
        <v>0</v>
      </c>
      <c r="W15" s="251">
        <f t="shared" si="5"/>
        <v>0</v>
      </c>
      <c r="X15" s="251">
        <f t="shared" si="5"/>
        <v>0</v>
      </c>
      <c r="Y15" s="251">
        <f t="shared" si="5"/>
        <v>0</v>
      </c>
      <c r="Z15" s="262">
        <f t="shared" si="5"/>
        <v>0</v>
      </c>
      <c r="AA15" s="251">
        <f t="shared" si="5"/>
        <v>0</v>
      </c>
      <c r="AB15" s="251">
        <f t="shared" si="5"/>
        <v>0</v>
      </c>
      <c r="AC15" s="251">
        <f t="shared" si="5"/>
        <v>0</v>
      </c>
      <c r="AD15" s="251">
        <f t="shared" si="5"/>
        <v>0</v>
      </c>
      <c r="AE15" s="251">
        <f t="shared" si="5"/>
        <v>0</v>
      </c>
      <c r="AF15" s="251">
        <f t="shared" si="5"/>
        <v>0</v>
      </c>
      <c r="AG15" s="251">
        <f t="shared" si="5"/>
        <v>0</v>
      </c>
      <c r="AH15" s="251">
        <f t="shared" si="5"/>
        <v>0</v>
      </c>
      <c r="AI15" s="251">
        <f t="shared" si="5"/>
        <v>0</v>
      </c>
      <c r="AJ15" s="251">
        <f t="shared" si="5"/>
        <v>0</v>
      </c>
      <c r="AK15" s="251">
        <f t="shared" si="5"/>
        <v>0</v>
      </c>
      <c r="AL15" s="251">
        <f t="shared" si="5"/>
        <v>0</v>
      </c>
      <c r="AM15" s="251">
        <f t="shared" si="5"/>
        <v>0</v>
      </c>
      <c r="AN15" s="251">
        <f t="shared" si="5"/>
        <v>0</v>
      </c>
      <c r="AO15" s="251">
        <f t="shared" si="5"/>
        <v>0</v>
      </c>
      <c r="AP15" s="251">
        <f t="shared" si="5"/>
        <v>0</v>
      </c>
      <c r="AQ15" s="251">
        <f t="shared" si="5"/>
        <v>0</v>
      </c>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row>
    <row r="16" spans="1:108" ht="15" x14ac:dyDescent="0.25">
      <c r="A16" s="256" t="s">
        <v>141</v>
      </c>
      <c r="B16" s="263">
        <v>0</v>
      </c>
      <c r="C16" s="251">
        <v>0</v>
      </c>
      <c r="D16" s="251">
        <v>0</v>
      </c>
      <c r="E16" s="263">
        <v>0</v>
      </c>
      <c r="F16" s="251">
        <v>0</v>
      </c>
      <c r="G16" s="251">
        <v>0</v>
      </c>
      <c r="H16" s="251">
        <v>0</v>
      </c>
      <c r="I16" s="251">
        <v>0</v>
      </c>
      <c r="J16" s="251">
        <v>0</v>
      </c>
      <c r="K16" s="251">
        <v>0</v>
      </c>
      <c r="L16" s="251">
        <v>0</v>
      </c>
      <c r="M16" s="251">
        <v>0</v>
      </c>
      <c r="N16" s="262">
        <v>0</v>
      </c>
      <c r="O16" s="263">
        <v>1</v>
      </c>
      <c r="P16" s="251">
        <v>0</v>
      </c>
      <c r="Q16" s="263">
        <v>0</v>
      </c>
      <c r="R16" s="251">
        <v>0</v>
      </c>
      <c r="S16" s="251">
        <v>0</v>
      </c>
      <c r="T16" s="251">
        <v>0</v>
      </c>
      <c r="U16" s="251">
        <v>0</v>
      </c>
      <c r="V16" s="251">
        <v>0</v>
      </c>
      <c r="W16" s="251">
        <v>0</v>
      </c>
      <c r="X16" s="251">
        <v>0</v>
      </c>
      <c r="Y16" s="251">
        <v>0</v>
      </c>
      <c r="Z16" s="262">
        <v>0</v>
      </c>
      <c r="AA16" s="251">
        <v>0</v>
      </c>
      <c r="AB16" s="251">
        <v>0</v>
      </c>
      <c r="AC16" s="251">
        <v>0</v>
      </c>
      <c r="AD16" s="251">
        <v>0</v>
      </c>
      <c r="AE16" s="251">
        <v>0</v>
      </c>
      <c r="AF16" s="251">
        <v>0</v>
      </c>
      <c r="AG16" s="251">
        <v>0</v>
      </c>
      <c r="AH16" s="251">
        <v>0</v>
      </c>
      <c r="AI16" s="251">
        <v>0</v>
      </c>
      <c r="AJ16" s="251">
        <v>0</v>
      </c>
      <c r="AK16" s="251">
        <v>0</v>
      </c>
      <c r="AL16" s="251">
        <v>0</v>
      </c>
      <c r="AM16" s="251">
        <v>0</v>
      </c>
      <c r="AN16" s="251">
        <v>0</v>
      </c>
      <c r="AO16" s="251">
        <v>0</v>
      </c>
      <c r="AP16" s="251">
        <v>0</v>
      </c>
      <c r="AQ16" s="251">
        <v>0</v>
      </c>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259"/>
      <c r="CH16" s="259"/>
      <c r="CI16" s="259"/>
      <c r="CJ16" s="259"/>
      <c r="DC16" s="72" t="s">
        <v>41</v>
      </c>
      <c r="DD16" s="1" t="s">
        <v>121</v>
      </c>
    </row>
    <row r="17" spans="1:113" ht="15" x14ac:dyDescent="0.25">
      <c r="A17" s="256" t="s">
        <v>142</v>
      </c>
      <c r="B17" s="263">
        <v>0</v>
      </c>
      <c r="C17" s="251">
        <v>0</v>
      </c>
      <c r="D17" s="251">
        <v>0</v>
      </c>
      <c r="E17" s="263">
        <v>0</v>
      </c>
      <c r="F17" s="251">
        <v>0</v>
      </c>
      <c r="G17" s="251">
        <v>0</v>
      </c>
      <c r="H17" s="251">
        <v>0</v>
      </c>
      <c r="I17" s="251">
        <v>0</v>
      </c>
      <c r="J17" s="251">
        <v>0</v>
      </c>
      <c r="K17" s="251">
        <v>0</v>
      </c>
      <c r="L17" s="251">
        <v>0</v>
      </c>
      <c r="M17" s="251">
        <v>0</v>
      </c>
      <c r="N17" s="262">
        <v>0</v>
      </c>
      <c r="O17" s="263">
        <v>0</v>
      </c>
      <c r="P17" s="251">
        <v>0</v>
      </c>
      <c r="Q17" s="263">
        <v>0</v>
      </c>
      <c r="R17" s="251">
        <v>0</v>
      </c>
      <c r="S17" s="251">
        <v>0</v>
      </c>
      <c r="T17" s="251">
        <v>0</v>
      </c>
      <c r="U17" s="251">
        <v>0</v>
      </c>
      <c r="V17" s="251">
        <v>0</v>
      </c>
      <c r="W17" s="251">
        <v>0</v>
      </c>
      <c r="X17" s="251">
        <v>0</v>
      </c>
      <c r="Y17" s="251">
        <v>0</v>
      </c>
      <c r="Z17" s="262">
        <v>0</v>
      </c>
      <c r="AA17" s="251">
        <v>0</v>
      </c>
      <c r="AB17" s="251">
        <v>0</v>
      </c>
      <c r="AC17" s="251">
        <v>0</v>
      </c>
      <c r="AD17" s="251">
        <v>0</v>
      </c>
      <c r="AE17" s="251">
        <v>0</v>
      </c>
      <c r="AF17" s="251">
        <v>0</v>
      </c>
      <c r="AG17" s="251">
        <v>0</v>
      </c>
      <c r="AH17" s="251">
        <v>0</v>
      </c>
      <c r="AI17" s="251">
        <v>0</v>
      </c>
      <c r="AJ17" s="251">
        <v>0</v>
      </c>
      <c r="AK17" s="251">
        <v>0</v>
      </c>
      <c r="AL17" s="251">
        <v>0</v>
      </c>
      <c r="AM17" s="251">
        <v>0</v>
      </c>
      <c r="AN17" s="251">
        <v>0</v>
      </c>
      <c r="AO17" s="251">
        <v>0</v>
      </c>
      <c r="AP17" s="251">
        <v>0</v>
      </c>
      <c r="AQ17" s="251">
        <v>0</v>
      </c>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c r="CG17" s="259"/>
      <c r="CH17" s="259"/>
      <c r="CI17" s="259"/>
      <c r="CJ17" s="259"/>
      <c r="DC17" s="72" t="s">
        <v>2</v>
      </c>
      <c r="DD17" s="1" t="s">
        <v>121</v>
      </c>
      <c r="DG17" s="72" t="s">
        <v>41</v>
      </c>
      <c r="DH17" s="1" t="s">
        <v>121</v>
      </c>
    </row>
    <row r="18" spans="1:113" ht="15" x14ac:dyDescent="0.25">
      <c r="A18" s="256" t="s">
        <v>143</v>
      </c>
      <c r="B18" s="263">
        <f t="shared" ref="B18:AQ18" si="6">SUM(B16:B17)/B5*200000</f>
        <v>0</v>
      </c>
      <c r="C18" s="251">
        <f t="shared" si="6"/>
        <v>0</v>
      </c>
      <c r="D18" s="251">
        <f t="shared" si="6"/>
        <v>0</v>
      </c>
      <c r="E18" s="251">
        <f t="shared" si="6"/>
        <v>0</v>
      </c>
      <c r="F18" s="251">
        <f t="shared" si="6"/>
        <v>0</v>
      </c>
      <c r="G18" s="251">
        <f t="shared" si="6"/>
        <v>0</v>
      </c>
      <c r="H18" s="251">
        <f t="shared" si="6"/>
        <v>0</v>
      </c>
      <c r="I18" s="251">
        <f t="shared" si="6"/>
        <v>0</v>
      </c>
      <c r="J18" s="251">
        <f t="shared" si="6"/>
        <v>0</v>
      </c>
      <c r="K18" s="251">
        <f t="shared" si="6"/>
        <v>0</v>
      </c>
      <c r="L18" s="251">
        <f t="shared" si="6"/>
        <v>0</v>
      </c>
      <c r="M18" s="251">
        <f t="shared" si="6"/>
        <v>0</v>
      </c>
      <c r="N18" s="262">
        <f t="shared" si="6"/>
        <v>0</v>
      </c>
      <c r="O18" s="251">
        <f t="shared" si="6"/>
        <v>34.980017664908914</v>
      </c>
      <c r="P18" s="251">
        <f t="shared" si="6"/>
        <v>0</v>
      </c>
      <c r="Q18" s="263">
        <f t="shared" si="6"/>
        <v>0</v>
      </c>
      <c r="R18" s="251">
        <f t="shared" si="6"/>
        <v>0</v>
      </c>
      <c r="S18" s="251">
        <f t="shared" si="6"/>
        <v>0</v>
      </c>
      <c r="T18" s="251">
        <f t="shared" si="6"/>
        <v>0</v>
      </c>
      <c r="U18" s="251">
        <f t="shared" si="6"/>
        <v>0</v>
      </c>
      <c r="V18" s="251">
        <f t="shared" si="6"/>
        <v>0</v>
      </c>
      <c r="W18" s="251">
        <f t="shared" si="6"/>
        <v>0</v>
      </c>
      <c r="X18" s="251">
        <f t="shared" si="6"/>
        <v>0</v>
      </c>
      <c r="Y18" s="251">
        <f t="shared" si="6"/>
        <v>0</v>
      </c>
      <c r="Z18" s="262">
        <f t="shared" si="6"/>
        <v>0</v>
      </c>
      <c r="AA18" s="251">
        <f t="shared" si="6"/>
        <v>0</v>
      </c>
      <c r="AB18" s="251">
        <f t="shared" si="6"/>
        <v>0</v>
      </c>
      <c r="AC18" s="251">
        <f t="shared" si="6"/>
        <v>0</v>
      </c>
      <c r="AD18" s="251">
        <f t="shared" si="6"/>
        <v>0</v>
      </c>
      <c r="AE18" s="251">
        <f t="shared" si="6"/>
        <v>0</v>
      </c>
      <c r="AF18" s="251">
        <f t="shared" si="6"/>
        <v>0</v>
      </c>
      <c r="AG18" s="251">
        <f t="shared" si="6"/>
        <v>0</v>
      </c>
      <c r="AH18" s="251">
        <f t="shared" si="6"/>
        <v>0</v>
      </c>
      <c r="AI18" s="251">
        <f t="shared" si="6"/>
        <v>0</v>
      </c>
      <c r="AJ18" s="251">
        <f t="shared" si="6"/>
        <v>0</v>
      </c>
      <c r="AK18" s="251">
        <f t="shared" si="6"/>
        <v>0</v>
      </c>
      <c r="AL18" s="251">
        <f t="shared" si="6"/>
        <v>0</v>
      </c>
      <c r="AM18" s="251">
        <f t="shared" si="6"/>
        <v>0</v>
      </c>
      <c r="AN18" s="251">
        <f t="shared" si="6"/>
        <v>0</v>
      </c>
      <c r="AO18" s="251">
        <f t="shared" si="6"/>
        <v>0</v>
      </c>
      <c r="AP18" s="251">
        <f t="shared" si="6"/>
        <v>0</v>
      </c>
      <c r="AQ18" s="251">
        <f t="shared" si="6"/>
        <v>0</v>
      </c>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9"/>
      <c r="BP18" s="259"/>
      <c r="BQ18" s="259"/>
      <c r="BR18" s="259"/>
      <c r="BS18" s="259"/>
      <c r="BT18" s="259"/>
      <c r="BU18" s="259"/>
      <c r="BV18" s="259"/>
      <c r="BW18" s="259"/>
      <c r="BX18" s="259"/>
      <c r="BY18" s="259"/>
      <c r="BZ18" s="259"/>
      <c r="CA18" s="259"/>
      <c r="CB18" s="259"/>
      <c r="CC18" s="259"/>
      <c r="CD18" s="259"/>
      <c r="CE18" s="259"/>
      <c r="CF18" s="259"/>
      <c r="CG18" s="259"/>
      <c r="CH18" s="259"/>
      <c r="CI18" s="259"/>
      <c r="CJ18" s="259"/>
      <c r="DC18" s="72" t="s">
        <v>0</v>
      </c>
      <c r="DD18" s="1" t="s">
        <v>121</v>
      </c>
      <c r="DG18" s="72" t="s">
        <v>2</v>
      </c>
      <c r="DH18" s="1" t="s">
        <v>121</v>
      </c>
    </row>
    <row r="19" spans="1:113" ht="15" x14ac:dyDescent="0.25">
      <c r="A19" s="256" t="s">
        <v>136</v>
      </c>
      <c r="B19" s="251" t="e">
        <f>SUM(#REF!)/SUM(#REF!)*200000</f>
        <v>#REF!</v>
      </c>
      <c r="C19" s="251" t="e">
        <f>SUM(#REF!)/SUM(#REF!)*200000</f>
        <v>#REF!</v>
      </c>
      <c r="D19" s="251" t="e">
        <f>SUM(#REF!)/SUM(#REF!)*200000</f>
        <v>#REF!</v>
      </c>
      <c r="E19" s="251" t="e">
        <f>SUM(#REF!)/SUM(#REF!)*200000</f>
        <v>#REF!</v>
      </c>
      <c r="F19" s="251" t="e">
        <f>SUM(#REF!)/SUM(#REF!)*200000</f>
        <v>#REF!</v>
      </c>
      <c r="G19" s="251" t="e">
        <f>SUM(#REF!)/SUM(#REF!)*200000</f>
        <v>#REF!</v>
      </c>
      <c r="H19" s="251" t="e">
        <f>SUM(#REF!)/SUM(#REF!)*200000</f>
        <v>#REF!</v>
      </c>
      <c r="I19" s="251" t="e">
        <f>SUM(#REF!)/SUM(#REF!)*200000</f>
        <v>#REF!</v>
      </c>
      <c r="J19" s="251" t="e">
        <f>SUM(#REF!)/SUM(#REF!)*200000</f>
        <v>#REF!</v>
      </c>
      <c r="K19" s="251" t="e">
        <f>SUM(#REF!)/SUM(#REF!)*200000</f>
        <v>#REF!</v>
      </c>
      <c r="L19" s="251">
        <f>SUM(B16:L17)/SUM(B5:L5)*200000</f>
        <v>0</v>
      </c>
      <c r="M19" s="251">
        <f t="shared" ref="M19:AQ19" si="7">SUM(B16:M17)/SUM(B5:M5)*200000</f>
        <v>0</v>
      </c>
      <c r="N19" s="262">
        <f t="shared" si="7"/>
        <v>0</v>
      </c>
      <c r="O19" s="251">
        <f t="shared" si="7"/>
        <v>2.7926899664514151</v>
      </c>
      <c r="P19" s="251">
        <f t="shared" si="7"/>
        <v>2.7880377567225163</v>
      </c>
      <c r="Q19" s="251">
        <f t="shared" si="7"/>
        <v>2.7837458195097149</v>
      </c>
      <c r="R19" s="251">
        <f t="shared" si="7"/>
        <v>2.7907100054628144</v>
      </c>
      <c r="S19" s="251">
        <f t="shared" si="7"/>
        <v>2.6852828374846687</v>
      </c>
      <c r="T19" s="251">
        <f t="shared" si="7"/>
        <v>2.7750682319901538</v>
      </c>
      <c r="U19" s="251">
        <f t="shared" si="7"/>
        <v>2.775464890369137</v>
      </c>
      <c r="V19" s="251">
        <f t="shared" si="7"/>
        <v>2.786594252370695</v>
      </c>
      <c r="W19" s="251">
        <f t="shared" si="7"/>
        <v>2.7916799562264583</v>
      </c>
      <c r="X19" s="251">
        <f t="shared" si="7"/>
        <v>2.8078470902631585</v>
      </c>
      <c r="Y19" s="251">
        <f t="shared" si="7"/>
        <v>2.8240450491666245</v>
      </c>
      <c r="Z19" s="262">
        <f t="shared" si="7"/>
        <v>2.850576350905949</v>
      </c>
      <c r="AA19" s="251">
        <f t="shared" si="7"/>
        <v>0</v>
      </c>
      <c r="AB19" s="251">
        <f t="shared" si="7"/>
        <v>0</v>
      </c>
      <c r="AC19" s="251">
        <f t="shared" si="7"/>
        <v>0</v>
      </c>
      <c r="AD19" s="251">
        <f t="shared" si="7"/>
        <v>0</v>
      </c>
      <c r="AE19" s="251">
        <f t="shared" si="7"/>
        <v>0</v>
      </c>
      <c r="AF19" s="251">
        <f t="shared" si="7"/>
        <v>0</v>
      </c>
      <c r="AG19" s="251">
        <f t="shared" si="7"/>
        <v>0</v>
      </c>
      <c r="AH19" s="251">
        <f t="shared" si="7"/>
        <v>0</v>
      </c>
      <c r="AI19" s="251">
        <f t="shared" si="7"/>
        <v>0</v>
      </c>
      <c r="AJ19" s="251">
        <f t="shared" si="7"/>
        <v>0</v>
      </c>
      <c r="AK19" s="251">
        <f t="shared" si="7"/>
        <v>0</v>
      </c>
      <c r="AL19" s="251">
        <f t="shared" si="7"/>
        <v>0</v>
      </c>
      <c r="AM19" s="251">
        <f t="shared" si="7"/>
        <v>0</v>
      </c>
      <c r="AN19" s="251">
        <f t="shared" si="7"/>
        <v>0</v>
      </c>
      <c r="AO19" s="251">
        <f t="shared" si="7"/>
        <v>0</v>
      </c>
      <c r="AP19" s="251">
        <f t="shared" si="7"/>
        <v>0</v>
      </c>
      <c r="AQ19" s="251">
        <f t="shared" si="7"/>
        <v>0</v>
      </c>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c r="CG19" s="259"/>
      <c r="CH19" s="259"/>
      <c r="CI19" s="259"/>
      <c r="CJ19" s="259"/>
      <c r="DC19" s="72" t="s">
        <v>305</v>
      </c>
      <c r="DD19" s="1" t="s">
        <v>301</v>
      </c>
      <c r="DG19" s="72" t="s">
        <v>0</v>
      </c>
      <c r="DH19" s="1" t="s">
        <v>121</v>
      </c>
    </row>
    <row r="20" spans="1:113" x14ac:dyDescent="0.2">
      <c r="A20" s="266" t="s">
        <v>144</v>
      </c>
      <c r="B20" s="257"/>
      <c r="C20" s="257"/>
      <c r="D20" s="257"/>
      <c r="E20" s="257"/>
      <c r="F20" s="257"/>
      <c r="G20" s="257"/>
      <c r="H20" s="257"/>
      <c r="I20" s="257"/>
      <c r="J20" s="257"/>
      <c r="K20" s="257"/>
      <c r="L20" s="257"/>
      <c r="M20" s="257"/>
      <c r="N20" s="258"/>
      <c r="O20" s="259"/>
      <c r="P20" s="259"/>
      <c r="Q20" s="259"/>
      <c r="R20" s="259"/>
      <c r="S20" s="259"/>
      <c r="T20" s="259"/>
      <c r="U20" s="259"/>
      <c r="V20" s="259"/>
      <c r="W20" s="259"/>
      <c r="X20" s="259"/>
      <c r="Y20" s="259"/>
      <c r="Z20" s="259"/>
      <c r="AA20" s="259"/>
      <c r="AB20" s="259"/>
      <c r="AC20" s="259"/>
      <c r="AD20" s="259"/>
      <c r="AE20" s="259"/>
      <c r="AF20" s="259"/>
      <c r="AG20" s="259"/>
      <c r="AH20" s="259"/>
      <c r="AI20" s="259"/>
      <c r="AJ20" s="259"/>
      <c r="AK20" s="259"/>
      <c r="AL20" s="259"/>
      <c r="AM20" s="259"/>
      <c r="AN20" s="259"/>
      <c r="AO20" s="259"/>
      <c r="AP20" s="259"/>
      <c r="AQ20" s="259"/>
      <c r="AR20" s="259"/>
      <c r="AS20" s="259"/>
      <c r="AT20" s="259"/>
      <c r="AU20" s="259"/>
      <c r="AV20" s="259"/>
      <c r="AW20" s="259"/>
      <c r="AX20" s="259"/>
      <c r="AY20" s="259"/>
      <c r="AZ20" s="259"/>
      <c r="BA20" s="259"/>
      <c r="BB20" s="259"/>
      <c r="BC20" s="259"/>
      <c r="BD20" s="259"/>
      <c r="BE20" s="259"/>
      <c r="BF20" s="259"/>
      <c r="BG20" s="259"/>
      <c r="BH20" s="259"/>
      <c r="BI20" s="259"/>
      <c r="BJ20" s="259"/>
      <c r="BK20" s="259"/>
      <c r="BL20" s="259"/>
      <c r="BM20" s="259"/>
      <c r="BN20" s="259"/>
      <c r="BO20" s="259"/>
      <c r="BP20" s="259"/>
      <c r="BQ20" s="259"/>
      <c r="BR20" s="259"/>
      <c r="BS20" s="259"/>
      <c r="BT20" s="259"/>
      <c r="BU20" s="259"/>
      <c r="BV20" s="259"/>
      <c r="BW20" s="259"/>
      <c r="BX20" s="259"/>
      <c r="BY20" s="259"/>
      <c r="BZ20" s="259"/>
      <c r="CA20" s="259"/>
      <c r="CB20" s="259"/>
      <c r="CC20" s="259"/>
      <c r="CD20" s="259"/>
      <c r="CE20" s="259"/>
      <c r="CF20" s="259"/>
      <c r="CG20" s="259"/>
      <c r="CH20" s="259"/>
      <c r="CI20" s="259"/>
      <c r="CJ20" s="259"/>
    </row>
    <row r="21" spans="1:113" ht="15" x14ac:dyDescent="0.25">
      <c r="A21" s="266" t="s">
        <v>131</v>
      </c>
      <c r="B21" s="251">
        <v>241070</v>
      </c>
      <c r="C21" s="251">
        <v>217034</v>
      </c>
      <c r="D21" s="251">
        <v>265017</v>
      </c>
      <c r="E21" s="251">
        <v>257788</v>
      </c>
      <c r="F21" s="251">
        <v>274043</v>
      </c>
      <c r="G21" s="251">
        <v>265059</v>
      </c>
      <c r="H21" s="251">
        <v>260785</v>
      </c>
      <c r="I21" s="251">
        <v>274222</v>
      </c>
      <c r="J21" s="251">
        <v>264420</v>
      </c>
      <c r="K21" s="251">
        <v>249510</v>
      </c>
      <c r="L21" s="251">
        <v>267997</v>
      </c>
      <c r="M21" s="251">
        <v>273478</v>
      </c>
      <c r="N21" s="262">
        <v>243039</v>
      </c>
      <c r="O21" s="251">
        <v>230171</v>
      </c>
      <c r="P21" s="251">
        <v>264121</v>
      </c>
      <c r="Q21" s="263">
        <v>217574</v>
      </c>
      <c r="R21" s="263">
        <v>290912</v>
      </c>
      <c r="S21" s="251">
        <v>267386</v>
      </c>
      <c r="T21" s="251">
        <v>263388</v>
      </c>
      <c r="U21" s="251">
        <v>277823</v>
      </c>
      <c r="V21" s="251">
        <v>257991</v>
      </c>
      <c r="W21" s="267">
        <v>252937</v>
      </c>
      <c r="X21" s="268">
        <v>269507</v>
      </c>
      <c r="Y21" s="268">
        <v>271000</v>
      </c>
      <c r="Z21" s="269">
        <v>267253</v>
      </c>
      <c r="AA21" s="251">
        <v>247562</v>
      </c>
      <c r="AB21" s="251">
        <v>270642</v>
      </c>
      <c r="AC21" s="251">
        <v>259644</v>
      </c>
      <c r="AD21" s="251">
        <v>297681</v>
      </c>
      <c r="AE21" s="251">
        <v>263040</v>
      </c>
      <c r="AF21" s="251">
        <v>280199</v>
      </c>
      <c r="AG21" s="251">
        <v>286158</v>
      </c>
      <c r="AH21" s="251">
        <v>257954</v>
      </c>
      <c r="AI21" s="251">
        <v>270576</v>
      </c>
      <c r="AJ21" s="251">
        <v>279633</v>
      </c>
      <c r="AK21" s="251">
        <v>275643</v>
      </c>
      <c r="AL21" s="251">
        <v>279537</v>
      </c>
      <c r="AM21" s="86">
        <v>246801</v>
      </c>
      <c r="AN21" s="86">
        <v>277257</v>
      </c>
      <c r="AO21" s="86">
        <v>283427</v>
      </c>
      <c r="AP21" s="86">
        <v>292935</v>
      </c>
      <c r="AQ21" s="86">
        <v>268034</v>
      </c>
      <c r="AR21" s="86">
        <v>294888</v>
      </c>
      <c r="AS21" s="86">
        <v>283063</v>
      </c>
      <c r="AT21" s="86">
        <v>268124</v>
      </c>
      <c r="AU21" s="86">
        <v>274448</v>
      </c>
      <c r="AV21" s="86">
        <v>265282</v>
      </c>
      <c r="AW21" s="86">
        <v>295671</v>
      </c>
      <c r="AX21" s="86">
        <f t="shared" ref="AX21:CG21" si="8">IF(AX87="",AX85,SUM(AX87,AX85))</f>
        <v>281250</v>
      </c>
      <c r="AY21" s="86">
        <f t="shared" si="8"/>
        <v>232918</v>
      </c>
      <c r="AZ21" s="86">
        <f t="shared" si="8"/>
        <v>286018</v>
      </c>
      <c r="BA21" s="86">
        <f t="shared" si="8"/>
        <v>265160</v>
      </c>
      <c r="BB21" s="86">
        <f t="shared" si="8"/>
        <v>273027</v>
      </c>
      <c r="BC21" s="86">
        <f t="shared" si="8"/>
        <v>503074</v>
      </c>
      <c r="BD21" s="86">
        <f t="shared" si="8"/>
        <v>506630</v>
      </c>
      <c r="BE21" s="86">
        <f t="shared" si="8"/>
        <v>477558</v>
      </c>
      <c r="BF21" s="86">
        <f t="shared" si="8"/>
        <v>486100</v>
      </c>
      <c r="BG21" s="86">
        <f t="shared" si="8"/>
        <v>469423</v>
      </c>
      <c r="BH21" s="86">
        <f t="shared" si="8"/>
        <v>476023</v>
      </c>
      <c r="BI21" s="86">
        <f t="shared" si="8"/>
        <v>514534</v>
      </c>
      <c r="BJ21" s="86">
        <f t="shared" si="8"/>
        <v>477766</v>
      </c>
      <c r="BK21" s="86">
        <f t="shared" si="8"/>
        <v>413397</v>
      </c>
      <c r="BL21" s="86">
        <f t="shared" si="8"/>
        <v>521489</v>
      </c>
      <c r="BM21" s="86">
        <f t="shared" si="8"/>
        <v>449953</v>
      </c>
      <c r="BN21" s="86">
        <f t="shared" si="8"/>
        <v>507433</v>
      </c>
      <c r="BO21" s="86">
        <f t="shared" si="8"/>
        <v>496658</v>
      </c>
      <c r="BP21" s="86">
        <f t="shared" si="8"/>
        <v>509434</v>
      </c>
      <c r="BQ21" s="86">
        <f t="shared" si="8"/>
        <v>493269</v>
      </c>
      <c r="BR21" s="86">
        <f t="shared" si="8"/>
        <v>507962</v>
      </c>
      <c r="BS21" s="86">
        <f t="shared" si="8"/>
        <v>463642</v>
      </c>
      <c r="BT21" s="86">
        <f t="shared" si="8"/>
        <v>496031</v>
      </c>
      <c r="BU21" s="86">
        <f t="shared" si="8"/>
        <v>518506</v>
      </c>
      <c r="BV21" s="86">
        <f t="shared" si="8"/>
        <v>459415</v>
      </c>
      <c r="BW21" s="86">
        <f t="shared" si="8"/>
        <v>445066</v>
      </c>
      <c r="BX21" s="86">
        <f t="shared" si="8"/>
        <v>506932</v>
      </c>
      <c r="BY21" s="86">
        <f t="shared" si="8"/>
        <v>466435</v>
      </c>
      <c r="BZ21" s="86">
        <f t="shared" si="8"/>
        <v>521566</v>
      </c>
      <c r="CA21" s="86">
        <f t="shared" si="8"/>
        <v>490409.66666666663</v>
      </c>
      <c r="CB21" s="87">
        <f t="shared" si="8"/>
        <v>488274</v>
      </c>
      <c r="CC21" s="87">
        <f t="shared" si="8"/>
        <v>529015</v>
      </c>
      <c r="CD21" s="88">
        <f t="shared" si="8"/>
        <v>498488</v>
      </c>
      <c r="CE21" s="88">
        <f t="shared" si="8"/>
        <v>458553</v>
      </c>
      <c r="CF21" s="88">
        <f t="shared" si="8"/>
        <v>499516</v>
      </c>
      <c r="CG21" s="88">
        <f t="shared" si="8"/>
        <v>525097</v>
      </c>
      <c r="CH21" s="88">
        <f>IF(CH87="",CH85,SUM(CH87,CH85))</f>
        <v>478733</v>
      </c>
      <c r="CI21" s="88">
        <f>IF(CI87="",CI85,SUM(CI87,CI85))</f>
        <v>463900</v>
      </c>
      <c r="CJ21" s="88">
        <f>IF(CJ87="",CJ85,SUM(CJ87,CJ85))</f>
        <v>463900</v>
      </c>
      <c r="CL21" s="92" t="s">
        <v>41</v>
      </c>
      <c r="CM21" s="92" t="s">
        <v>119</v>
      </c>
      <c r="CN21" s="92" t="s">
        <v>305</v>
      </c>
      <c r="CO21" s="92" t="s">
        <v>304</v>
      </c>
      <c r="CP21" s="92" t="s">
        <v>136</v>
      </c>
      <c r="CQ21" s="92" t="s">
        <v>2</v>
      </c>
      <c r="CR21" s="92" t="s">
        <v>0</v>
      </c>
      <c r="CS21" s="96" t="s">
        <v>308</v>
      </c>
      <c r="CT21" s="96" t="s">
        <v>309</v>
      </c>
      <c r="CU21" s="96" t="s">
        <v>310</v>
      </c>
      <c r="CV21" s="96" t="s">
        <v>307</v>
      </c>
      <c r="CW21" s="96" t="s">
        <v>311</v>
      </c>
      <c r="CX21" s="96" t="s">
        <v>306</v>
      </c>
      <c r="CY21" s="96" t="s">
        <v>312</v>
      </c>
      <c r="CZ21" s="92"/>
      <c r="DC21" s="72" t="s">
        <v>120</v>
      </c>
      <c r="DD21" s="1" t="s">
        <v>313</v>
      </c>
      <c r="DE21" s="1" t="s">
        <v>314</v>
      </c>
      <c r="DG21" s="72" t="s">
        <v>120</v>
      </c>
      <c r="DH21" s="1" t="s">
        <v>313</v>
      </c>
      <c r="DI21" s="1" t="s">
        <v>315</v>
      </c>
    </row>
    <row r="22" spans="1:113" ht="15" x14ac:dyDescent="0.25">
      <c r="A22" s="266" t="s">
        <v>132</v>
      </c>
      <c r="B22" s="251">
        <v>88727.91</v>
      </c>
      <c r="C22" s="251">
        <v>87465.46</v>
      </c>
      <c r="D22" s="251">
        <v>86434.77</v>
      </c>
      <c r="E22" s="251">
        <v>88859.63</v>
      </c>
      <c r="F22" s="251">
        <v>87133.56</v>
      </c>
      <c r="G22" s="251">
        <v>88002.64</v>
      </c>
      <c r="H22" s="251">
        <v>90547.12</v>
      </c>
      <c r="I22" s="251">
        <v>89863</v>
      </c>
      <c r="J22" s="251">
        <v>84973.1</v>
      </c>
      <c r="K22" s="251">
        <v>83523.5</v>
      </c>
      <c r="L22" s="251">
        <v>83524.5</v>
      </c>
      <c r="M22" s="251">
        <v>131854</v>
      </c>
      <c r="N22" s="262">
        <v>87348</v>
      </c>
      <c r="O22" s="251">
        <v>91128</v>
      </c>
      <c r="P22" s="251">
        <v>76605</v>
      </c>
      <c r="Q22" s="251">
        <v>90793</v>
      </c>
      <c r="R22" s="251">
        <v>90212.76</v>
      </c>
      <c r="S22" s="251">
        <v>127231.2</v>
      </c>
      <c r="T22" s="251">
        <v>91048.87</v>
      </c>
      <c r="U22" s="251">
        <v>86954.97</v>
      </c>
      <c r="V22" s="251">
        <v>86659.49</v>
      </c>
      <c r="W22" s="251">
        <v>85006.61</v>
      </c>
      <c r="X22" s="260">
        <v>84692.19</v>
      </c>
      <c r="Y22" s="251">
        <v>132006.83000000002</v>
      </c>
      <c r="Z22" s="261">
        <v>87341.99</v>
      </c>
      <c r="AA22" s="190">
        <v>88493.75999999998</v>
      </c>
      <c r="AB22" s="190">
        <f>[2]Data!CJ15</f>
        <v>68447.590000000011</v>
      </c>
      <c r="AC22" s="190">
        <v>85488.14</v>
      </c>
      <c r="AD22" s="190">
        <v>83993.24</v>
      </c>
      <c r="AE22" s="190">
        <v>121264.24</v>
      </c>
      <c r="AF22" s="190">
        <v>81552.099999999991</v>
      </c>
      <c r="AG22" s="190">
        <v>81792.86</v>
      </c>
      <c r="AH22" s="190">
        <v>80962.69</v>
      </c>
      <c r="AI22" s="190">
        <v>79137.260000000009</v>
      </c>
      <c r="AJ22" s="190">
        <v>124813.39</v>
      </c>
      <c r="AK22" s="190">
        <v>83216.36</v>
      </c>
      <c r="AL22" s="190">
        <v>84631.1</v>
      </c>
      <c r="AM22" s="190">
        <v>87482.029999999984</v>
      </c>
      <c r="AN22" s="192">
        <v>72262.789999999994</v>
      </c>
      <c r="AO22" s="192">
        <v>86548.97</v>
      </c>
      <c r="AP22" s="192">
        <v>130184.25</v>
      </c>
      <c r="AQ22" s="192">
        <v>81330.05</v>
      </c>
      <c r="AR22" s="192">
        <v>89870.5</v>
      </c>
      <c r="AS22" s="192">
        <v>85644.42</v>
      </c>
      <c r="AT22" s="192">
        <v>86034.73</v>
      </c>
      <c r="AU22" s="192">
        <v>127258.44</v>
      </c>
      <c r="AV22" s="192">
        <v>85199.340000000011</v>
      </c>
      <c r="AW22" s="192">
        <v>86314.96</v>
      </c>
      <c r="AX22" s="192">
        <f t="shared" ref="AX22:CF22" si="9">IF(AX86="",AX84,SUM(AX86,AX84))</f>
        <v>87138.12</v>
      </c>
      <c r="AY22" s="192">
        <f t="shared" si="9"/>
        <v>90569.89</v>
      </c>
      <c r="AZ22" s="192">
        <f t="shared" si="9"/>
        <v>74661.38</v>
      </c>
      <c r="BA22" s="192">
        <f t="shared" si="9"/>
        <v>87988.79</v>
      </c>
      <c r="BB22" s="192">
        <f t="shared" si="9"/>
        <v>131055.22000000002</v>
      </c>
      <c r="BC22" s="192">
        <f t="shared" si="9"/>
        <v>166910.54999999999</v>
      </c>
      <c r="BD22" s="192">
        <f t="shared" si="9"/>
        <v>176157.81</v>
      </c>
      <c r="BE22" s="192">
        <f t="shared" si="9"/>
        <v>166821.03</v>
      </c>
      <c r="BF22" s="192">
        <f t="shared" si="9"/>
        <v>169371.02000000002</v>
      </c>
      <c r="BG22" s="192">
        <f t="shared" si="9"/>
        <v>206340.53</v>
      </c>
      <c r="BH22" s="192">
        <f t="shared" si="9"/>
        <v>161820.41999999998</v>
      </c>
      <c r="BI22" s="192">
        <f t="shared" si="9"/>
        <v>172409.04</v>
      </c>
      <c r="BJ22" s="192">
        <f t="shared" si="9"/>
        <v>165830.19</v>
      </c>
      <c r="BK22" s="192">
        <f t="shared" si="9"/>
        <v>166807.71</v>
      </c>
      <c r="BL22" s="192">
        <f t="shared" si="9"/>
        <v>216638.44</v>
      </c>
      <c r="BM22" s="192">
        <f t="shared" si="9"/>
        <v>159470.01999999999</v>
      </c>
      <c r="BN22" s="192">
        <f t="shared" si="9"/>
        <v>170519.15</v>
      </c>
      <c r="BO22" s="192">
        <f t="shared" si="9"/>
        <v>165213.83000000002</v>
      </c>
      <c r="BP22" s="192">
        <f t="shared" si="9"/>
        <v>167890.94</v>
      </c>
      <c r="BQ22" s="192">
        <f t="shared" si="9"/>
        <v>165221.40999999997</v>
      </c>
      <c r="BR22" s="192">
        <f t="shared" si="9"/>
        <v>165645.26</v>
      </c>
      <c r="BS22" s="192">
        <f t="shared" si="9"/>
        <v>206977.82</v>
      </c>
      <c r="BT22" s="192">
        <f t="shared" si="9"/>
        <v>163741.69</v>
      </c>
      <c r="BU22" s="192">
        <f t="shared" si="9"/>
        <v>170992.96999999997</v>
      </c>
      <c r="BV22" s="192">
        <f t="shared" si="9"/>
        <v>162050.34999999998</v>
      </c>
      <c r="BW22" s="192">
        <f t="shared" si="9"/>
        <v>166068.21000000002</v>
      </c>
      <c r="BX22" s="192">
        <f t="shared" si="9"/>
        <v>204717.39</v>
      </c>
      <c r="BY22" s="192">
        <f t="shared" si="9"/>
        <v>160789.99</v>
      </c>
      <c r="BZ22" s="192">
        <f t="shared" si="9"/>
        <v>171893.84</v>
      </c>
      <c r="CA22" s="192">
        <f t="shared" si="9"/>
        <v>157716.03999999998</v>
      </c>
      <c r="CB22" s="251">
        <f t="shared" si="9"/>
        <v>170358.36</v>
      </c>
      <c r="CC22" s="251">
        <f t="shared" si="9"/>
        <v>167251.6</v>
      </c>
      <c r="CD22" s="251">
        <f t="shared" si="9"/>
        <v>256741.03</v>
      </c>
      <c r="CE22" s="251">
        <f t="shared" si="9"/>
        <v>176126.5</v>
      </c>
      <c r="CF22" s="251">
        <f t="shared" si="9"/>
        <v>219112.66</v>
      </c>
      <c r="CG22" s="251">
        <f>IF(CG86="",CG84,SUM(CG86,CG84))</f>
        <v>221803.4</v>
      </c>
      <c r="CH22" s="251">
        <f>IF(CH86="",CH84,SUM(CH86,CH84))</f>
        <v>264313.50650000002</v>
      </c>
      <c r="CI22" s="251">
        <f>IF(CI86="",CI84,SUM(CI86,CI84))</f>
        <v>414337.05499999999</v>
      </c>
      <c r="CJ22" s="251">
        <f>IF(CJ86="",CJ84,SUM(CJ86,CJ84))</f>
        <v>380261.94300000003</v>
      </c>
      <c r="CL22" s="91" t="s">
        <v>43</v>
      </c>
      <c r="CM22" s="93">
        <f>INDEX($2:$2,COUNTA($2:$2)-22)</f>
        <v>41671</v>
      </c>
      <c r="CN22" s="93" t="s">
        <v>301</v>
      </c>
      <c r="CO22" s="94">
        <f>INDEX($23:$23,COUNTA($2:$2)-22)+INDEX($24:$24,COUNTA($2:$2)-22)</f>
        <v>1</v>
      </c>
      <c r="CP22" s="94">
        <f>INDEX($26:$26,COUNTA($2:$2)-22)</f>
        <v>2.334361769331299</v>
      </c>
      <c r="CQ22" s="83" t="str">
        <f>CHOOSE(MONTH(CM22),"January","February","March","April","May","June","July","August","September","October","November","December")</f>
        <v>February</v>
      </c>
      <c r="CR22" s="91">
        <f>YEAR(CM22)</f>
        <v>2014</v>
      </c>
      <c r="CS22" s="94"/>
      <c r="CT22" s="97"/>
      <c r="CU22" s="97"/>
      <c r="CV22" s="94"/>
      <c r="CW22" s="97"/>
      <c r="CX22" s="97"/>
      <c r="CY22" s="97"/>
      <c r="CZ22" s="91"/>
      <c r="DC22" s="73">
        <v>41671</v>
      </c>
      <c r="DD22" s="47">
        <v>4</v>
      </c>
      <c r="DE22" s="47">
        <v>4.7509633387931878</v>
      </c>
      <c r="DG22" s="73">
        <v>41671</v>
      </c>
      <c r="DH22" s="47">
        <v>24</v>
      </c>
      <c r="DI22" s="47">
        <v>8.1974976302451346</v>
      </c>
    </row>
    <row r="23" spans="1:113" ht="15" x14ac:dyDescent="0.25">
      <c r="A23" s="266" t="s">
        <v>133</v>
      </c>
      <c r="B23" s="251">
        <v>0</v>
      </c>
      <c r="C23" s="251">
        <v>0</v>
      </c>
      <c r="D23" s="251">
        <v>0</v>
      </c>
      <c r="E23" s="251">
        <v>0</v>
      </c>
      <c r="F23" s="251">
        <v>1</v>
      </c>
      <c r="G23" s="251">
        <v>0</v>
      </c>
      <c r="H23" s="251">
        <v>1</v>
      </c>
      <c r="I23" s="251">
        <v>0</v>
      </c>
      <c r="J23" s="251">
        <v>1</v>
      </c>
      <c r="K23" s="251">
        <v>0</v>
      </c>
      <c r="L23" s="251">
        <v>1</v>
      </c>
      <c r="M23" s="251">
        <v>2</v>
      </c>
      <c r="N23" s="262">
        <v>0</v>
      </c>
      <c r="O23" s="251">
        <v>1</v>
      </c>
      <c r="P23" s="251">
        <v>0</v>
      </c>
      <c r="Q23" s="251">
        <v>0</v>
      </c>
      <c r="R23" s="251">
        <v>0</v>
      </c>
      <c r="S23" s="251">
        <v>0</v>
      </c>
      <c r="T23" s="251">
        <v>0</v>
      </c>
      <c r="U23" s="251">
        <v>0</v>
      </c>
      <c r="V23" s="251">
        <v>0</v>
      </c>
      <c r="W23" s="251">
        <v>0</v>
      </c>
      <c r="X23" s="251">
        <v>0</v>
      </c>
      <c r="Y23" s="251">
        <v>0</v>
      </c>
      <c r="Z23" s="262">
        <v>0</v>
      </c>
      <c r="AA23" s="251">
        <v>0</v>
      </c>
      <c r="AB23" s="251">
        <v>0</v>
      </c>
      <c r="AC23" s="263">
        <v>0</v>
      </c>
      <c r="AD23" s="263">
        <v>0</v>
      </c>
      <c r="AE23" s="251">
        <v>0</v>
      </c>
      <c r="AF23" s="251">
        <v>0</v>
      </c>
      <c r="AG23" s="251">
        <v>0</v>
      </c>
      <c r="AH23" s="251">
        <v>0</v>
      </c>
      <c r="AI23" s="251">
        <v>0</v>
      </c>
      <c r="AJ23" s="251">
        <v>0</v>
      </c>
      <c r="AK23" s="251">
        <v>0</v>
      </c>
      <c r="AL23" s="251">
        <v>0</v>
      </c>
      <c r="AM23" s="251">
        <v>0</v>
      </c>
      <c r="AN23" s="251">
        <v>0</v>
      </c>
      <c r="AO23" s="251">
        <v>0</v>
      </c>
      <c r="AP23" s="251">
        <v>0</v>
      </c>
      <c r="AQ23" s="251">
        <v>0</v>
      </c>
      <c r="AR23" s="251">
        <v>0</v>
      </c>
      <c r="AS23" s="263">
        <v>1</v>
      </c>
      <c r="AT23" s="251">
        <v>0</v>
      </c>
      <c r="AU23" s="251">
        <v>1</v>
      </c>
      <c r="AV23" s="251">
        <v>2</v>
      </c>
      <c r="AW23" s="251">
        <v>2</v>
      </c>
      <c r="AX23" s="251">
        <v>0</v>
      </c>
      <c r="AY23" s="251">
        <v>0</v>
      </c>
      <c r="AZ23" s="251">
        <v>3</v>
      </c>
      <c r="BA23" s="251">
        <v>1</v>
      </c>
      <c r="BB23" s="251">
        <v>1</v>
      </c>
      <c r="BC23" s="251">
        <v>1</v>
      </c>
      <c r="BD23" s="251">
        <v>0</v>
      </c>
      <c r="BE23" s="251">
        <v>0</v>
      </c>
      <c r="BF23" s="251">
        <v>1</v>
      </c>
      <c r="BG23" s="251">
        <v>0</v>
      </c>
      <c r="BH23" s="251">
        <v>1</v>
      </c>
      <c r="BI23" s="251">
        <v>2</v>
      </c>
      <c r="BJ23" s="251">
        <v>1</v>
      </c>
      <c r="BK23" s="251">
        <v>1</v>
      </c>
      <c r="BL23" s="251">
        <v>1</v>
      </c>
      <c r="BM23" s="251">
        <v>1</v>
      </c>
      <c r="BN23" s="251">
        <v>0</v>
      </c>
      <c r="BO23" s="251">
        <v>2</v>
      </c>
      <c r="BP23" s="251">
        <v>1</v>
      </c>
      <c r="BQ23" s="251">
        <v>0</v>
      </c>
      <c r="BR23" s="251">
        <v>1</v>
      </c>
      <c r="BS23" s="251">
        <v>0</v>
      </c>
      <c r="BT23" s="270">
        <v>0</v>
      </c>
      <c r="BU23" s="270">
        <v>3</v>
      </c>
      <c r="BV23" s="270">
        <v>1</v>
      </c>
      <c r="BW23" s="270">
        <v>1</v>
      </c>
      <c r="BX23" s="270">
        <v>0</v>
      </c>
      <c r="BY23" s="270">
        <v>0</v>
      </c>
      <c r="BZ23" s="270">
        <v>0</v>
      </c>
      <c r="CA23" s="270">
        <v>1</v>
      </c>
      <c r="CB23" s="270">
        <v>0</v>
      </c>
      <c r="CC23" s="270">
        <v>1</v>
      </c>
      <c r="CD23" s="270">
        <v>2</v>
      </c>
      <c r="CE23" s="270">
        <v>0</v>
      </c>
      <c r="CF23" s="270">
        <v>1</v>
      </c>
      <c r="CG23" s="270">
        <v>1</v>
      </c>
      <c r="CH23" s="270">
        <v>0</v>
      </c>
      <c r="CI23" s="270">
        <v>0</v>
      </c>
      <c r="CJ23" s="270">
        <v>0</v>
      </c>
      <c r="CL23" s="91" t="s">
        <v>43</v>
      </c>
      <c r="CM23" s="93">
        <f>INDEX($2:$2,COUNTA($2:$2)-21)</f>
        <v>41699</v>
      </c>
      <c r="CN23" s="93" t="s">
        <v>301</v>
      </c>
      <c r="CO23" s="94">
        <f>INDEX($23:$23,COUNTA($2:$2)-21)+INDEX($24:$24,COUNTA($2:$2)-21)</f>
        <v>1</v>
      </c>
      <c r="CP23" s="94">
        <f>INDEX($26:$26,COUNTA($2:$2)-21)</f>
        <v>2.2400738879756279</v>
      </c>
      <c r="CQ23" s="83" t="str">
        <f t="shared" ref="CQ23:CQ86" si="10">CHOOSE(MONTH(CM23),"January","February","March","April","May","June","July","August","September","October","November","December")</f>
        <v>March</v>
      </c>
      <c r="CR23" s="91">
        <f t="shared" ref="CR23:CR86" si="11">YEAR(CM23)</f>
        <v>2014</v>
      </c>
      <c r="CS23" s="94"/>
      <c r="CT23" s="97"/>
      <c r="CU23" s="97"/>
      <c r="CV23" s="94"/>
      <c r="CW23" s="97"/>
      <c r="CX23" s="97"/>
      <c r="CY23" s="97"/>
      <c r="CZ23" s="91"/>
      <c r="DC23" s="73">
        <v>41699</v>
      </c>
      <c r="DD23" s="47">
        <v>2</v>
      </c>
      <c r="DE23" s="47">
        <v>4.5467443406573977</v>
      </c>
      <c r="DG23" s="73">
        <v>41699</v>
      </c>
      <c r="DH23" s="47">
        <v>18</v>
      </c>
      <c r="DI23" s="47">
        <v>6.4364005711913936</v>
      </c>
    </row>
    <row r="24" spans="1:113" ht="15" x14ac:dyDescent="0.25">
      <c r="A24" s="266" t="s">
        <v>134</v>
      </c>
      <c r="B24" s="251">
        <v>0</v>
      </c>
      <c r="C24" s="251">
        <v>0</v>
      </c>
      <c r="D24" s="251">
        <v>0</v>
      </c>
      <c r="E24" s="251">
        <v>1</v>
      </c>
      <c r="F24" s="251">
        <v>0</v>
      </c>
      <c r="G24" s="251">
        <v>0</v>
      </c>
      <c r="H24" s="251">
        <v>0</v>
      </c>
      <c r="I24" s="251">
        <v>0</v>
      </c>
      <c r="J24" s="251">
        <v>0</v>
      </c>
      <c r="K24" s="251">
        <v>0</v>
      </c>
      <c r="L24" s="251">
        <v>0</v>
      </c>
      <c r="M24" s="251">
        <v>0</v>
      </c>
      <c r="N24" s="262">
        <v>0</v>
      </c>
      <c r="O24" s="251">
        <v>0</v>
      </c>
      <c r="P24" s="251">
        <v>0</v>
      </c>
      <c r="Q24" s="251">
        <v>0</v>
      </c>
      <c r="R24" s="251">
        <v>0</v>
      </c>
      <c r="S24" s="251">
        <v>0</v>
      </c>
      <c r="T24" s="251">
        <v>0</v>
      </c>
      <c r="U24" s="251">
        <v>0</v>
      </c>
      <c r="V24" s="251">
        <v>0</v>
      </c>
      <c r="W24" s="251">
        <v>0</v>
      </c>
      <c r="X24" s="251">
        <v>0</v>
      </c>
      <c r="Y24" s="251">
        <v>0</v>
      </c>
      <c r="Z24" s="262">
        <v>0</v>
      </c>
      <c r="AA24" s="251">
        <v>0</v>
      </c>
      <c r="AB24" s="251">
        <v>0</v>
      </c>
      <c r="AC24" s="263">
        <v>0</v>
      </c>
      <c r="AD24" s="263">
        <v>0</v>
      </c>
      <c r="AE24" s="251">
        <v>0</v>
      </c>
      <c r="AF24" s="251">
        <v>0</v>
      </c>
      <c r="AG24" s="251">
        <v>0</v>
      </c>
      <c r="AH24" s="251">
        <v>0</v>
      </c>
      <c r="AI24" s="251">
        <v>0</v>
      </c>
      <c r="AJ24" s="251">
        <v>0</v>
      </c>
      <c r="AK24" s="251">
        <v>0</v>
      </c>
      <c r="AL24" s="251">
        <v>0</v>
      </c>
      <c r="AM24" s="251">
        <v>0</v>
      </c>
      <c r="AN24" s="251">
        <v>0</v>
      </c>
      <c r="AO24" s="251">
        <v>1</v>
      </c>
      <c r="AP24" s="251">
        <v>1</v>
      </c>
      <c r="AQ24" s="251">
        <v>0</v>
      </c>
      <c r="AR24" s="251">
        <v>0</v>
      </c>
      <c r="AS24" s="263">
        <v>0</v>
      </c>
      <c r="AT24" s="251">
        <v>0</v>
      </c>
      <c r="AU24" s="251">
        <v>0</v>
      </c>
      <c r="AV24" s="251">
        <v>1</v>
      </c>
      <c r="AW24" s="251">
        <v>0</v>
      </c>
      <c r="AX24" s="251">
        <v>1</v>
      </c>
      <c r="AY24" s="251">
        <v>0</v>
      </c>
      <c r="AZ24" s="251">
        <v>0</v>
      </c>
      <c r="BA24" s="251">
        <v>0</v>
      </c>
      <c r="BB24" s="251">
        <v>0</v>
      </c>
      <c r="BC24" s="251">
        <v>1</v>
      </c>
      <c r="BD24" s="251">
        <v>0</v>
      </c>
      <c r="BE24" s="251">
        <v>0</v>
      </c>
      <c r="BF24" s="251">
        <v>0</v>
      </c>
      <c r="BG24" s="251">
        <v>1</v>
      </c>
      <c r="BH24" s="251">
        <v>1</v>
      </c>
      <c r="BI24" s="251">
        <v>0</v>
      </c>
      <c r="BJ24" s="251">
        <v>0</v>
      </c>
      <c r="BK24" s="251">
        <v>0</v>
      </c>
      <c r="BL24" s="251">
        <v>0</v>
      </c>
      <c r="BM24" s="251">
        <v>0</v>
      </c>
      <c r="BN24" s="251">
        <v>1</v>
      </c>
      <c r="BO24" s="251">
        <v>0</v>
      </c>
      <c r="BP24" s="251">
        <v>0</v>
      </c>
      <c r="BQ24" s="251">
        <v>0</v>
      </c>
      <c r="BR24" s="251">
        <v>0</v>
      </c>
      <c r="BS24" s="251">
        <v>0</v>
      </c>
      <c r="BT24" s="270">
        <v>1</v>
      </c>
      <c r="BU24" s="270">
        <v>2</v>
      </c>
      <c r="BV24" s="270">
        <v>0</v>
      </c>
      <c r="BW24" s="270">
        <v>2</v>
      </c>
      <c r="BX24" s="270">
        <v>2</v>
      </c>
      <c r="BY24" s="270">
        <v>1</v>
      </c>
      <c r="BZ24" s="270">
        <v>1</v>
      </c>
      <c r="CA24" s="270">
        <v>0</v>
      </c>
      <c r="CB24" s="270">
        <v>0</v>
      </c>
      <c r="CC24" s="270">
        <v>1</v>
      </c>
      <c r="CD24" s="270">
        <v>2</v>
      </c>
      <c r="CE24" s="270">
        <v>2</v>
      </c>
      <c r="CF24" s="270">
        <v>1</v>
      </c>
      <c r="CG24" s="270">
        <v>1</v>
      </c>
      <c r="CH24" s="270">
        <v>0</v>
      </c>
      <c r="CI24" s="270">
        <v>1</v>
      </c>
      <c r="CJ24" s="270">
        <v>3</v>
      </c>
      <c r="CL24" s="91" t="s">
        <v>43</v>
      </c>
      <c r="CM24" s="93">
        <f>INDEX($2:$2,COUNTA($2:$2)-20)</f>
        <v>41730</v>
      </c>
      <c r="CN24" s="93" t="s">
        <v>301</v>
      </c>
      <c r="CO24" s="94">
        <f>INDEX($23:$23,COUNTA($2:$2)-20)+INDEX($24:$24,COUNTA($2:$2)-20)</f>
        <v>2</v>
      </c>
      <c r="CP24" s="94">
        <f>INDEX($26:$26,COUNTA($2:$2)-20)</f>
        <v>2.242553170935683</v>
      </c>
      <c r="CQ24" s="83" t="str">
        <f t="shared" si="10"/>
        <v>April</v>
      </c>
      <c r="CR24" s="91">
        <f t="shared" si="11"/>
        <v>2014</v>
      </c>
      <c r="CS24" s="94"/>
      <c r="CT24" s="97"/>
      <c r="CU24" s="97"/>
      <c r="CV24" s="94"/>
      <c r="CW24" s="97"/>
      <c r="CX24" s="97"/>
      <c r="CY24" s="97"/>
      <c r="CZ24" s="91"/>
      <c r="DC24" s="73">
        <v>41730</v>
      </c>
      <c r="DD24" s="47">
        <v>4</v>
      </c>
      <c r="DE24" s="47">
        <v>4.3425237050333472</v>
      </c>
      <c r="DG24" s="73">
        <v>41730</v>
      </c>
      <c r="DH24" s="47">
        <v>14</v>
      </c>
      <c r="DI24" s="47">
        <v>5.4766975504375068</v>
      </c>
    </row>
    <row r="25" spans="1:113" ht="15" x14ac:dyDescent="0.25">
      <c r="A25" s="266" t="s">
        <v>135</v>
      </c>
      <c r="B25" s="265">
        <v>0</v>
      </c>
      <c r="C25" s="265">
        <v>0</v>
      </c>
      <c r="D25" s="265">
        <v>0</v>
      </c>
      <c r="E25" s="265">
        <v>3.8791565162071158</v>
      </c>
      <c r="F25" s="265">
        <v>3.6490623734231491</v>
      </c>
      <c r="G25" s="265">
        <v>3.7727449360331096</v>
      </c>
      <c r="H25" s="265">
        <v>3.8345763751749522</v>
      </c>
      <c r="I25" s="265">
        <v>0</v>
      </c>
      <c r="J25" s="265">
        <v>3.7818621889418349</v>
      </c>
      <c r="K25" s="265">
        <v>0</v>
      </c>
      <c r="L25" s="265">
        <v>7.4627701056355109</v>
      </c>
      <c r="M25" s="265">
        <v>7.3132025245175116</v>
      </c>
      <c r="N25" s="262">
        <v>0</v>
      </c>
      <c r="O25" s="251">
        <v>4.3445959742973699</v>
      </c>
      <c r="P25" s="251">
        <v>7.5722869442414646</v>
      </c>
      <c r="Q25" s="251">
        <v>4.5961374061238933</v>
      </c>
      <c r="R25" s="251">
        <v>3.4374656253437466</v>
      </c>
      <c r="S25" s="251">
        <v>3.739911588490048</v>
      </c>
      <c r="T25" s="251">
        <v>0</v>
      </c>
      <c r="U25" s="251">
        <v>0</v>
      </c>
      <c r="V25" s="251">
        <v>0</v>
      </c>
      <c r="W25" s="251">
        <v>0</v>
      </c>
      <c r="X25" s="265">
        <v>7.420957526149599</v>
      </c>
      <c r="Y25" s="251">
        <v>3.6900369003690039</v>
      </c>
      <c r="Z25" s="262">
        <f t="shared" ref="Z25:BE25" si="12">SUM(Z23:Z24)/Z21*1000000</f>
        <v>0</v>
      </c>
      <c r="AA25" s="251">
        <f t="shared" si="12"/>
        <v>0</v>
      </c>
      <c r="AB25" s="251">
        <f t="shared" si="12"/>
        <v>0</v>
      </c>
      <c r="AC25" s="251">
        <f t="shared" si="12"/>
        <v>0</v>
      </c>
      <c r="AD25" s="251">
        <f t="shared" si="12"/>
        <v>0</v>
      </c>
      <c r="AE25" s="251">
        <f t="shared" si="12"/>
        <v>0</v>
      </c>
      <c r="AF25" s="251">
        <f t="shared" si="12"/>
        <v>0</v>
      </c>
      <c r="AG25" s="251">
        <f t="shared" si="12"/>
        <v>0</v>
      </c>
      <c r="AH25" s="251">
        <f t="shared" si="12"/>
        <v>0</v>
      </c>
      <c r="AI25" s="251">
        <f t="shared" si="12"/>
        <v>0</v>
      </c>
      <c r="AJ25" s="251">
        <f t="shared" si="12"/>
        <v>0</v>
      </c>
      <c r="AK25" s="251">
        <f t="shared" si="12"/>
        <v>0</v>
      </c>
      <c r="AL25" s="251">
        <f t="shared" si="12"/>
        <v>0</v>
      </c>
      <c r="AM25" s="251">
        <f t="shared" si="12"/>
        <v>0</v>
      </c>
      <c r="AN25" s="251">
        <f t="shared" si="12"/>
        <v>0</v>
      </c>
      <c r="AO25" s="251">
        <f t="shared" si="12"/>
        <v>3.528245368295893</v>
      </c>
      <c r="AP25" s="251">
        <f t="shared" si="12"/>
        <v>3.4137265946370352</v>
      </c>
      <c r="AQ25" s="251">
        <f t="shared" si="12"/>
        <v>0</v>
      </c>
      <c r="AR25" s="251">
        <f t="shared" si="12"/>
        <v>0</v>
      </c>
      <c r="AS25" s="251">
        <f t="shared" si="12"/>
        <v>3.5327824547892166</v>
      </c>
      <c r="AT25" s="251">
        <f t="shared" si="12"/>
        <v>0</v>
      </c>
      <c r="AU25" s="251">
        <f t="shared" si="12"/>
        <v>3.6436774908179324</v>
      </c>
      <c r="AV25" s="251">
        <f t="shared" si="12"/>
        <v>11.308720531359082</v>
      </c>
      <c r="AW25" s="251">
        <f t="shared" si="12"/>
        <v>6.7642751571848443</v>
      </c>
      <c r="AX25" s="251">
        <f t="shared" si="12"/>
        <v>3.5555555555555554</v>
      </c>
      <c r="AY25" s="251">
        <f t="shared" si="12"/>
        <v>0</v>
      </c>
      <c r="AZ25" s="251">
        <f t="shared" si="12"/>
        <v>10.488850352075744</v>
      </c>
      <c r="BA25" s="251">
        <f t="shared" si="12"/>
        <v>3.771307889576105</v>
      </c>
      <c r="BB25" s="251">
        <f t="shared" si="12"/>
        <v>3.6626414237419742</v>
      </c>
      <c r="BC25" s="251">
        <f t="shared" si="12"/>
        <v>3.9755582677697512</v>
      </c>
      <c r="BD25" s="251">
        <f t="shared" si="12"/>
        <v>0</v>
      </c>
      <c r="BE25" s="251">
        <f t="shared" si="12"/>
        <v>0</v>
      </c>
      <c r="BF25" s="251">
        <f t="shared" ref="BF25:CG25" si="13">SUM(BF23:BF24)/BF21*1000000</f>
        <v>2.0571898786257972</v>
      </c>
      <c r="BG25" s="251">
        <f t="shared" si="13"/>
        <v>2.1302748267553997</v>
      </c>
      <c r="BH25" s="251">
        <f t="shared" si="13"/>
        <v>4.2014776596929142</v>
      </c>
      <c r="BI25" s="251">
        <f t="shared" si="13"/>
        <v>3.8870123257160851</v>
      </c>
      <c r="BJ25" s="251">
        <f t="shared" si="13"/>
        <v>2.0930748525428768</v>
      </c>
      <c r="BK25" s="251">
        <f t="shared" si="13"/>
        <v>2.4189822374134309</v>
      </c>
      <c r="BL25" s="251">
        <f t="shared" si="13"/>
        <v>1.9175859893497276</v>
      </c>
      <c r="BM25" s="251">
        <f t="shared" si="13"/>
        <v>2.222454345231613</v>
      </c>
      <c r="BN25" s="251">
        <f t="shared" si="13"/>
        <v>1.9707035214501227</v>
      </c>
      <c r="BO25" s="251">
        <f t="shared" si="13"/>
        <v>4.0269159059151365</v>
      </c>
      <c r="BP25" s="251">
        <f t="shared" si="13"/>
        <v>1.9629628175583096</v>
      </c>
      <c r="BQ25" s="251">
        <f t="shared" si="13"/>
        <v>0</v>
      </c>
      <c r="BR25" s="251">
        <f t="shared" si="13"/>
        <v>1.9686511983179844</v>
      </c>
      <c r="BS25" s="251">
        <f t="shared" si="13"/>
        <v>0</v>
      </c>
      <c r="BT25" s="251">
        <f t="shared" si="13"/>
        <v>2.0160030320685602</v>
      </c>
      <c r="BU25" s="251">
        <f t="shared" si="13"/>
        <v>9.643089954600331</v>
      </c>
      <c r="BV25" s="251">
        <f t="shared" si="13"/>
        <v>2.1766812141527812</v>
      </c>
      <c r="BW25" s="251">
        <f t="shared" si="13"/>
        <v>6.7405733082284431</v>
      </c>
      <c r="BX25" s="251">
        <f t="shared" si="13"/>
        <v>3.945302328517434</v>
      </c>
      <c r="BY25" s="251">
        <f t="shared" si="13"/>
        <v>2.143921446718192</v>
      </c>
      <c r="BZ25" s="251">
        <f t="shared" si="13"/>
        <v>1.9173028916762214</v>
      </c>
      <c r="CA25" s="251">
        <f t="shared" si="13"/>
        <v>2.0391115183292339</v>
      </c>
      <c r="CB25" s="251">
        <f t="shared" si="13"/>
        <v>0</v>
      </c>
      <c r="CC25" s="251">
        <f t="shared" si="13"/>
        <v>3.7806111357901004</v>
      </c>
      <c r="CD25" s="251">
        <f t="shared" si="13"/>
        <v>8.0242653785045981</v>
      </c>
      <c r="CE25" s="251">
        <f t="shared" si="13"/>
        <v>4.3615459935928893</v>
      </c>
      <c r="CF25" s="251">
        <f t="shared" si="13"/>
        <v>4.003875751727672</v>
      </c>
      <c r="CG25" s="251">
        <f t="shared" si="13"/>
        <v>3.8088200846700708</v>
      </c>
      <c r="CH25" s="251">
        <f t="shared" ref="CH25:CJ25" si="14">SUM(CH23:CH24)/CH21*1000000</f>
        <v>0</v>
      </c>
      <c r="CI25" s="251">
        <f t="shared" si="14"/>
        <v>2.1556369907307609</v>
      </c>
      <c r="CJ25" s="251">
        <f t="shared" si="14"/>
        <v>6.4669109721922826</v>
      </c>
      <c r="CL25" s="91" t="s">
        <v>43</v>
      </c>
      <c r="CM25" s="93">
        <f>INDEX($2:$2,COUNTA($2:$2)-19)</f>
        <v>41760</v>
      </c>
      <c r="CN25" s="93" t="s">
        <v>301</v>
      </c>
      <c r="CO25" s="94">
        <f>INDEX($23:$23,COUNTA($2:$2)-19)+INDEX($24:$24,COUNTA($2:$2)-19)</f>
        <v>1</v>
      </c>
      <c r="CP25" s="94">
        <f>INDEX($26:$26,COUNTA($2:$2)-19)</f>
        <v>2.4138896590346373</v>
      </c>
      <c r="CQ25" s="83" t="str">
        <f t="shared" si="10"/>
        <v>May</v>
      </c>
      <c r="CR25" s="91">
        <f t="shared" si="11"/>
        <v>2014</v>
      </c>
      <c r="CS25" s="94"/>
      <c r="CT25" s="97"/>
      <c r="CU25" s="97"/>
      <c r="CV25" s="94"/>
      <c r="CW25" s="97"/>
      <c r="CX25" s="97"/>
      <c r="CY25" s="97"/>
      <c r="CZ25" s="91"/>
      <c r="DC25" s="73">
        <v>41760</v>
      </c>
      <c r="DD25" s="47">
        <v>3</v>
      </c>
      <c r="DE25" s="47">
        <v>4.631883375986531</v>
      </c>
      <c r="DG25" s="73">
        <v>41760</v>
      </c>
      <c r="DH25" s="47">
        <v>18</v>
      </c>
      <c r="DI25" s="47">
        <v>7.0017444505758437</v>
      </c>
    </row>
    <row r="26" spans="1:113" ht="15" x14ac:dyDescent="0.25">
      <c r="A26" s="266" t="s">
        <v>145</v>
      </c>
      <c r="B26" s="271" t="s">
        <v>146</v>
      </c>
      <c r="C26" s="271" t="s">
        <v>146</v>
      </c>
      <c r="D26" s="271" t="s">
        <v>146</v>
      </c>
      <c r="E26" s="271" t="s">
        <v>146</v>
      </c>
      <c r="F26" s="271" t="s">
        <v>146</v>
      </c>
      <c r="G26" s="271" t="s">
        <v>146</v>
      </c>
      <c r="H26" s="271">
        <v>2.2461865368071354</v>
      </c>
      <c r="I26" s="271">
        <v>2.2051348770747561</v>
      </c>
      <c r="J26" s="271">
        <v>2.6862454562158109</v>
      </c>
      <c r="K26" s="271">
        <v>2.7088129060849147</v>
      </c>
      <c r="L26" s="271">
        <v>3.2326959175360823</v>
      </c>
      <c r="M26" s="271">
        <v>3.7726270041407277</v>
      </c>
      <c r="N26" s="262">
        <v>0</v>
      </c>
      <c r="O26" s="251">
        <v>2.1132266858265885</v>
      </c>
      <c r="P26" s="251">
        <v>4.0687289697571378</v>
      </c>
      <c r="Q26" s="251">
        <v>4.18889837208937</v>
      </c>
      <c r="R26" s="251">
        <v>4.0134305439723486</v>
      </c>
      <c r="S26" s="251">
        <v>3.9650991968691578</v>
      </c>
      <c r="T26" s="251">
        <v>3.3772545284761661</v>
      </c>
      <c r="U26" s="251">
        <v>2.9205408452239907</v>
      </c>
      <c r="V26" s="251">
        <v>2.5947011877244686</v>
      </c>
      <c r="W26" s="251">
        <v>2.3388694372914021</v>
      </c>
      <c r="X26" s="271">
        <v>2.8220197971743821</v>
      </c>
      <c r="Y26" s="251">
        <v>2.8977583907009001</v>
      </c>
      <c r="Z26" s="262">
        <f t="shared" ref="Z26:BE26" si="15">SUM(O23:Z24)/SUM(O21:Z21)*1000000</f>
        <v>0.31948238741520535</v>
      </c>
      <c r="AA26" s="251">
        <f t="shared" si="15"/>
        <v>0</v>
      </c>
      <c r="AB26" s="251">
        <f t="shared" si="15"/>
        <v>0</v>
      </c>
      <c r="AC26" s="251">
        <f t="shared" si="15"/>
        <v>0</v>
      </c>
      <c r="AD26" s="251">
        <f t="shared" si="15"/>
        <v>0</v>
      </c>
      <c r="AE26" s="251">
        <f t="shared" si="15"/>
        <v>0</v>
      </c>
      <c r="AF26" s="251">
        <f t="shared" si="15"/>
        <v>0</v>
      </c>
      <c r="AG26" s="251">
        <f t="shared" si="15"/>
        <v>0</v>
      </c>
      <c r="AH26" s="251">
        <f t="shared" si="15"/>
        <v>0</v>
      </c>
      <c r="AI26" s="251">
        <f t="shared" si="15"/>
        <v>0</v>
      </c>
      <c r="AJ26" s="251">
        <f t="shared" si="15"/>
        <v>0</v>
      </c>
      <c r="AK26" s="251">
        <f t="shared" si="15"/>
        <v>0</v>
      </c>
      <c r="AL26" s="251">
        <f t="shared" si="15"/>
        <v>0</v>
      </c>
      <c r="AM26" s="251">
        <f t="shared" si="15"/>
        <v>0</v>
      </c>
      <c r="AN26" s="251">
        <f t="shared" si="15"/>
        <v>0</v>
      </c>
      <c r="AO26" s="251">
        <f t="shared" si="15"/>
        <v>0.30322271162367881</v>
      </c>
      <c r="AP26" s="251">
        <f t="shared" si="15"/>
        <v>0.60731941357237429</v>
      </c>
      <c r="AQ26" s="251">
        <f t="shared" si="15"/>
        <v>0.606399822446132</v>
      </c>
      <c r="AR26" s="251">
        <f t="shared" si="15"/>
        <v>0.60371107233273658</v>
      </c>
      <c r="AS26" s="251">
        <f t="shared" si="15"/>
        <v>0.90641341878596193</v>
      </c>
      <c r="AT26" s="251">
        <f t="shared" si="15"/>
        <v>0.90363677657098762</v>
      </c>
      <c r="AU26" s="251">
        <f t="shared" si="15"/>
        <v>1.2034454643644754</v>
      </c>
      <c r="AV26" s="251">
        <f t="shared" si="15"/>
        <v>2.1151621166004269</v>
      </c>
      <c r="AW26" s="251">
        <f t="shared" si="15"/>
        <v>2.7031353667118494</v>
      </c>
      <c r="AX26" s="251">
        <f t="shared" si="15"/>
        <v>3.001939252757281</v>
      </c>
      <c r="AY26" s="251">
        <f t="shared" si="15"/>
        <v>3.0145024699325984</v>
      </c>
      <c r="AZ26" s="251">
        <f t="shared" si="15"/>
        <v>3.9085307592351071</v>
      </c>
      <c r="BA26" s="251">
        <f t="shared" si="15"/>
        <v>3.9301152944669111</v>
      </c>
      <c r="BB26" s="251">
        <f t="shared" si="15"/>
        <v>3.953911985310913</v>
      </c>
      <c r="BC26" s="251">
        <f t="shared" si="15"/>
        <v>4.2578279457143973</v>
      </c>
      <c r="BD26" s="251">
        <f t="shared" si="15"/>
        <v>4.0164244985828716</v>
      </c>
      <c r="BE26" s="251">
        <f t="shared" si="15"/>
        <v>3.5631025460912769</v>
      </c>
      <c r="BF26" s="251">
        <f t="shared" ref="BF26:CJ26" si="16">SUM(AU23:BF24)/SUM(AU21:BF21)*1000000</f>
        <v>3.6169539653389711</v>
      </c>
      <c r="BG26" s="251">
        <f t="shared" si="16"/>
        <v>3.4545408903641568</v>
      </c>
      <c r="BH26" s="251">
        <f t="shared" si="16"/>
        <v>3.074995629113356</v>
      </c>
      <c r="BI26" s="251">
        <f t="shared" si="16"/>
        <v>2.9339556113472827</v>
      </c>
      <c r="BJ26" s="251">
        <f t="shared" si="16"/>
        <v>2.8179044009829655</v>
      </c>
      <c r="BK26" s="251">
        <f t="shared" si="16"/>
        <v>2.9133511112492254</v>
      </c>
      <c r="BL26" s="251">
        <f t="shared" si="16"/>
        <v>2.4144804938764133</v>
      </c>
      <c r="BM26" s="251">
        <f t="shared" si="16"/>
        <v>2.334361769331299</v>
      </c>
      <c r="BN26" s="251">
        <f t="shared" si="16"/>
        <v>2.2400738879756279</v>
      </c>
      <c r="BO26" s="251">
        <f t="shared" si="16"/>
        <v>2.242553170935683</v>
      </c>
      <c r="BP26" s="251">
        <f t="shared" si="16"/>
        <v>2.4138896590346373</v>
      </c>
      <c r="BQ26" s="251">
        <f t="shared" si="16"/>
        <v>2.4073683354372011</v>
      </c>
      <c r="BR26" s="251">
        <f t="shared" si="16"/>
        <v>2.3983522634706453</v>
      </c>
      <c r="BS26" s="251">
        <f t="shared" si="16"/>
        <v>2.2292491203040012</v>
      </c>
      <c r="BT26" s="251">
        <f t="shared" si="16"/>
        <v>2.0507323848923913</v>
      </c>
      <c r="BU26" s="251">
        <f t="shared" si="16"/>
        <v>2.5616766344350821</v>
      </c>
      <c r="BV26" s="251">
        <f t="shared" si="16"/>
        <v>2.5697300532842093</v>
      </c>
      <c r="BW26" s="251">
        <f t="shared" si="16"/>
        <v>2.8966453098711882</v>
      </c>
      <c r="BX26" s="251">
        <f t="shared" si="16"/>
        <v>3.0746625429748144</v>
      </c>
      <c r="BY26" s="251">
        <f t="shared" si="16"/>
        <v>3.0660305448182976</v>
      </c>
      <c r="BZ26" s="251">
        <f t="shared" si="16"/>
        <v>3.0586672774938504</v>
      </c>
      <c r="CA26" s="251">
        <f t="shared" si="16"/>
        <v>2.8918117103971914</v>
      </c>
      <c r="CB26" s="251">
        <f t="shared" si="16"/>
        <v>2.731537184501053</v>
      </c>
      <c r="CC26" s="251">
        <f t="shared" si="16"/>
        <v>3.0543399314051811</v>
      </c>
      <c r="CD26" s="251">
        <f t="shared" si="16"/>
        <v>3.5691343302624237</v>
      </c>
      <c r="CE26" s="251">
        <f t="shared" si="16"/>
        <v>3.9124358303821851</v>
      </c>
      <c r="CF26" s="251">
        <f t="shared" si="16"/>
        <v>4.0801229613056442</v>
      </c>
      <c r="CG26" s="251">
        <f t="shared" si="16"/>
        <v>3.5661117494891403</v>
      </c>
      <c r="CH26" s="251">
        <f t="shared" si="16"/>
        <v>3.3851918393857372</v>
      </c>
      <c r="CI26" s="251">
        <f t="shared" si="16"/>
        <v>3.0369912280445219</v>
      </c>
      <c r="CJ26" s="251">
        <f t="shared" si="16"/>
        <v>3.2291580508575399</v>
      </c>
      <c r="CL26" s="91" t="s">
        <v>43</v>
      </c>
      <c r="CM26" s="93">
        <f>INDEX($2:$2,COUNTA($2:$2)-18)</f>
        <v>41791</v>
      </c>
      <c r="CN26" s="93" t="s">
        <v>301</v>
      </c>
      <c r="CO26" s="94">
        <f>INDEX($23:$23,COUNTA($2:$2)-18)+INDEX($24:$24,COUNTA($2:$2)-18)</f>
        <v>0</v>
      </c>
      <c r="CP26" s="94">
        <f>INDEX($26:$26,COUNTA($2:$2)-18)</f>
        <v>2.4073683354372011</v>
      </c>
      <c r="CQ26" s="83" t="str">
        <f t="shared" si="10"/>
        <v>June</v>
      </c>
      <c r="CR26" s="91">
        <f t="shared" si="11"/>
        <v>2014</v>
      </c>
      <c r="CS26" s="94"/>
      <c r="CT26" s="97"/>
      <c r="CU26" s="97"/>
      <c r="CV26" s="94"/>
      <c r="CW26" s="97"/>
      <c r="CX26" s="97"/>
      <c r="CY26" s="97"/>
      <c r="CZ26" s="91"/>
      <c r="DC26" s="73">
        <v>41791</v>
      </c>
      <c r="DD26" s="47">
        <v>2</v>
      </c>
      <c r="DE26" s="47">
        <v>4.5224865660138942</v>
      </c>
      <c r="DG26" s="73">
        <v>41791</v>
      </c>
      <c r="DH26" s="47">
        <v>14</v>
      </c>
      <c r="DI26" s="47">
        <v>4.1093426627743739</v>
      </c>
    </row>
    <row r="27" spans="1:113" ht="15" x14ac:dyDescent="0.25">
      <c r="A27" s="266" t="s">
        <v>137</v>
      </c>
      <c r="B27" s="251">
        <v>0</v>
      </c>
      <c r="C27" s="251">
        <v>0</v>
      </c>
      <c r="D27" s="251">
        <v>0</v>
      </c>
      <c r="E27" s="251">
        <v>1</v>
      </c>
      <c r="F27" s="251">
        <v>0</v>
      </c>
      <c r="G27" s="251">
        <v>0</v>
      </c>
      <c r="H27" s="251">
        <v>0</v>
      </c>
      <c r="I27" s="251">
        <v>0</v>
      </c>
      <c r="J27" s="251">
        <v>2</v>
      </c>
      <c r="K27" s="251">
        <v>2</v>
      </c>
      <c r="L27" s="251">
        <v>2</v>
      </c>
      <c r="M27" s="251">
        <v>0</v>
      </c>
      <c r="N27" s="262">
        <v>0</v>
      </c>
      <c r="O27" s="251">
        <v>0</v>
      </c>
      <c r="P27" s="251">
        <v>1</v>
      </c>
      <c r="Q27" s="251">
        <v>2</v>
      </c>
      <c r="R27" s="251">
        <v>0</v>
      </c>
      <c r="S27" s="251">
        <v>1</v>
      </c>
      <c r="T27" s="251">
        <v>0</v>
      </c>
      <c r="U27" s="251">
        <v>0</v>
      </c>
      <c r="V27" s="251">
        <v>2</v>
      </c>
      <c r="W27" s="251">
        <v>0</v>
      </c>
      <c r="X27" s="251">
        <v>1</v>
      </c>
      <c r="Y27" s="251">
        <v>0</v>
      </c>
      <c r="Z27" s="262">
        <v>0</v>
      </c>
      <c r="AA27" s="251">
        <v>0</v>
      </c>
      <c r="AB27" s="251">
        <v>0</v>
      </c>
      <c r="AC27" s="263">
        <v>1</v>
      </c>
      <c r="AD27" s="263">
        <v>1</v>
      </c>
      <c r="AE27" s="263">
        <v>0</v>
      </c>
      <c r="AF27" s="263">
        <v>1</v>
      </c>
      <c r="AG27" s="263">
        <v>1</v>
      </c>
      <c r="AH27" s="251">
        <v>0</v>
      </c>
      <c r="AI27" s="251">
        <v>1</v>
      </c>
      <c r="AJ27" s="251">
        <v>1</v>
      </c>
      <c r="AK27" s="251">
        <v>1</v>
      </c>
      <c r="AL27" s="251">
        <v>1</v>
      </c>
      <c r="AM27" s="251">
        <v>3</v>
      </c>
      <c r="AN27" s="251">
        <v>3</v>
      </c>
      <c r="AO27" s="251">
        <v>0</v>
      </c>
      <c r="AP27" s="251">
        <v>4</v>
      </c>
      <c r="AQ27" s="251">
        <v>3</v>
      </c>
      <c r="AR27" s="251">
        <v>2</v>
      </c>
      <c r="AS27" s="263">
        <v>0</v>
      </c>
      <c r="AT27" s="251">
        <v>0</v>
      </c>
      <c r="AU27" s="251">
        <v>2</v>
      </c>
      <c r="AV27" s="251">
        <v>0</v>
      </c>
      <c r="AW27" s="251">
        <v>0</v>
      </c>
      <c r="AX27" s="251">
        <v>0</v>
      </c>
      <c r="AY27" s="251">
        <v>0</v>
      </c>
      <c r="AZ27" s="251">
        <v>1</v>
      </c>
      <c r="BA27" s="251">
        <v>1</v>
      </c>
      <c r="BB27" s="251">
        <v>0</v>
      </c>
      <c r="BC27" s="251">
        <v>1</v>
      </c>
      <c r="BD27" s="251">
        <v>3</v>
      </c>
      <c r="BE27" s="251">
        <v>0</v>
      </c>
      <c r="BF27" s="251">
        <v>0</v>
      </c>
      <c r="BG27" s="251">
        <v>0</v>
      </c>
      <c r="BH27" s="251">
        <v>0</v>
      </c>
      <c r="BI27" s="251">
        <v>1</v>
      </c>
      <c r="BJ27" s="251">
        <v>0</v>
      </c>
      <c r="BK27" s="251">
        <v>1</v>
      </c>
      <c r="BL27" s="251">
        <v>1</v>
      </c>
      <c r="BM27" s="251">
        <v>0</v>
      </c>
      <c r="BN27" s="251">
        <v>0</v>
      </c>
      <c r="BO27" s="251">
        <v>0</v>
      </c>
      <c r="BP27" s="251">
        <v>1</v>
      </c>
      <c r="BQ27" s="251">
        <v>0</v>
      </c>
      <c r="BR27" s="251">
        <v>0</v>
      </c>
      <c r="BS27" s="251">
        <v>0</v>
      </c>
      <c r="BT27" s="270">
        <v>2</v>
      </c>
      <c r="BU27" s="270">
        <v>1</v>
      </c>
      <c r="BV27" s="270">
        <v>0</v>
      </c>
      <c r="BW27" s="270">
        <v>0</v>
      </c>
      <c r="BX27" s="270">
        <v>1</v>
      </c>
      <c r="BY27" s="270">
        <v>3</v>
      </c>
      <c r="BZ27" s="270">
        <v>1</v>
      </c>
      <c r="CA27" s="270">
        <v>1</v>
      </c>
      <c r="CB27" s="270">
        <v>0</v>
      </c>
      <c r="CC27" s="270">
        <v>1</v>
      </c>
      <c r="CD27" s="270"/>
      <c r="CE27" s="270">
        <v>2</v>
      </c>
      <c r="CF27" s="270">
        <v>4</v>
      </c>
      <c r="CG27" s="270">
        <v>4</v>
      </c>
      <c r="CH27" s="270">
        <v>1</v>
      </c>
      <c r="CI27" s="270">
        <v>1</v>
      </c>
      <c r="CJ27" s="270">
        <v>1</v>
      </c>
      <c r="CL27" s="91" t="s">
        <v>43</v>
      </c>
      <c r="CM27" s="93">
        <f>INDEX($2:$2,COUNTA($2:$2)-17)</f>
        <v>41821</v>
      </c>
      <c r="CN27" s="93" t="s">
        <v>301</v>
      </c>
      <c r="CO27" s="94">
        <f>INDEX($23:$23,COUNTA($2:$2)-17)+INDEX($24:$24,COUNTA($2:$2)-17)</f>
        <v>1</v>
      </c>
      <c r="CP27" s="94">
        <f>INDEX($26:$26,COUNTA($2:$2)-17)</f>
        <v>2.3983522634706453</v>
      </c>
      <c r="CQ27" s="83" t="str">
        <f t="shared" si="10"/>
        <v>July</v>
      </c>
      <c r="CR27" s="91">
        <f t="shared" si="11"/>
        <v>2014</v>
      </c>
      <c r="CS27" s="94"/>
      <c r="CT27" s="97"/>
      <c r="CU27" s="97"/>
      <c r="CV27" s="94"/>
      <c r="CW27" s="97"/>
      <c r="CX27" s="97"/>
      <c r="CY27" s="97"/>
      <c r="CZ27" s="91"/>
      <c r="DC27" s="73">
        <v>41821</v>
      </c>
      <c r="DD27" s="47">
        <v>2</v>
      </c>
      <c r="DE27" s="47">
        <v>4.5159191944674166</v>
      </c>
      <c r="DG27" s="73">
        <v>41821</v>
      </c>
      <c r="DH27" s="47">
        <v>16</v>
      </c>
      <c r="DI27" s="47">
        <v>5.1240405664722637</v>
      </c>
    </row>
    <row r="28" spans="1:113" ht="15" x14ac:dyDescent="0.25">
      <c r="A28" s="266" t="s">
        <v>138</v>
      </c>
      <c r="B28" s="251">
        <v>0</v>
      </c>
      <c r="C28" s="251">
        <v>0</v>
      </c>
      <c r="D28" s="251">
        <v>0</v>
      </c>
      <c r="E28" s="251">
        <v>2.250740859488161</v>
      </c>
      <c r="F28" s="251">
        <v>0</v>
      </c>
      <c r="G28" s="251">
        <v>0</v>
      </c>
      <c r="H28" s="251">
        <v>0</v>
      </c>
      <c r="I28" s="251">
        <v>0</v>
      </c>
      <c r="J28" s="251">
        <v>4.7073720977579958</v>
      </c>
      <c r="K28" s="251">
        <v>4.7890713392039368</v>
      </c>
      <c r="L28" s="251">
        <v>4.7890140018796883</v>
      </c>
      <c r="M28" s="251">
        <v>0</v>
      </c>
      <c r="N28" s="262">
        <v>0</v>
      </c>
      <c r="O28" s="251">
        <v>0</v>
      </c>
      <c r="P28" s="251">
        <v>2.6107956399712813</v>
      </c>
      <c r="Q28" s="251">
        <v>4.4056259843820555</v>
      </c>
      <c r="R28" s="251">
        <v>0</v>
      </c>
      <c r="S28" s="251">
        <v>1.5719414734750599</v>
      </c>
      <c r="T28" s="251">
        <v>0</v>
      </c>
      <c r="U28" s="251">
        <v>0</v>
      </c>
      <c r="V28" s="251">
        <v>4.6157668363845668</v>
      </c>
      <c r="W28" s="251">
        <v>0</v>
      </c>
      <c r="X28" s="251">
        <v>2.3614928365885919</v>
      </c>
      <c r="Y28" s="251">
        <v>0</v>
      </c>
      <c r="Z28" s="262">
        <v>0</v>
      </c>
      <c r="AA28" s="251">
        <v>0</v>
      </c>
      <c r="AB28" s="251">
        <f t="shared" ref="AB28:CJ28" si="17">AB27/AB22*200000</f>
        <v>0</v>
      </c>
      <c r="AC28" s="251">
        <f t="shared" si="17"/>
        <v>2.339505807472241</v>
      </c>
      <c r="AD28" s="251">
        <f t="shared" si="17"/>
        <v>2.3811440063509872</v>
      </c>
      <c r="AE28" s="251">
        <f t="shared" si="17"/>
        <v>0</v>
      </c>
      <c r="AF28" s="251">
        <f t="shared" si="17"/>
        <v>2.4524199867324081</v>
      </c>
      <c r="AG28" s="251">
        <f t="shared" si="17"/>
        <v>2.445201207049124</v>
      </c>
      <c r="AH28" s="251">
        <f t="shared" si="17"/>
        <v>0</v>
      </c>
      <c r="AI28" s="251">
        <f t="shared" si="17"/>
        <v>2.5272545448250292</v>
      </c>
      <c r="AJ28" s="251">
        <f t="shared" si="17"/>
        <v>1.6023921792365385</v>
      </c>
      <c r="AK28" s="251">
        <f t="shared" si="17"/>
        <v>2.4033735674091008</v>
      </c>
      <c r="AL28" s="251">
        <f t="shared" si="17"/>
        <v>2.3631974534184241</v>
      </c>
      <c r="AM28" s="251">
        <f t="shared" si="17"/>
        <v>6.8585514076433762</v>
      </c>
      <c r="AN28" s="251">
        <f t="shared" si="17"/>
        <v>8.3030284327521819</v>
      </c>
      <c r="AO28" s="251">
        <f t="shared" si="17"/>
        <v>0</v>
      </c>
      <c r="AP28" s="251">
        <f t="shared" si="17"/>
        <v>6.1451366044663622</v>
      </c>
      <c r="AQ28" s="251">
        <f t="shared" si="17"/>
        <v>7.3773469953602628</v>
      </c>
      <c r="AR28" s="251">
        <f t="shared" si="17"/>
        <v>4.4508487212155261</v>
      </c>
      <c r="AS28" s="251">
        <f t="shared" si="17"/>
        <v>0</v>
      </c>
      <c r="AT28" s="251">
        <f t="shared" si="17"/>
        <v>0</v>
      </c>
      <c r="AU28" s="251">
        <f t="shared" si="17"/>
        <v>3.143209990630091</v>
      </c>
      <c r="AV28" s="251">
        <f t="shared" si="17"/>
        <v>0</v>
      </c>
      <c r="AW28" s="251">
        <f t="shared" si="17"/>
        <v>0</v>
      </c>
      <c r="AX28" s="251">
        <f t="shared" si="17"/>
        <v>0</v>
      </c>
      <c r="AY28" s="251">
        <f t="shared" si="17"/>
        <v>0</v>
      </c>
      <c r="AZ28" s="251">
        <f t="shared" si="17"/>
        <v>2.6787610944239173</v>
      </c>
      <c r="BA28" s="251">
        <f t="shared" si="17"/>
        <v>2.273016824074976</v>
      </c>
      <c r="BB28" s="251">
        <f t="shared" si="17"/>
        <v>0</v>
      </c>
      <c r="BC28" s="251">
        <f t="shared" si="17"/>
        <v>1.1982466057418182</v>
      </c>
      <c r="BD28" s="251">
        <f t="shared" si="17"/>
        <v>3.4060368938510304</v>
      </c>
      <c r="BE28" s="251">
        <f t="shared" si="17"/>
        <v>0</v>
      </c>
      <c r="BF28" s="251">
        <f t="shared" si="17"/>
        <v>0</v>
      </c>
      <c r="BG28" s="251">
        <f t="shared" si="17"/>
        <v>0</v>
      </c>
      <c r="BH28" s="251">
        <f t="shared" si="17"/>
        <v>0</v>
      </c>
      <c r="BI28" s="251">
        <f t="shared" si="17"/>
        <v>1.1600319797616179</v>
      </c>
      <c r="BJ28" s="251">
        <f t="shared" si="17"/>
        <v>0</v>
      </c>
      <c r="BK28" s="251">
        <f t="shared" si="17"/>
        <v>1.1989853466605351</v>
      </c>
      <c r="BL28" s="251">
        <f t="shared" si="17"/>
        <v>0.92319719436679848</v>
      </c>
      <c r="BM28" s="251">
        <f t="shared" si="17"/>
        <v>0</v>
      </c>
      <c r="BN28" s="251">
        <f t="shared" si="17"/>
        <v>0</v>
      </c>
      <c r="BO28" s="251">
        <f t="shared" si="17"/>
        <v>0</v>
      </c>
      <c r="BP28" s="251">
        <f t="shared" si="17"/>
        <v>1.1912495099497327</v>
      </c>
      <c r="BQ28" s="251">
        <f t="shared" si="17"/>
        <v>0</v>
      </c>
      <c r="BR28" s="251">
        <f t="shared" si="17"/>
        <v>0</v>
      </c>
      <c r="BS28" s="251">
        <f t="shared" si="17"/>
        <v>0</v>
      </c>
      <c r="BT28" s="251">
        <f t="shared" si="17"/>
        <v>2.4428720626982656</v>
      </c>
      <c r="BU28" s="251">
        <f t="shared" si="17"/>
        <v>1.169638728422578</v>
      </c>
      <c r="BV28" s="251">
        <f t="shared" si="17"/>
        <v>0</v>
      </c>
      <c r="BW28" s="251">
        <f t="shared" si="17"/>
        <v>0</v>
      </c>
      <c r="BX28" s="251">
        <f t="shared" si="17"/>
        <v>0.97695657413373616</v>
      </c>
      <c r="BY28" s="251">
        <f t="shared" si="17"/>
        <v>3.7315755788031333</v>
      </c>
      <c r="BZ28" s="251">
        <f t="shared" si="17"/>
        <v>1.1635088261452533</v>
      </c>
      <c r="CA28" s="251">
        <f t="shared" si="17"/>
        <v>1.2681018366933383</v>
      </c>
      <c r="CB28" s="251">
        <f t="shared" si="17"/>
        <v>0</v>
      </c>
      <c r="CC28" s="251">
        <f t="shared" si="17"/>
        <v>1.1958032090574917</v>
      </c>
      <c r="CD28" s="251">
        <f t="shared" si="17"/>
        <v>0</v>
      </c>
      <c r="CE28" s="251">
        <f t="shared" si="17"/>
        <v>2.2710949232511859</v>
      </c>
      <c r="CF28" s="251">
        <f t="shared" si="17"/>
        <v>3.6510898092332957</v>
      </c>
      <c r="CG28" s="251">
        <f t="shared" si="17"/>
        <v>3.6067977316849062</v>
      </c>
      <c r="CH28" s="251">
        <f t="shared" si="17"/>
        <v>0.75667718478851165</v>
      </c>
      <c r="CI28" s="251">
        <f t="shared" si="17"/>
        <v>0.48269880182451941</v>
      </c>
      <c r="CJ28" s="251">
        <f t="shared" si="17"/>
        <v>0.52595323745032252</v>
      </c>
      <c r="CL28" s="91" t="s">
        <v>43</v>
      </c>
      <c r="CM28" s="93">
        <f>INDEX($2:$2,COUNTA($2:$2)-16)</f>
        <v>41852</v>
      </c>
      <c r="CN28" s="93" t="s">
        <v>301</v>
      </c>
      <c r="CO28" s="94">
        <f>INDEX($23:$23,COUNTA($2:$2)-16)+INDEX($24:$24,COUNTA($2:$2)-16)</f>
        <v>0</v>
      </c>
      <c r="CP28" s="94">
        <f>INDEX($26:$26,COUNTA($2:$2)-16)</f>
        <v>2.2292491203040012</v>
      </c>
      <c r="CQ28" s="83" t="str">
        <f t="shared" si="10"/>
        <v>August</v>
      </c>
      <c r="CR28" s="91">
        <f t="shared" si="11"/>
        <v>2014</v>
      </c>
      <c r="CS28" s="94"/>
      <c r="CT28" s="97"/>
      <c r="CU28" s="97"/>
      <c r="CV28" s="94"/>
      <c r="CW28" s="97"/>
      <c r="CX28" s="97"/>
      <c r="CY28" s="97"/>
      <c r="CZ28" s="91"/>
      <c r="DC28" s="73">
        <v>41852</v>
      </c>
      <c r="DD28" s="47">
        <v>3</v>
      </c>
      <c r="DE28" s="47">
        <v>4.5523762129188086</v>
      </c>
      <c r="DG28" s="73">
        <v>41852</v>
      </c>
      <c r="DH28" s="47">
        <v>8</v>
      </c>
      <c r="DI28" s="47">
        <v>1.5052729617771492</v>
      </c>
    </row>
    <row r="29" spans="1:113" ht="15" x14ac:dyDescent="0.25">
      <c r="A29" s="266" t="s">
        <v>147</v>
      </c>
      <c r="B29" s="271" t="s">
        <v>146</v>
      </c>
      <c r="C29" s="271" t="s">
        <v>146</v>
      </c>
      <c r="D29" s="271" t="s">
        <v>146</v>
      </c>
      <c r="E29" s="271" t="s">
        <v>146</v>
      </c>
      <c r="F29" s="271" t="s">
        <v>146</v>
      </c>
      <c r="G29" s="271" t="s">
        <v>146</v>
      </c>
      <c r="H29" s="271">
        <v>0.37977762387078584</v>
      </c>
      <c r="I29" s="271">
        <v>0.37847020752543353</v>
      </c>
      <c r="J29" s="271">
        <v>1.1302825450165166</v>
      </c>
      <c r="K29" s="271">
        <v>1.8890056189416635</v>
      </c>
      <c r="L29" s="271">
        <v>2.2898887747591359</v>
      </c>
      <c r="M29" s="271">
        <v>2.3057684986138294</v>
      </c>
      <c r="N29" s="262">
        <v>0</v>
      </c>
      <c r="O29" s="251">
        <v>2.3680793897516623</v>
      </c>
      <c r="P29" s="251">
        <v>0.78406466965395316</v>
      </c>
      <c r="Q29" s="251">
        <v>1.7347357708298399</v>
      </c>
      <c r="R29" s="251">
        <v>1.3758730028859394</v>
      </c>
      <c r="S29" s="251">
        <v>1.4201570991984704</v>
      </c>
      <c r="T29" s="251">
        <v>1.2225558560173351</v>
      </c>
      <c r="U29" s="251">
        <v>1.0791534796359701</v>
      </c>
      <c r="V29" s="251">
        <v>1.4493081117811251</v>
      </c>
      <c r="W29" s="251">
        <v>1.3143657216048539</v>
      </c>
      <c r="X29" s="271">
        <v>1.4032554262960186</v>
      </c>
      <c r="Y29" s="251">
        <v>1.2392814108177868</v>
      </c>
      <c r="Z29" s="262">
        <f t="shared" ref="Z29:BE29" si="18">SUM(O27:Z27)/SUM(O22:Z22)*200000</f>
        <v>1.2392880039019158</v>
      </c>
      <c r="AA29" s="251">
        <f t="shared" si="18"/>
        <v>1.2421845849560069</v>
      </c>
      <c r="AB29" s="251">
        <f t="shared" si="18"/>
        <v>1.0724921964127172</v>
      </c>
      <c r="AC29" s="251">
        <f t="shared" si="18"/>
        <v>0.89800108550371216</v>
      </c>
      <c r="AD29" s="251">
        <f t="shared" si="18"/>
        <v>1.0836536553335516</v>
      </c>
      <c r="AE29" s="251">
        <f t="shared" si="18"/>
        <v>0.90793706964690846</v>
      </c>
      <c r="AF29" s="251">
        <f t="shared" si="18"/>
        <v>1.0990005826076836</v>
      </c>
      <c r="AG29" s="251">
        <f t="shared" si="18"/>
        <v>1.2882577587347923</v>
      </c>
      <c r="AH29" s="251">
        <f t="shared" si="18"/>
        <v>0.92503323459405251</v>
      </c>
      <c r="AI29" s="251">
        <f t="shared" si="18"/>
        <v>1.1160995698096519</v>
      </c>
      <c r="AJ29" s="251">
        <f t="shared" si="18"/>
        <v>1.075949393760349</v>
      </c>
      <c r="AK29" s="251">
        <f t="shared" si="18"/>
        <v>1.3127006544994191</v>
      </c>
      <c r="AL29" s="251">
        <f t="shared" si="18"/>
        <v>1.5040523918602076</v>
      </c>
      <c r="AM29" s="251">
        <f t="shared" si="18"/>
        <v>2.0700407703939003</v>
      </c>
      <c r="AN29" s="251">
        <f t="shared" si="18"/>
        <v>2.6251734255194235</v>
      </c>
      <c r="AO29" s="251">
        <f t="shared" si="18"/>
        <v>2.4352389643329562</v>
      </c>
      <c r="AP29" s="251">
        <f t="shared" si="18"/>
        <v>2.8729233118729551</v>
      </c>
      <c r="AQ29" s="251">
        <f t="shared" si="18"/>
        <v>3.538458881035941</v>
      </c>
      <c r="AR29" s="251">
        <f t="shared" si="18"/>
        <v>3.6960643152151489</v>
      </c>
      <c r="AS29" s="251">
        <f t="shared" si="18"/>
        <v>3.4988091756933564</v>
      </c>
      <c r="AT29" s="251">
        <f t="shared" si="18"/>
        <v>3.4825455960301177</v>
      </c>
      <c r="AU29" s="251">
        <f t="shared" si="18"/>
        <v>3.5109985496679412</v>
      </c>
      <c r="AV29" s="251">
        <f t="shared" si="18"/>
        <v>3.4556041888397475</v>
      </c>
      <c r="AW29" s="251">
        <f t="shared" si="18"/>
        <v>3.2645315771701076</v>
      </c>
      <c r="AX29" s="251">
        <f t="shared" si="18"/>
        <v>3.0761753296890917</v>
      </c>
      <c r="AY29" s="251">
        <f t="shared" si="18"/>
        <v>2.5262630760504616</v>
      </c>
      <c r="AZ29" s="251">
        <f t="shared" si="18"/>
        <v>2.1606924046845433</v>
      </c>
      <c r="BA29" s="251">
        <f t="shared" si="18"/>
        <v>2.3377198278211804</v>
      </c>
      <c r="BB29" s="251">
        <f t="shared" si="18"/>
        <v>1.6171550103451202</v>
      </c>
      <c r="BC29" s="251">
        <f t="shared" si="18"/>
        <v>1.1679842112561742</v>
      </c>
      <c r="BD29" s="251">
        <f t="shared" si="18"/>
        <v>1.2452004817525013</v>
      </c>
      <c r="BE29" s="251">
        <f t="shared" si="18"/>
        <v>1.1712085377354533</v>
      </c>
      <c r="BF29" s="251">
        <f t="shared" ref="BF29:CF29" si="19">SUM(AU27:BF27)/SUM(AU22:BF22)*200000</f>
        <v>1.1038696114734274</v>
      </c>
      <c r="BG29" s="251">
        <f t="shared" si="19"/>
        <v>0.78506870502603077</v>
      </c>
      <c r="BH29" s="251">
        <f t="shared" si="19"/>
        <v>0.74759381324254293</v>
      </c>
      <c r="BI29" s="251">
        <f t="shared" si="19"/>
        <v>0.82779313071243776</v>
      </c>
      <c r="BJ29" s="251">
        <f t="shared" si="19"/>
        <v>0.79098911080885659</v>
      </c>
      <c r="BK29" s="251">
        <f t="shared" si="19"/>
        <v>0.8666573511834631</v>
      </c>
      <c r="BL29" s="251">
        <f t="shared" si="19"/>
        <v>0.80476794830573095</v>
      </c>
      <c r="BM29" s="251">
        <f t="shared" si="19"/>
        <v>0.67973308513106312</v>
      </c>
      <c r="BN29" s="251">
        <f t="shared" si="19"/>
        <v>0.66695380298273266</v>
      </c>
      <c r="BO29" s="251">
        <f t="shared" si="19"/>
        <v>0.5721371523939609</v>
      </c>
      <c r="BP29" s="251">
        <f t="shared" si="19"/>
        <v>0.38293409773106185</v>
      </c>
      <c r="BQ29" s="251">
        <f t="shared" si="19"/>
        <v>0.38322752980109009</v>
      </c>
      <c r="BR29" s="251">
        <f t="shared" si="19"/>
        <v>0.38391272465960791</v>
      </c>
      <c r="BS29" s="251">
        <f t="shared" si="19"/>
        <v>0.3837953486527198</v>
      </c>
      <c r="BT29" s="251">
        <f t="shared" si="19"/>
        <v>0.5751628849307564</v>
      </c>
      <c r="BU29" s="251">
        <f t="shared" si="19"/>
        <v>0.57555352793376868</v>
      </c>
      <c r="BV29" s="251">
        <f t="shared" si="19"/>
        <v>0.57659885372436182</v>
      </c>
      <c r="BW29" s="251">
        <f t="shared" si="19"/>
        <v>0.48066984072509739</v>
      </c>
      <c r="BX29" s="251">
        <f t="shared" si="19"/>
        <v>0.48343999502172835</v>
      </c>
      <c r="BY29" s="251">
        <f t="shared" si="19"/>
        <v>0.77301071357580398</v>
      </c>
      <c r="BZ29" s="251">
        <f t="shared" si="19"/>
        <v>0.86905986118120582</v>
      </c>
      <c r="CA29" s="251">
        <f t="shared" si="19"/>
        <v>0.96913033504856316</v>
      </c>
      <c r="CB29" s="251">
        <f t="shared" si="19"/>
        <v>0.87117570141126544</v>
      </c>
      <c r="CC29" s="251">
        <f t="shared" si="19"/>
        <v>0.96702281988186545</v>
      </c>
      <c r="CD29" s="251">
        <f t="shared" si="19"/>
        <v>0.9262263963417503</v>
      </c>
      <c r="CE29" s="251">
        <f t="shared" si="19"/>
        <v>1.1275821790466414</v>
      </c>
      <c r="CF29" s="251">
        <f t="shared" si="19"/>
        <v>1.2821575766716264</v>
      </c>
      <c r="CG29" s="251">
        <f>SUM(BV27:CG27)/SUM(BV22:CG22)*200000</f>
        <v>1.5215051075785335</v>
      </c>
      <c r="CH29" s="251">
        <f>SUM(BW27:CH27)/SUM(BW22:CH22)*200000</f>
        <v>1.5405073015453457</v>
      </c>
      <c r="CI29" s="251">
        <f>SUM(BX27:CI27)/SUM(BX22:CI22)*200000</f>
        <v>1.469927580495723</v>
      </c>
      <c r="CJ29" s="251">
        <f>SUM(BY27:CJ27)/SUM(BY22:CJ22)*200000</f>
        <v>1.3764595374960953</v>
      </c>
      <c r="CL29" s="91" t="s">
        <v>43</v>
      </c>
      <c r="CM29" s="93">
        <f>INDEX($2:$2,COUNTA($2:$2)-15)</f>
        <v>41883</v>
      </c>
      <c r="CN29" s="93" t="s">
        <v>301</v>
      </c>
      <c r="CO29" s="94">
        <f>INDEX($23:$23,COUNTA($2:$2)-15)+INDEX($24:$24,COUNTA($2:$2)-15)</f>
        <v>1</v>
      </c>
      <c r="CP29" s="94">
        <f>INDEX($26:$26,COUNTA($2:$2)-15)</f>
        <v>2.0507323848923913</v>
      </c>
      <c r="CQ29" s="83" t="str">
        <f t="shared" si="10"/>
        <v>September</v>
      </c>
      <c r="CR29" s="91">
        <f t="shared" si="11"/>
        <v>2014</v>
      </c>
      <c r="CS29" s="94"/>
      <c r="CT29" s="97"/>
      <c r="CU29" s="97"/>
      <c r="CV29" s="94"/>
      <c r="CW29" s="97"/>
      <c r="CX29" s="97"/>
      <c r="CY29" s="97"/>
      <c r="CZ29" s="91"/>
      <c r="DC29" s="73">
        <v>41883</v>
      </c>
      <c r="DD29" s="47">
        <v>3</v>
      </c>
      <c r="DE29" s="47">
        <v>4.0963185391557353</v>
      </c>
      <c r="DG29" s="73">
        <v>41883</v>
      </c>
      <c r="DH29" s="47">
        <v>24</v>
      </c>
      <c r="DI29" s="47">
        <v>10.177582444249959</v>
      </c>
    </row>
    <row r="30" spans="1:113" ht="15" x14ac:dyDescent="0.25">
      <c r="A30" s="266" t="s">
        <v>139</v>
      </c>
      <c r="B30" s="251">
        <v>0</v>
      </c>
      <c r="C30" s="251">
        <v>0</v>
      </c>
      <c r="D30" s="251">
        <v>0</v>
      </c>
      <c r="E30" s="251">
        <v>0</v>
      </c>
      <c r="F30" s="251">
        <v>1</v>
      </c>
      <c r="G30" s="251">
        <v>0</v>
      </c>
      <c r="H30" s="251">
        <v>0</v>
      </c>
      <c r="I30" s="251">
        <v>0</v>
      </c>
      <c r="J30" s="251">
        <v>0</v>
      </c>
      <c r="K30" s="251">
        <v>1</v>
      </c>
      <c r="L30" s="251">
        <v>0</v>
      </c>
      <c r="M30" s="251">
        <v>0</v>
      </c>
      <c r="N30" s="262">
        <v>0</v>
      </c>
      <c r="O30" s="251">
        <v>0</v>
      </c>
      <c r="P30" s="251">
        <v>0</v>
      </c>
      <c r="Q30" s="251">
        <v>1</v>
      </c>
      <c r="R30" s="251">
        <v>0</v>
      </c>
      <c r="S30" s="251">
        <v>0</v>
      </c>
      <c r="T30" s="251">
        <v>0</v>
      </c>
      <c r="U30" s="251">
        <v>0</v>
      </c>
      <c r="V30" s="251">
        <v>0</v>
      </c>
      <c r="W30" s="251">
        <v>0</v>
      </c>
      <c r="X30" s="251">
        <v>0</v>
      </c>
      <c r="Y30" s="251">
        <v>0</v>
      </c>
      <c r="Z30" s="262">
        <v>2</v>
      </c>
      <c r="AA30" s="251">
        <v>0</v>
      </c>
      <c r="AB30" s="251">
        <v>1</v>
      </c>
      <c r="AC30" s="263">
        <v>0</v>
      </c>
      <c r="AD30" s="263">
        <v>1</v>
      </c>
      <c r="AE30" s="263">
        <v>0</v>
      </c>
      <c r="AF30" s="263">
        <v>0</v>
      </c>
      <c r="AG30" s="263">
        <v>1</v>
      </c>
      <c r="AH30" s="251">
        <v>0</v>
      </c>
      <c r="AI30" s="251">
        <v>0</v>
      </c>
      <c r="AJ30" s="251">
        <v>0</v>
      </c>
      <c r="AK30" s="251">
        <v>0</v>
      </c>
      <c r="AL30" s="251">
        <v>0</v>
      </c>
      <c r="AM30" s="251">
        <v>0</v>
      </c>
      <c r="AN30" s="251">
        <v>2</v>
      </c>
      <c r="AO30" s="251">
        <v>1</v>
      </c>
      <c r="AP30" s="251">
        <v>2</v>
      </c>
      <c r="AQ30" s="251">
        <v>1</v>
      </c>
      <c r="AR30" s="251">
        <v>1</v>
      </c>
      <c r="AS30" s="263">
        <v>2</v>
      </c>
      <c r="AT30" s="251">
        <v>0</v>
      </c>
      <c r="AU30" s="251">
        <v>0</v>
      </c>
      <c r="AV30" s="251">
        <v>0</v>
      </c>
      <c r="AW30" s="251">
        <v>1</v>
      </c>
      <c r="AX30" s="251">
        <v>0</v>
      </c>
      <c r="AY30" s="251">
        <v>1</v>
      </c>
      <c r="AZ30" s="251">
        <v>0</v>
      </c>
      <c r="BA30" s="251">
        <v>0</v>
      </c>
      <c r="BB30" s="251">
        <v>0</v>
      </c>
      <c r="BC30" s="251">
        <v>1</v>
      </c>
      <c r="BD30" s="251">
        <v>0</v>
      </c>
      <c r="BE30" s="251">
        <v>0</v>
      </c>
      <c r="BF30" s="251">
        <v>1</v>
      </c>
      <c r="BG30" s="251">
        <v>0</v>
      </c>
      <c r="BH30" s="251">
        <v>1</v>
      </c>
      <c r="BI30" s="251">
        <v>0</v>
      </c>
      <c r="BJ30" s="251">
        <v>0</v>
      </c>
      <c r="BK30" s="251">
        <v>0</v>
      </c>
      <c r="BL30" s="251">
        <v>0</v>
      </c>
      <c r="BM30" s="251">
        <v>1</v>
      </c>
      <c r="BN30" s="251">
        <v>0</v>
      </c>
      <c r="BO30" s="251">
        <v>0</v>
      </c>
      <c r="BP30" s="251">
        <v>0</v>
      </c>
      <c r="BQ30" s="251">
        <v>0</v>
      </c>
      <c r="BR30" s="251">
        <v>1</v>
      </c>
      <c r="BS30" s="251">
        <v>0</v>
      </c>
      <c r="BT30" s="270">
        <v>0</v>
      </c>
      <c r="BU30" s="270">
        <v>0</v>
      </c>
      <c r="BV30" s="270">
        <v>0</v>
      </c>
      <c r="BW30" s="270">
        <v>1</v>
      </c>
      <c r="BX30" s="270">
        <v>1</v>
      </c>
      <c r="BY30" s="270">
        <v>0</v>
      </c>
      <c r="BZ30" s="270">
        <v>0</v>
      </c>
      <c r="CA30" s="270">
        <v>1</v>
      </c>
      <c r="CB30" s="270">
        <v>2</v>
      </c>
      <c r="CC30" s="270">
        <v>1</v>
      </c>
      <c r="CD30" s="270">
        <v>1</v>
      </c>
      <c r="CE30" s="270">
        <v>0</v>
      </c>
      <c r="CF30" s="270">
        <v>2</v>
      </c>
      <c r="CG30" s="270">
        <v>2</v>
      </c>
      <c r="CH30" s="270">
        <v>0</v>
      </c>
      <c r="CI30" s="270">
        <v>2</v>
      </c>
      <c r="CJ30" s="270">
        <v>0</v>
      </c>
      <c r="CL30" s="91" t="s">
        <v>43</v>
      </c>
      <c r="CM30" s="93">
        <f>INDEX($2:$2,COUNTA($2:$2)-14)</f>
        <v>41913</v>
      </c>
      <c r="CN30" s="93" t="s">
        <v>301</v>
      </c>
      <c r="CO30" s="94">
        <f>INDEX($23:$23,COUNTA($2:$2)-14)+INDEX($24:$24,COUNTA($2:$2)-14)</f>
        <v>5</v>
      </c>
      <c r="CP30" s="94">
        <f>INDEX($26:$26,COUNTA($2:$2)-14)</f>
        <v>2.5616766344350821</v>
      </c>
      <c r="CQ30" s="83" t="str">
        <f t="shared" si="10"/>
        <v>October</v>
      </c>
      <c r="CR30" s="91">
        <f t="shared" si="11"/>
        <v>2014</v>
      </c>
      <c r="CS30" s="94"/>
      <c r="CT30" s="97"/>
      <c r="CU30" s="97"/>
      <c r="CV30" s="94"/>
      <c r="CW30" s="97"/>
      <c r="CX30" s="97"/>
      <c r="CY30" s="97"/>
      <c r="CZ30" s="91"/>
      <c r="DC30" s="73">
        <v>41913</v>
      </c>
      <c r="DD30" s="47">
        <v>7</v>
      </c>
      <c r="DE30" s="47">
        <v>4.5279635341597508</v>
      </c>
      <c r="DG30" s="73">
        <v>41913</v>
      </c>
      <c r="DH30" s="47">
        <v>26</v>
      </c>
      <c r="DI30" s="47">
        <v>12.355251650601831</v>
      </c>
    </row>
    <row r="31" spans="1:113" ht="15" x14ac:dyDescent="0.25">
      <c r="A31" s="266" t="s">
        <v>140</v>
      </c>
      <c r="B31" s="251">
        <v>0</v>
      </c>
      <c r="C31" s="251">
        <v>0</v>
      </c>
      <c r="D31" s="251">
        <v>0</v>
      </c>
      <c r="E31" s="251">
        <v>0</v>
      </c>
      <c r="F31" s="251">
        <v>2.2953268522484334</v>
      </c>
      <c r="G31" s="251">
        <v>0</v>
      </c>
      <c r="H31" s="251">
        <v>0</v>
      </c>
      <c r="I31" s="251">
        <v>0</v>
      </c>
      <c r="J31" s="251">
        <v>0</v>
      </c>
      <c r="K31" s="251">
        <v>2.3945356696019684</v>
      </c>
      <c r="L31" s="251">
        <v>0</v>
      </c>
      <c r="M31" s="251">
        <v>0</v>
      </c>
      <c r="N31" s="262">
        <v>0</v>
      </c>
      <c r="O31" s="251">
        <v>0</v>
      </c>
      <c r="P31" s="251">
        <v>0</v>
      </c>
      <c r="Q31" s="251">
        <v>2.2028129921910278</v>
      </c>
      <c r="R31" s="251">
        <v>0</v>
      </c>
      <c r="S31" s="251">
        <v>0</v>
      </c>
      <c r="T31" s="251">
        <v>0</v>
      </c>
      <c r="U31" s="251">
        <v>0</v>
      </c>
      <c r="V31" s="251">
        <v>0</v>
      </c>
      <c r="W31" s="251">
        <v>0</v>
      </c>
      <c r="X31" s="265">
        <v>0</v>
      </c>
      <c r="Y31" s="251">
        <v>0</v>
      </c>
      <c r="Z31" s="262">
        <f t="shared" ref="Z31:CJ31" si="20">Z30/Z22*200000</f>
        <v>4.5796987222297085</v>
      </c>
      <c r="AA31" s="251">
        <f t="shared" si="20"/>
        <v>0</v>
      </c>
      <c r="AB31" s="251">
        <f t="shared" si="20"/>
        <v>2.9219436359994555</v>
      </c>
      <c r="AC31" s="251">
        <f t="shared" si="20"/>
        <v>0</v>
      </c>
      <c r="AD31" s="251">
        <f t="shared" si="20"/>
        <v>2.3811440063509872</v>
      </c>
      <c r="AE31" s="251">
        <f t="shared" si="20"/>
        <v>0</v>
      </c>
      <c r="AF31" s="251">
        <f t="shared" si="20"/>
        <v>0</v>
      </c>
      <c r="AG31" s="251">
        <f t="shared" si="20"/>
        <v>2.445201207049124</v>
      </c>
      <c r="AH31" s="251">
        <f t="shared" si="20"/>
        <v>0</v>
      </c>
      <c r="AI31" s="251">
        <f t="shared" si="20"/>
        <v>0</v>
      </c>
      <c r="AJ31" s="251">
        <f t="shared" si="20"/>
        <v>0</v>
      </c>
      <c r="AK31" s="251">
        <f t="shared" si="20"/>
        <v>0</v>
      </c>
      <c r="AL31" s="251">
        <f t="shared" si="20"/>
        <v>0</v>
      </c>
      <c r="AM31" s="251">
        <f t="shared" si="20"/>
        <v>0</v>
      </c>
      <c r="AN31" s="251">
        <f t="shared" si="20"/>
        <v>5.5353522885014543</v>
      </c>
      <c r="AO31" s="251">
        <f t="shared" si="20"/>
        <v>2.3108305043953727</v>
      </c>
      <c r="AP31" s="251">
        <f t="shared" si="20"/>
        <v>3.0725683022331811</v>
      </c>
      <c r="AQ31" s="251">
        <f t="shared" si="20"/>
        <v>2.4591156651200876</v>
      </c>
      <c r="AR31" s="251">
        <f t="shared" si="20"/>
        <v>2.2254243606077631</v>
      </c>
      <c r="AS31" s="251">
        <f t="shared" si="20"/>
        <v>4.6704735696733071</v>
      </c>
      <c r="AT31" s="251">
        <f t="shared" si="20"/>
        <v>0</v>
      </c>
      <c r="AU31" s="251">
        <f t="shared" si="20"/>
        <v>0</v>
      </c>
      <c r="AV31" s="251">
        <f t="shared" si="20"/>
        <v>0</v>
      </c>
      <c r="AW31" s="251">
        <f t="shared" si="20"/>
        <v>2.317095437453716</v>
      </c>
      <c r="AX31" s="251">
        <f t="shared" si="20"/>
        <v>0</v>
      </c>
      <c r="AY31" s="251">
        <f t="shared" si="20"/>
        <v>2.2082394049501439</v>
      </c>
      <c r="AZ31" s="251">
        <f t="shared" si="20"/>
        <v>0</v>
      </c>
      <c r="BA31" s="251">
        <f t="shared" si="20"/>
        <v>0</v>
      </c>
      <c r="BB31" s="251">
        <f t="shared" si="20"/>
        <v>0</v>
      </c>
      <c r="BC31" s="251">
        <f t="shared" si="20"/>
        <v>1.1982466057418182</v>
      </c>
      <c r="BD31" s="251">
        <f t="shared" si="20"/>
        <v>0</v>
      </c>
      <c r="BE31" s="251">
        <f t="shared" si="20"/>
        <v>0</v>
      </c>
      <c r="BF31" s="251">
        <f t="shared" si="20"/>
        <v>1.1808395556689686</v>
      </c>
      <c r="BG31" s="251">
        <f t="shared" si="20"/>
        <v>0</v>
      </c>
      <c r="BH31" s="251">
        <f t="shared" si="20"/>
        <v>1.2359379613524673</v>
      </c>
      <c r="BI31" s="251">
        <f t="shared" si="20"/>
        <v>0</v>
      </c>
      <c r="BJ31" s="251">
        <f t="shared" si="20"/>
        <v>0</v>
      </c>
      <c r="BK31" s="251">
        <f t="shared" si="20"/>
        <v>0</v>
      </c>
      <c r="BL31" s="251">
        <f t="shared" si="20"/>
        <v>0</v>
      </c>
      <c r="BM31" s="251">
        <f t="shared" si="20"/>
        <v>1.2541542291146637</v>
      </c>
      <c r="BN31" s="251">
        <f t="shared" si="20"/>
        <v>0</v>
      </c>
      <c r="BO31" s="251">
        <f t="shared" si="20"/>
        <v>0</v>
      </c>
      <c r="BP31" s="251">
        <f t="shared" si="20"/>
        <v>0</v>
      </c>
      <c r="BQ31" s="251">
        <f t="shared" si="20"/>
        <v>0</v>
      </c>
      <c r="BR31" s="251">
        <f t="shared" si="20"/>
        <v>1.2073994752400401</v>
      </c>
      <c r="BS31" s="251">
        <f t="shared" si="20"/>
        <v>0</v>
      </c>
      <c r="BT31" s="251">
        <f t="shared" si="20"/>
        <v>0</v>
      </c>
      <c r="BU31" s="251">
        <f t="shared" si="20"/>
        <v>0</v>
      </c>
      <c r="BV31" s="251">
        <f t="shared" si="20"/>
        <v>0</v>
      </c>
      <c r="BW31" s="251">
        <f t="shared" si="20"/>
        <v>1.2043244158529798</v>
      </c>
      <c r="BX31" s="251">
        <f t="shared" si="20"/>
        <v>0.97695657413373616</v>
      </c>
      <c r="BY31" s="251">
        <f t="shared" si="20"/>
        <v>0</v>
      </c>
      <c r="BZ31" s="251">
        <f t="shared" si="20"/>
        <v>0</v>
      </c>
      <c r="CA31" s="251">
        <f t="shared" si="20"/>
        <v>1.2681018366933383</v>
      </c>
      <c r="CB31" s="251">
        <f t="shared" si="20"/>
        <v>2.3479916101563791</v>
      </c>
      <c r="CC31" s="251">
        <f t="shared" si="20"/>
        <v>1.1958032090574917</v>
      </c>
      <c r="CD31" s="251">
        <f t="shared" si="20"/>
        <v>0.77899508309988474</v>
      </c>
      <c r="CE31" s="251">
        <f t="shared" si="20"/>
        <v>0</v>
      </c>
      <c r="CF31" s="251">
        <f t="shared" si="20"/>
        <v>1.8255449046166479</v>
      </c>
      <c r="CG31" s="251">
        <f t="shared" si="20"/>
        <v>1.8033988658424531</v>
      </c>
      <c r="CH31" s="251">
        <f t="shared" si="20"/>
        <v>0</v>
      </c>
      <c r="CI31" s="251">
        <f t="shared" si="20"/>
        <v>0.96539760364903882</v>
      </c>
      <c r="CJ31" s="251">
        <f t="shared" si="20"/>
        <v>0</v>
      </c>
      <c r="CL31" s="91" t="s">
        <v>43</v>
      </c>
      <c r="CM31" s="93">
        <f>INDEX($2:$2,COUNTA($2:$2)-13)</f>
        <v>41944</v>
      </c>
      <c r="CN31" s="93" t="s">
        <v>301</v>
      </c>
      <c r="CO31" s="94">
        <f>INDEX($23:$23,COUNTA($2:$2)-13)+INDEX($24:$24,COUNTA($2:$2)-13)</f>
        <v>1</v>
      </c>
      <c r="CP31" s="94">
        <f>INDEX($26:$26,COUNTA($2:$2)-13)</f>
        <v>2.5697300532842093</v>
      </c>
      <c r="CQ31" s="83" t="str">
        <f t="shared" si="10"/>
        <v>November</v>
      </c>
      <c r="CR31" s="91">
        <f t="shared" si="11"/>
        <v>2014</v>
      </c>
      <c r="CS31" s="94"/>
      <c r="CT31" s="97"/>
      <c r="CU31" s="97"/>
      <c r="CV31" s="94"/>
      <c r="CW31" s="97"/>
      <c r="CX31" s="97"/>
      <c r="CY31" s="97"/>
      <c r="CZ31" s="91"/>
      <c r="DC31" s="73">
        <v>41944</v>
      </c>
      <c r="DD31" s="47">
        <v>3</v>
      </c>
      <c r="DE31" s="47">
        <v>4.631811914634774</v>
      </c>
      <c r="DG31" s="73">
        <v>41944</v>
      </c>
      <c r="DH31" s="47">
        <v>20</v>
      </c>
      <c r="DI31" s="47">
        <v>9.3399764460254033</v>
      </c>
    </row>
    <row r="32" spans="1:113" ht="15" x14ac:dyDescent="0.25">
      <c r="A32" s="266" t="s">
        <v>148</v>
      </c>
      <c r="B32" s="271" t="s">
        <v>146</v>
      </c>
      <c r="C32" s="271" t="s">
        <v>146</v>
      </c>
      <c r="D32" s="271" t="s">
        <v>146</v>
      </c>
      <c r="E32" s="271" t="s">
        <v>146</v>
      </c>
      <c r="F32" s="271" t="s">
        <v>146</v>
      </c>
      <c r="G32" s="271" t="s">
        <v>146</v>
      </c>
      <c r="H32" s="271">
        <v>0.37977762387078584</v>
      </c>
      <c r="I32" s="271">
        <v>0.37847020752543353</v>
      </c>
      <c r="J32" s="271">
        <v>0.37676084833883883</v>
      </c>
      <c r="K32" s="271">
        <v>0.75560224757666539</v>
      </c>
      <c r="L32" s="271">
        <v>0.76329625825304537</v>
      </c>
      <c r="M32" s="271">
        <v>0.3842947497689716</v>
      </c>
      <c r="N32" s="262">
        <v>0</v>
      </c>
      <c r="O32" s="251">
        <v>0</v>
      </c>
      <c r="P32" s="251">
        <v>0</v>
      </c>
      <c r="Q32" s="251">
        <v>0.57824525694327999</v>
      </c>
      <c r="R32" s="251">
        <v>0.45862433429531313</v>
      </c>
      <c r="S32" s="251">
        <v>0.35503927479961761</v>
      </c>
      <c r="T32" s="251">
        <v>0.30563896400433377</v>
      </c>
      <c r="U32" s="251">
        <v>0.2697883699089923</v>
      </c>
      <c r="V32" s="251">
        <v>0.24155135196352082</v>
      </c>
      <c r="W32" s="251">
        <v>0.21906095360080896</v>
      </c>
      <c r="X32" s="265">
        <v>0.2004650608994312</v>
      </c>
      <c r="Y32" s="251">
        <v>0.1770402015453981</v>
      </c>
      <c r="Z32" s="262">
        <f t="shared" ref="Z32:BE32" si="21">SUM(O30:Z30)/SUM(O22:Z22)*200000</f>
        <v>0.53112343024367825</v>
      </c>
      <c r="AA32" s="251">
        <f t="shared" si="21"/>
        <v>0.53236482212400305</v>
      </c>
      <c r="AB32" s="251">
        <f t="shared" si="21"/>
        <v>0.71499479760847806</v>
      </c>
      <c r="AC32" s="251">
        <f t="shared" si="21"/>
        <v>0.53880065130222732</v>
      </c>
      <c r="AD32" s="251">
        <f t="shared" si="21"/>
        <v>0.72243577022236782</v>
      </c>
      <c r="AE32" s="251">
        <f t="shared" si="21"/>
        <v>0.72634965571752674</v>
      </c>
      <c r="AF32" s="251">
        <f t="shared" si="21"/>
        <v>0.7326670550717892</v>
      </c>
      <c r="AG32" s="251">
        <f t="shared" si="21"/>
        <v>0.92018411338199457</v>
      </c>
      <c r="AH32" s="251">
        <f t="shared" si="21"/>
        <v>0.92503323459405251</v>
      </c>
      <c r="AI32" s="251">
        <f t="shared" si="21"/>
        <v>0.93008297484137648</v>
      </c>
      <c r="AJ32" s="251">
        <f t="shared" si="21"/>
        <v>0.89662449480029094</v>
      </c>
      <c r="AK32" s="251">
        <f t="shared" si="21"/>
        <v>0.93764332464244227</v>
      </c>
      <c r="AL32" s="251">
        <f t="shared" si="21"/>
        <v>0.56401964694757789</v>
      </c>
      <c r="AM32" s="251">
        <f t="shared" si="21"/>
        <v>0.56455657374379109</v>
      </c>
      <c r="AN32" s="251">
        <f t="shared" si="21"/>
        <v>0.75004955014840669</v>
      </c>
      <c r="AO32" s="251">
        <f t="shared" si="21"/>
        <v>0.93663037089729084</v>
      </c>
      <c r="AP32" s="251">
        <f t="shared" si="21"/>
        <v>1.0773462419523583</v>
      </c>
      <c r="AQ32" s="251">
        <f t="shared" si="21"/>
        <v>1.3036427456448205</v>
      </c>
      <c r="AR32" s="251">
        <f t="shared" si="21"/>
        <v>1.4784257260860596</v>
      </c>
      <c r="AS32" s="251">
        <f t="shared" si="21"/>
        <v>1.657330662170537</v>
      </c>
      <c r="AT32" s="251">
        <f t="shared" si="21"/>
        <v>1.6496268612774241</v>
      </c>
      <c r="AU32" s="251">
        <f t="shared" si="21"/>
        <v>1.5799493473505737</v>
      </c>
      <c r="AV32" s="251">
        <f t="shared" si="21"/>
        <v>1.6368651420819857</v>
      </c>
      <c r="AW32" s="251">
        <f t="shared" si="21"/>
        <v>1.813628653983393</v>
      </c>
      <c r="AX32" s="251">
        <f t="shared" si="21"/>
        <v>1.8095148998171127</v>
      </c>
      <c r="AY32" s="251">
        <f t="shared" si="21"/>
        <v>1.9849209883253629</v>
      </c>
      <c r="AZ32" s="251">
        <f t="shared" si="21"/>
        <v>1.6205193035134073</v>
      </c>
      <c r="BA32" s="251">
        <f t="shared" si="21"/>
        <v>1.4385968171207264</v>
      </c>
      <c r="BB32" s="251">
        <f t="shared" si="21"/>
        <v>1.0781033402300801</v>
      </c>
      <c r="BC32" s="251">
        <f t="shared" si="21"/>
        <v>1.0011293239338634</v>
      </c>
      <c r="BD32" s="251">
        <f t="shared" si="21"/>
        <v>0.77825030109531323</v>
      </c>
      <c r="BE32" s="251">
        <f t="shared" si="21"/>
        <v>0.43920320165079502</v>
      </c>
      <c r="BF32" s="251">
        <f t="shared" ref="BF32:CJ32" si="22">SUM(AU30:BF30)/SUM(AU22:BF22)*200000</f>
        <v>0.55193480573671372</v>
      </c>
      <c r="BG32" s="251">
        <f t="shared" si="22"/>
        <v>0.52337913668402047</v>
      </c>
      <c r="BH32" s="251">
        <f t="shared" si="22"/>
        <v>0.62299484436878572</v>
      </c>
      <c r="BI32" s="251">
        <f t="shared" si="22"/>
        <v>0.473024646121393</v>
      </c>
      <c r="BJ32" s="251">
        <f t="shared" si="22"/>
        <v>0.45199377760506088</v>
      </c>
      <c r="BK32" s="251">
        <f t="shared" si="22"/>
        <v>0.3249965066937987</v>
      </c>
      <c r="BL32" s="251">
        <f t="shared" si="22"/>
        <v>0.30178798061464912</v>
      </c>
      <c r="BM32" s="251">
        <f t="shared" si="22"/>
        <v>0.38841890578917887</v>
      </c>
      <c r="BN32" s="251">
        <f t="shared" si="22"/>
        <v>0.3811164588472758</v>
      </c>
      <c r="BO32" s="251">
        <f t="shared" si="22"/>
        <v>0.28606857619698045</v>
      </c>
      <c r="BP32" s="251">
        <f t="shared" si="22"/>
        <v>0.2872005732982964</v>
      </c>
      <c r="BQ32" s="251">
        <f t="shared" si="22"/>
        <v>0.28742064735081757</v>
      </c>
      <c r="BR32" s="251">
        <f t="shared" si="22"/>
        <v>0.28793454349470593</v>
      </c>
      <c r="BS32" s="251">
        <f t="shared" si="22"/>
        <v>0.28784651148953982</v>
      </c>
      <c r="BT32" s="251">
        <f t="shared" si="22"/>
        <v>0.19172096164358549</v>
      </c>
      <c r="BU32" s="251">
        <f t="shared" si="22"/>
        <v>0.19185117597792287</v>
      </c>
      <c r="BV32" s="251">
        <f t="shared" si="22"/>
        <v>0.1921996179081206</v>
      </c>
      <c r="BW32" s="251">
        <f t="shared" si="22"/>
        <v>0.28840190443505842</v>
      </c>
      <c r="BX32" s="251">
        <f t="shared" si="22"/>
        <v>0.38675199601738264</v>
      </c>
      <c r="BY32" s="251">
        <f t="shared" si="22"/>
        <v>0.28987901759092649</v>
      </c>
      <c r="BZ32" s="251">
        <f t="shared" si="22"/>
        <v>0.28968662039373527</v>
      </c>
      <c r="CA32" s="251">
        <f t="shared" si="22"/>
        <v>0.38765213401942528</v>
      </c>
      <c r="CB32" s="251">
        <f t="shared" si="22"/>
        <v>0.58078380094084359</v>
      </c>
      <c r="CC32" s="251">
        <f t="shared" si="22"/>
        <v>0.67691597391730574</v>
      </c>
      <c r="CD32" s="251">
        <f t="shared" si="22"/>
        <v>0.64835847743922514</v>
      </c>
      <c r="CE32" s="251">
        <f t="shared" si="22"/>
        <v>0.6577562711105408</v>
      </c>
      <c r="CF32" s="251">
        <f t="shared" si="22"/>
        <v>0.82424415643175986</v>
      </c>
      <c r="CG32" s="251">
        <f t="shared" si="22"/>
        <v>0.98450330490375704</v>
      </c>
      <c r="CH32" s="251">
        <f t="shared" si="22"/>
        <v>0.94142112872215578</v>
      </c>
      <c r="CI32" s="251">
        <f t="shared" si="22"/>
        <v>0.92837531399729878</v>
      </c>
      <c r="CJ32" s="251">
        <f t="shared" si="22"/>
        <v>0.79689762697142352</v>
      </c>
      <c r="CL32" s="91" t="s">
        <v>43</v>
      </c>
      <c r="CM32" s="93">
        <f>INDEX($2:$2,COUNTA($2:$2)-12)</f>
        <v>41974</v>
      </c>
      <c r="CN32" s="93" t="s">
        <v>301</v>
      </c>
      <c r="CO32" s="94">
        <f>INDEX($23:$23,COUNTA($2:$2)-12)+INDEX($24:$24,COUNTA($2:$2)-12)</f>
        <v>3</v>
      </c>
      <c r="CP32" s="94">
        <f>INDEX($26:$26,COUNTA($2:$2)-12)</f>
        <v>2.8966453098711882</v>
      </c>
      <c r="CQ32" s="83" t="str">
        <f t="shared" si="10"/>
        <v>December</v>
      </c>
      <c r="CR32" s="91">
        <f t="shared" si="11"/>
        <v>2014</v>
      </c>
      <c r="CS32" s="94"/>
      <c r="CT32" s="97"/>
      <c r="CU32" s="97"/>
      <c r="CV32" s="94"/>
      <c r="CW32" s="97"/>
      <c r="CX32" s="97"/>
      <c r="CY32" s="97"/>
      <c r="CZ32" s="91"/>
      <c r="DC32" s="73">
        <v>41974</v>
      </c>
      <c r="DD32" s="47">
        <v>4</v>
      </c>
      <c r="DE32" s="47">
        <v>4.6451040832001986</v>
      </c>
      <c r="DG32" s="73">
        <v>41974</v>
      </c>
      <c r="DH32" s="47">
        <v>18</v>
      </c>
      <c r="DI32" s="47">
        <v>7.8297741191756964</v>
      </c>
    </row>
    <row r="33" spans="1:113" ht="15" x14ac:dyDescent="0.25">
      <c r="A33" s="266" t="s">
        <v>141</v>
      </c>
      <c r="B33" s="251">
        <v>0</v>
      </c>
      <c r="C33" s="251">
        <v>0</v>
      </c>
      <c r="D33" s="251">
        <v>0</v>
      </c>
      <c r="E33" s="251">
        <v>0</v>
      </c>
      <c r="F33" s="251">
        <v>0</v>
      </c>
      <c r="G33" s="251">
        <v>0</v>
      </c>
      <c r="H33" s="251">
        <v>0</v>
      </c>
      <c r="I33" s="251">
        <v>0</v>
      </c>
      <c r="J33" s="251">
        <v>0</v>
      </c>
      <c r="K33" s="251">
        <v>0</v>
      </c>
      <c r="L33" s="251">
        <v>0</v>
      </c>
      <c r="M33" s="251">
        <v>0</v>
      </c>
      <c r="N33" s="262">
        <v>0</v>
      </c>
      <c r="O33" s="251">
        <v>0</v>
      </c>
      <c r="P33" s="251">
        <v>0</v>
      </c>
      <c r="Q33" s="251">
        <v>0</v>
      </c>
      <c r="R33" s="251">
        <v>0</v>
      </c>
      <c r="S33" s="251">
        <v>0</v>
      </c>
      <c r="T33" s="251">
        <v>0</v>
      </c>
      <c r="U33" s="251">
        <v>0</v>
      </c>
      <c r="V33" s="251">
        <v>0</v>
      </c>
      <c r="W33" s="251">
        <v>0</v>
      </c>
      <c r="X33" s="251">
        <v>0</v>
      </c>
      <c r="Y33" s="251">
        <v>0</v>
      </c>
      <c r="Z33" s="262">
        <v>0</v>
      </c>
      <c r="AA33" s="251">
        <v>0</v>
      </c>
      <c r="AB33" s="251">
        <v>1</v>
      </c>
      <c r="AC33" s="263">
        <v>0</v>
      </c>
      <c r="AD33" s="263">
        <v>0</v>
      </c>
      <c r="AE33" s="263">
        <v>0</v>
      </c>
      <c r="AF33" s="263">
        <v>0</v>
      </c>
      <c r="AG33" s="263">
        <v>0</v>
      </c>
      <c r="AH33" s="251">
        <v>0</v>
      </c>
      <c r="AI33" s="251">
        <v>0</v>
      </c>
      <c r="AJ33" s="251">
        <v>0</v>
      </c>
      <c r="AK33" s="251">
        <v>0</v>
      </c>
      <c r="AL33" s="251">
        <v>0</v>
      </c>
      <c r="AM33" s="251">
        <v>1</v>
      </c>
      <c r="AN33" s="251">
        <v>1</v>
      </c>
      <c r="AO33" s="251">
        <v>0</v>
      </c>
      <c r="AP33" s="251">
        <v>0</v>
      </c>
      <c r="AQ33" s="251">
        <v>0</v>
      </c>
      <c r="AR33" s="251">
        <v>0</v>
      </c>
      <c r="AS33" s="251">
        <v>0</v>
      </c>
      <c r="AT33" s="251">
        <v>0</v>
      </c>
      <c r="AU33" s="251">
        <v>0</v>
      </c>
      <c r="AV33" s="251">
        <v>0</v>
      </c>
      <c r="AW33" s="251">
        <v>0</v>
      </c>
      <c r="AX33" s="251">
        <v>0</v>
      </c>
      <c r="AY33" s="251">
        <v>0</v>
      </c>
      <c r="AZ33" s="251">
        <v>0</v>
      </c>
      <c r="BA33" s="251">
        <v>0</v>
      </c>
      <c r="BB33" s="251">
        <v>0</v>
      </c>
      <c r="BC33" s="251">
        <v>0</v>
      </c>
      <c r="BD33" s="251">
        <v>0</v>
      </c>
      <c r="BE33" s="251">
        <v>0</v>
      </c>
      <c r="BF33" s="251">
        <v>0</v>
      </c>
      <c r="BG33" s="251">
        <v>0</v>
      </c>
      <c r="BH33" s="251">
        <v>0</v>
      </c>
      <c r="BI33" s="251">
        <v>1</v>
      </c>
      <c r="BJ33" s="251">
        <v>1</v>
      </c>
      <c r="BK33" s="251">
        <v>1</v>
      </c>
      <c r="BL33" s="251">
        <v>0</v>
      </c>
      <c r="BM33" s="251">
        <v>0</v>
      </c>
      <c r="BN33" s="251">
        <v>0</v>
      </c>
      <c r="BO33" s="251">
        <v>1</v>
      </c>
      <c r="BP33" s="251">
        <v>0</v>
      </c>
      <c r="BQ33" s="251">
        <v>0</v>
      </c>
      <c r="BR33" s="251">
        <v>0</v>
      </c>
      <c r="BS33" s="251">
        <v>0</v>
      </c>
      <c r="BT33" s="270">
        <v>1</v>
      </c>
      <c r="BU33" s="270">
        <v>0</v>
      </c>
      <c r="BV33" s="270">
        <v>2</v>
      </c>
      <c r="BW33" s="270">
        <v>0</v>
      </c>
      <c r="BX33" s="270">
        <v>0</v>
      </c>
      <c r="BY33" s="270">
        <v>0</v>
      </c>
      <c r="BZ33" s="270">
        <v>0</v>
      </c>
      <c r="CA33" s="270">
        <v>1</v>
      </c>
      <c r="CB33" s="270">
        <v>0</v>
      </c>
      <c r="CC33" s="270">
        <v>0</v>
      </c>
      <c r="CD33" s="270">
        <v>1</v>
      </c>
      <c r="CE33" s="270">
        <v>1</v>
      </c>
      <c r="CF33" s="270">
        <v>1</v>
      </c>
      <c r="CG33" s="270">
        <v>1</v>
      </c>
      <c r="CH33" s="270">
        <v>0</v>
      </c>
      <c r="CI33" s="270">
        <v>0</v>
      </c>
      <c r="CJ33" s="270">
        <v>0</v>
      </c>
      <c r="CL33" s="91" t="s">
        <v>43</v>
      </c>
      <c r="CM33" s="93">
        <f>INDEX($2:$2,COUNTA($2:$2)-11)</f>
        <v>42005</v>
      </c>
      <c r="CN33" s="93" t="s">
        <v>301</v>
      </c>
      <c r="CO33" s="94">
        <f>INDEX($23:$23,COUNTA($2:$2)-11)+INDEX($24:$24,COUNTA($2:$2)-11)</f>
        <v>2</v>
      </c>
      <c r="CP33" s="94">
        <f>INDEX($26:$26,COUNTA($2:$2)-11)</f>
        <v>3.0746625429748144</v>
      </c>
      <c r="CQ33" s="83" t="str">
        <f t="shared" si="10"/>
        <v>January</v>
      </c>
      <c r="CR33" s="91">
        <f t="shared" si="11"/>
        <v>2015</v>
      </c>
      <c r="CS33" s="94"/>
      <c r="CT33" s="97"/>
      <c r="CU33" s="97"/>
      <c r="CV33" s="94"/>
      <c r="CW33" s="97"/>
      <c r="CX33" s="97"/>
      <c r="CY33" s="97"/>
      <c r="CZ33" s="91"/>
      <c r="DC33" s="73">
        <v>42005</v>
      </c>
      <c r="DD33" s="47">
        <v>2</v>
      </c>
      <c r="DE33" s="47">
        <v>4.7349052562288403</v>
      </c>
      <c r="DG33" s="73">
        <v>42005</v>
      </c>
      <c r="DH33" s="47">
        <v>20</v>
      </c>
      <c r="DI33" s="47">
        <v>6.1623808344620095</v>
      </c>
    </row>
    <row r="34" spans="1:113" ht="15" x14ac:dyDescent="0.25">
      <c r="A34" s="266" t="s">
        <v>142</v>
      </c>
      <c r="B34" s="251">
        <v>0</v>
      </c>
      <c r="C34" s="251">
        <v>0</v>
      </c>
      <c r="D34" s="251">
        <v>0</v>
      </c>
      <c r="E34" s="251">
        <v>0</v>
      </c>
      <c r="F34" s="251">
        <v>0</v>
      </c>
      <c r="G34" s="251">
        <v>0</v>
      </c>
      <c r="H34" s="251">
        <v>0</v>
      </c>
      <c r="I34" s="251">
        <v>0</v>
      </c>
      <c r="J34" s="251">
        <v>0</v>
      </c>
      <c r="K34" s="251">
        <v>0</v>
      </c>
      <c r="L34" s="251">
        <v>0</v>
      </c>
      <c r="M34" s="251">
        <v>0</v>
      </c>
      <c r="N34" s="262">
        <v>0</v>
      </c>
      <c r="O34" s="251">
        <v>0</v>
      </c>
      <c r="P34" s="251">
        <v>0</v>
      </c>
      <c r="Q34" s="251">
        <v>1</v>
      </c>
      <c r="R34" s="251">
        <v>0</v>
      </c>
      <c r="S34" s="251">
        <v>0</v>
      </c>
      <c r="T34" s="251">
        <v>0</v>
      </c>
      <c r="U34" s="251">
        <v>0</v>
      </c>
      <c r="V34" s="251">
        <v>0</v>
      </c>
      <c r="W34" s="251">
        <v>0</v>
      </c>
      <c r="X34" s="251">
        <v>0</v>
      </c>
      <c r="Y34" s="251">
        <v>0</v>
      </c>
      <c r="Z34" s="262">
        <v>0</v>
      </c>
      <c r="AA34" s="251">
        <v>0</v>
      </c>
      <c r="AB34" s="251">
        <v>0</v>
      </c>
      <c r="AC34" s="263">
        <v>0</v>
      </c>
      <c r="AD34" s="263">
        <v>0</v>
      </c>
      <c r="AE34" s="263">
        <v>0</v>
      </c>
      <c r="AF34" s="263">
        <v>0</v>
      </c>
      <c r="AG34" s="263">
        <v>0</v>
      </c>
      <c r="AH34" s="251">
        <v>0</v>
      </c>
      <c r="AI34" s="251">
        <v>1</v>
      </c>
      <c r="AJ34" s="251">
        <v>0</v>
      </c>
      <c r="AK34" s="251">
        <v>0</v>
      </c>
      <c r="AL34" s="251">
        <v>0</v>
      </c>
      <c r="AM34" s="251">
        <v>0</v>
      </c>
      <c r="AN34" s="251">
        <v>1</v>
      </c>
      <c r="AO34" s="251">
        <v>0</v>
      </c>
      <c r="AP34" s="251">
        <v>0</v>
      </c>
      <c r="AQ34" s="251">
        <v>0</v>
      </c>
      <c r="AR34" s="251">
        <v>0</v>
      </c>
      <c r="AS34" s="251">
        <v>0</v>
      </c>
      <c r="AT34" s="251">
        <v>0</v>
      </c>
      <c r="AU34" s="251">
        <v>0</v>
      </c>
      <c r="AV34" s="251">
        <v>0</v>
      </c>
      <c r="AW34" s="251">
        <v>0</v>
      </c>
      <c r="AX34" s="251">
        <v>0</v>
      </c>
      <c r="AY34" s="251">
        <v>0</v>
      </c>
      <c r="AZ34" s="251">
        <v>0</v>
      </c>
      <c r="BA34" s="251">
        <v>0</v>
      </c>
      <c r="BB34" s="251">
        <v>0</v>
      </c>
      <c r="BC34" s="251">
        <v>0</v>
      </c>
      <c r="BD34" s="251">
        <v>0</v>
      </c>
      <c r="BE34" s="251">
        <v>1</v>
      </c>
      <c r="BF34" s="251">
        <v>0</v>
      </c>
      <c r="BG34" s="251">
        <v>0</v>
      </c>
      <c r="BH34" s="251">
        <v>1</v>
      </c>
      <c r="BI34" s="251">
        <v>0</v>
      </c>
      <c r="BJ34" s="251">
        <v>0</v>
      </c>
      <c r="BK34" s="251">
        <v>0</v>
      </c>
      <c r="BL34" s="251">
        <v>0</v>
      </c>
      <c r="BM34" s="251">
        <v>0</v>
      </c>
      <c r="BN34" s="251">
        <v>0</v>
      </c>
      <c r="BO34" s="251">
        <v>0</v>
      </c>
      <c r="BP34" s="251">
        <v>0</v>
      </c>
      <c r="BQ34" s="251">
        <v>0</v>
      </c>
      <c r="BR34" s="251">
        <v>0</v>
      </c>
      <c r="BS34" s="251">
        <v>0</v>
      </c>
      <c r="BT34" s="270">
        <v>0</v>
      </c>
      <c r="BU34" s="270">
        <v>1</v>
      </c>
      <c r="BV34" s="270">
        <v>0</v>
      </c>
      <c r="BW34" s="270">
        <v>0</v>
      </c>
      <c r="BX34" s="270">
        <v>0</v>
      </c>
      <c r="BY34" s="270">
        <v>0</v>
      </c>
      <c r="BZ34" s="270">
        <v>0</v>
      </c>
      <c r="CA34" s="270">
        <v>0</v>
      </c>
      <c r="CB34" s="270">
        <v>1</v>
      </c>
      <c r="CC34" s="270">
        <v>0</v>
      </c>
      <c r="CD34" s="270">
        <v>6</v>
      </c>
      <c r="CE34" s="270">
        <v>0</v>
      </c>
      <c r="CF34" s="270">
        <v>0</v>
      </c>
      <c r="CG34" s="270">
        <v>0</v>
      </c>
      <c r="CH34" s="270">
        <v>1</v>
      </c>
      <c r="CI34" s="270">
        <v>0</v>
      </c>
      <c r="CJ34" s="270">
        <v>0</v>
      </c>
      <c r="CL34" s="91" t="s">
        <v>43</v>
      </c>
      <c r="CM34" s="93">
        <f>INDEX($2:$2,COUNTA($2:$2)-10)</f>
        <v>42036</v>
      </c>
      <c r="CN34" s="93" t="s">
        <v>301</v>
      </c>
      <c r="CO34" s="94">
        <f>INDEX($23:$23,COUNTA($2:$2)-10)+INDEX($24:$24,COUNTA($2:$2)-10)</f>
        <v>1</v>
      </c>
      <c r="CP34" s="94">
        <f>INDEX($26:$26,COUNTA($2:$2)-10)</f>
        <v>3.0660305448182976</v>
      </c>
      <c r="CQ34" s="83" t="str">
        <f t="shared" si="10"/>
        <v>February</v>
      </c>
      <c r="CR34" s="91">
        <f t="shared" si="11"/>
        <v>2015</v>
      </c>
      <c r="CS34" s="94"/>
      <c r="CT34" s="97"/>
      <c r="CU34" s="97"/>
      <c r="CV34" s="94"/>
      <c r="CW34" s="97"/>
      <c r="CX34" s="97"/>
      <c r="CY34" s="97"/>
      <c r="CZ34" s="91"/>
      <c r="DC34" s="73">
        <v>42036</v>
      </c>
      <c r="DD34" s="47">
        <v>2</v>
      </c>
      <c r="DE34" s="47">
        <v>4.5607986205372697</v>
      </c>
      <c r="DG34" s="73">
        <v>42036</v>
      </c>
      <c r="DH34" s="47">
        <v>26</v>
      </c>
      <c r="DI34" s="47">
        <v>11.57683223700587</v>
      </c>
    </row>
    <row r="35" spans="1:113" ht="15" x14ac:dyDescent="0.25">
      <c r="A35" s="266" t="s">
        <v>143</v>
      </c>
      <c r="B35" s="265">
        <v>0</v>
      </c>
      <c r="C35" s="265">
        <v>0</v>
      </c>
      <c r="D35" s="265">
        <v>0</v>
      </c>
      <c r="E35" s="265">
        <v>0</v>
      </c>
      <c r="F35" s="265">
        <v>0</v>
      </c>
      <c r="G35" s="265">
        <v>0</v>
      </c>
      <c r="H35" s="265">
        <v>0</v>
      </c>
      <c r="I35" s="265">
        <v>0</v>
      </c>
      <c r="J35" s="265">
        <v>0</v>
      </c>
      <c r="K35" s="265">
        <v>0</v>
      </c>
      <c r="L35" s="265">
        <v>0</v>
      </c>
      <c r="M35" s="265">
        <v>0</v>
      </c>
      <c r="N35" s="262">
        <v>0</v>
      </c>
      <c r="O35" s="251">
        <v>0</v>
      </c>
      <c r="P35" s="251">
        <v>0</v>
      </c>
      <c r="Q35" s="251">
        <v>2.2028129921910278</v>
      </c>
      <c r="R35" s="251">
        <v>0</v>
      </c>
      <c r="S35" s="251">
        <v>0</v>
      </c>
      <c r="T35" s="251">
        <v>0</v>
      </c>
      <c r="U35" s="251">
        <v>0</v>
      </c>
      <c r="V35" s="251">
        <v>0</v>
      </c>
      <c r="W35" s="251">
        <v>0</v>
      </c>
      <c r="X35" s="265">
        <v>0</v>
      </c>
      <c r="Y35" s="251">
        <v>0</v>
      </c>
      <c r="Z35" s="262">
        <f t="shared" ref="Z35:BE35" si="23">SUM(Z33:Z34)/Z22*200000</f>
        <v>0</v>
      </c>
      <c r="AA35" s="251">
        <f t="shared" si="23"/>
        <v>0</v>
      </c>
      <c r="AB35" s="251">
        <f t="shared" si="23"/>
        <v>2.9219436359994555</v>
      </c>
      <c r="AC35" s="251">
        <f t="shared" si="23"/>
        <v>0</v>
      </c>
      <c r="AD35" s="251">
        <f t="shared" si="23"/>
        <v>0</v>
      </c>
      <c r="AE35" s="251">
        <f t="shared" si="23"/>
        <v>0</v>
      </c>
      <c r="AF35" s="251">
        <f t="shared" si="23"/>
        <v>0</v>
      </c>
      <c r="AG35" s="251">
        <f t="shared" si="23"/>
        <v>0</v>
      </c>
      <c r="AH35" s="251">
        <f t="shared" si="23"/>
        <v>0</v>
      </c>
      <c r="AI35" s="251">
        <f t="shared" si="23"/>
        <v>2.5272545448250292</v>
      </c>
      <c r="AJ35" s="251">
        <f t="shared" si="23"/>
        <v>0</v>
      </c>
      <c r="AK35" s="251">
        <f t="shared" si="23"/>
        <v>0</v>
      </c>
      <c r="AL35" s="251">
        <f t="shared" si="23"/>
        <v>0</v>
      </c>
      <c r="AM35" s="251">
        <f t="shared" si="23"/>
        <v>2.2861838025477925</v>
      </c>
      <c r="AN35" s="251">
        <f t="shared" si="23"/>
        <v>5.5353522885014543</v>
      </c>
      <c r="AO35" s="251">
        <f t="shared" si="23"/>
        <v>0</v>
      </c>
      <c r="AP35" s="251">
        <f t="shared" si="23"/>
        <v>0</v>
      </c>
      <c r="AQ35" s="251">
        <f t="shared" si="23"/>
        <v>0</v>
      </c>
      <c r="AR35" s="251">
        <f t="shared" si="23"/>
        <v>0</v>
      </c>
      <c r="AS35" s="251">
        <f t="shared" si="23"/>
        <v>0</v>
      </c>
      <c r="AT35" s="251">
        <f t="shared" si="23"/>
        <v>0</v>
      </c>
      <c r="AU35" s="251">
        <f t="shared" si="23"/>
        <v>0</v>
      </c>
      <c r="AV35" s="251">
        <f t="shared" si="23"/>
        <v>0</v>
      </c>
      <c r="AW35" s="251">
        <f t="shared" si="23"/>
        <v>0</v>
      </c>
      <c r="AX35" s="251">
        <f t="shared" si="23"/>
        <v>0</v>
      </c>
      <c r="AY35" s="251">
        <f t="shared" si="23"/>
        <v>0</v>
      </c>
      <c r="AZ35" s="251">
        <f t="shared" si="23"/>
        <v>0</v>
      </c>
      <c r="BA35" s="251">
        <f t="shared" si="23"/>
        <v>0</v>
      </c>
      <c r="BB35" s="251">
        <f t="shared" si="23"/>
        <v>0</v>
      </c>
      <c r="BC35" s="251">
        <f t="shared" si="23"/>
        <v>0</v>
      </c>
      <c r="BD35" s="251">
        <f t="shared" si="23"/>
        <v>0</v>
      </c>
      <c r="BE35" s="251">
        <f t="shared" si="23"/>
        <v>1.19888961241877</v>
      </c>
      <c r="BF35" s="251">
        <f t="shared" ref="BF35:CG35" si="24">SUM(BF33:BF34)/BF22*200000</f>
        <v>0</v>
      </c>
      <c r="BG35" s="251">
        <f t="shared" si="24"/>
        <v>0</v>
      </c>
      <c r="BH35" s="251">
        <f t="shared" si="24"/>
        <v>1.2359379613524673</v>
      </c>
      <c r="BI35" s="251">
        <f t="shared" si="24"/>
        <v>1.1600319797616179</v>
      </c>
      <c r="BJ35" s="251">
        <f t="shared" si="24"/>
        <v>1.2060530112158709</v>
      </c>
      <c r="BK35" s="251">
        <f t="shared" si="24"/>
        <v>1.1989853466605351</v>
      </c>
      <c r="BL35" s="251">
        <f t="shared" si="24"/>
        <v>0</v>
      </c>
      <c r="BM35" s="251">
        <f t="shared" si="24"/>
        <v>0</v>
      </c>
      <c r="BN35" s="251">
        <f t="shared" si="24"/>
        <v>0</v>
      </c>
      <c r="BO35" s="251">
        <f t="shared" si="24"/>
        <v>1.2105524095652282</v>
      </c>
      <c r="BP35" s="251">
        <f t="shared" si="24"/>
        <v>0</v>
      </c>
      <c r="BQ35" s="251">
        <f t="shared" si="24"/>
        <v>0</v>
      </c>
      <c r="BR35" s="251">
        <f t="shared" si="24"/>
        <v>0</v>
      </c>
      <c r="BS35" s="251">
        <f t="shared" si="24"/>
        <v>0</v>
      </c>
      <c r="BT35" s="251">
        <f t="shared" si="24"/>
        <v>1.2214360313491328</v>
      </c>
      <c r="BU35" s="251">
        <f t="shared" si="24"/>
        <v>1.169638728422578</v>
      </c>
      <c r="BV35" s="251">
        <f t="shared" si="24"/>
        <v>2.4683686274050012</v>
      </c>
      <c r="BW35" s="251">
        <f t="shared" si="24"/>
        <v>0</v>
      </c>
      <c r="BX35" s="251">
        <f t="shared" si="24"/>
        <v>0</v>
      </c>
      <c r="BY35" s="251">
        <f t="shared" si="24"/>
        <v>0</v>
      </c>
      <c r="BZ35" s="251">
        <f t="shared" si="24"/>
        <v>0</v>
      </c>
      <c r="CA35" s="251">
        <f t="shared" si="24"/>
        <v>1.2681018366933383</v>
      </c>
      <c r="CB35" s="251">
        <f t="shared" si="24"/>
        <v>1.1739958050781896</v>
      </c>
      <c r="CC35" s="251">
        <f t="shared" si="24"/>
        <v>0</v>
      </c>
      <c r="CD35" s="251">
        <f t="shared" si="24"/>
        <v>5.4529655816991935</v>
      </c>
      <c r="CE35" s="251">
        <f t="shared" si="24"/>
        <v>1.1355474616255929</v>
      </c>
      <c r="CF35" s="251">
        <f t="shared" si="24"/>
        <v>0.91277245230832393</v>
      </c>
      <c r="CG35" s="251">
        <f t="shared" si="24"/>
        <v>0.90169943292122656</v>
      </c>
      <c r="CH35" s="251">
        <f t="shared" ref="CH35:CJ35" si="25">SUM(CH33:CH34)/CH22*200000</f>
        <v>0.75667718478851165</v>
      </c>
      <c r="CI35" s="251">
        <f t="shared" si="25"/>
        <v>0</v>
      </c>
      <c r="CJ35" s="251">
        <f t="shared" si="25"/>
        <v>0</v>
      </c>
      <c r="CL35" s="91" t="s">
        <v>43</v>
      </c>
      <c r="CM35" s="93">
        <f>INDEX($2:$2,COUNTA($2:$2)-9)</f>
        <v>42064</v>
      </c>
      <c r="CN35" s="93" t="s">
        <v>301</v>
      </c>
      <c r="CO35" s="94">
        <f>INDEX($23:$23,COUNTA($2:$2)-9)+INDEX($24:$24,COUNTA($2:$2)-9)</f>
        <v>1</v>
      </c>
      <c r="CP35" s="94">
        <f>INDEX($26:$26,COUNTA($2:$2)-9)</f>
        <v>3.0586672774938504</v>
      </c>
      <c r="CQ35" s="83" t="str">
        <f t="shared" si="10"/>
        <v>March</v>
      </c>
      <c r="CR35" s="91">
        <f t="shared" si="11"/>
        <v>2015</v>
      </c>
      <c r="CS35" s="94"/>
      <c r="CT35" s="97"/>
      <c r="CU35" s="97"/>
      <c r="CV35" s="94"/>
      <c r="CW35" s="97"/>
      <c r="CX35" s="97"/>
      <c r="CY35" s="97"/>
      <c r="CZ35" s="91"/>
      <c r="DC35" s="73">
        <v>42064</v>
      </c>
      <c r="DD35" s="47">
        <v>4</v>
      </c>
      <c r="DE35" s="47">
        <v>4.6893041172761709</v>
      </c>
      <c r="DG35" s="73">
        <v>42064</v>
      </c>
      <c r="DH35" s="47">
        <v>12</v>
      </c>
      <c r="DI35" s="47">
        <v>4.2051247457131877</v>
      </c>
    </row>
    <row r="36" spans="1:113" ht="15" x14ac:dyDescent="0.25">
      <c r="A36" s="266" t="s">
        <v>149</v>
      </c>
      <c r="B36" s="265" t="s">
        <v>146</v>
      </c>
      <c r="C36" s="265" t="s">
        <v>146</v>
      </c>
      <c r="D36" s="265" t="s">
        <v>146</v>
      </c>
      <c r="E36" s="265" t="s">
        <v>146</v>
      </c>
      <c r="F36" s="265" t="s">
        <v>146</v>
      </c>
      <c r="G36" s="265" t="s">
        <v>146</v>
      </c>
      <c r="H36" s="265">
        <v>0</v>
      </c>
      <c r="I36" s="265">
        <v>0</v>
      </c>
      <c r="J36" s="265">
        <v>0</v>
      </c>
      <c r="K36" s="265">
        <v>0</v>
      </c>
      <c r="L36" s="265">
        <v>0</v>
      </c>
      <c r="M36" s="265">
        <v>0</v>
      </c>
      <c r="N36" s="262">
        <v>0</v>
      </c>
      <c r="O36" s="251">
        <v>0</v>
      </c>
      <c r="P36" s="251">
        <v>0</v>
      </c>
      <c r="Q36" s="251">
        <v>0.57824525694327999</v>
      </c>
      <c r="R36" s="251">
        <v>0.45862433429531313</v>
      </c>
      <c r="S36" s="251">
        <v>0.35503927479961761</v>
      </c>
      <c r="T36" s="251">
        <v>0.30563896400433377</v>
      </c>
      <c r="U36" s="251">
        <v>0.2697883699089923</v>
      </c>
      <c r="V36" s="251">
        <v>0.24155135196352082</v>
      </c>
      <c r="W36" s="251">
        <v>0.21906095360080896</v>
      </c>
      <c r="X36" s="265">
        <v>0.2004650608994312</v>
      </c>
      <c r="Y36" s="251">
        <v>0.1770402015453981</v>
      </c>
      <c r="Z36" s="262">
        <f t="shared" ref="Z36:BE36" si="26">SUM(O33:Z34)/SUM(O22:Z22)*200000</f>
        <v>0.1770411434145594</v>
      </c>
      <c r="AA36" s="251">
        <f t="shared" si="26"/>
        <v>0.177454940708001</v>
      </c>
      <c r="AB36" s="251">
        <f t="shared" si="26"/>
        <v>0.35749739880423903</v>
      </c>
      <c r="AC36" s="251">
        <f t="shared" si="26"/>
        <v>0.17960021710074245</v>
      </c>
      <c r="AD36" s="251">
        <f t="shared" si="26"/>
        <v>0.18060894255559196</v>
      </c>
      <c r="AE36" s="251">
        <f t="shared" si="26"/>
        <v>0.18158741392938169</v>
      </c>
      <c r="AF36" s="251">
        <f t="shared" si="26"/>
        <v>0.1831667637679473</v>
      </c>
      <c r="AG36" s="251">
        <f t="shared" si="26"/>
        <v>0.18403682267639893</v>
      </c>
      <c r="AH36" s="251">
        <f t="shared" si="26"/>
        <v>0.1850066469188105</v>
      </c>
      <c r="AI36" s="251">
        <f t="shared" si="26"/>
        <v>0.3720331899365506</v>
      </c>
      <c r="AJ36" s="251">
        <f t="shared" si="26"/>
        <v>0.35864979792011636</v>
      </c>
      <c r="AK36" s="251">
        <f t="shared" si="26"/>
        <v>0.37505732985697693</v>
      </c>
      <c r="AL36" s="251">
        <f t="shared" si="26"/>
        <v>0.37601309796505189</v>
      </c>
      <c r="AM36" s="251">
        <f t="shared" si="26"/>
        <v>0.56455657374379109</v>
      </c>
      <c r="AN36" s="251">
        <f t="shared" si="26"/>
        <v>0.75004955014840669</v>
      </c>
      <c r="AO36" s="251">
        <f t="shared" si="26"/>
        <v>0.74930429671783261</v>
      </c>
      <c r="AP36" s="251">
        <f t="shared" si="26"/>
        <v>0.71823082796823878</v>
      </c>
      <c r="AQ36" s="251">
        <f t="shared" si="26"/>
        <v>0.74493871179704019</v>
      </c>
      <c r="AR36" s="251">
        <f t="shared" si="26"/>
        <v>0.7392128630430298</v>
      </c>
      <c r="AS36" s="251">
        <f t="shared" si="26"/>
        <v>0.73659140540912771</v>
      </c>
      <c r="AT36" s="251">
        <f t="shared" si="26"/>
        <v>0.73316749390107738</v>
      </c>
      <c r="AU36" s="251">
        <f t="shared" si="26"/>
        <v>0.52664978245019123</v>
      </c>
      <c r="AV36" s="251">
        <f t="shared" si="26"/>
        <v>0.54562171402732851</v>
      </c>
      <c r="AW36" s="251">
        <f t="shared" si="26"/>
        <v>0.54408859619501793</v>
      </c>
      <c r="AX36" s="251">
        <f t="shared" si="26"/>
        <v>0.54285446994513376</v>
      </c>
      <c r="AY36" s="251">
        <f t="shared" si="26"/>
        <v>0.36089472515006599</v>
      </c>
      <c r="AZ36" s="251">
        <f t="shared" si="26"/>
        <v>0</v>
      </c>
      <c r="BA36" s="251">
        <f t="shared" si="26"/>
        <v>0</v>
      </c>
      <c r="BB36" s="251">
        <f t="shared" si="26"/>
        <v>0</v>
      </c>
      <c r="BC36" s="251">
        <f t="shared" si="26"/>
        <v>0</v>
      </c>
      <c r="BD36" s="251">
        <f t="shared" si="26"/>
        <v>0</v>
      </c>
      <c r="BE36" s="251">
        <f t="shared" si="26"/>
        <v>0.14640106721693166</v>
      </c>
      <c r="BF36" s="251">
        <f t="shared" ref="BF36:CJ36" si="27">SUM(AU33:BF34)/SUM(AU22:BF22)*200000</f>
        <v>0.13798370143417843</v>
      </c>
      <c r="BG36" s="251">
        <f t="shared" si="27"/>
        <v>0.13084478417100512</v>
      </c>
      <c r="BH36" s="251">
        <f t="shared" si="27"/>
        <v>0.24919793774751428</v>
      </c>
      <c r="BI36" s="251">
        <f t="shared" si="27"/>
        <v>0.35476848459104476</v>
      </c>
      <c r="BJ36" s="251">
        <f t="shared" si="27"/>
        <v>0.45199377760506088</v>
      </c>
      <c r="BK36" s="251">
        <f t="shared" si="27"/>
        <v>0.54166084448966445</v>
      </c>
      <c r="BL36" s="251">
        <f t="shared" si="27"/>
        <v>0.50297996769108189</v>
      </c>
      <c r="BM36" s="251">
        <f t="shared" si="27"/>
        <v>0.48552363223647366</v>
      </c>
      <c r="BN36" s="251">
        <f t="shared" si="27"/>
        <v>0.47639557355909473</v>
      </c>
      <c r="BO36" s="251">
        <f t="shared" si="27"/>
        <v>0.5721371523939609</v>
      </c>
      <c r="BP36" s="251">
        <f t="shared" si="27"/>
        <v>0.5744011465965928</v>
      </c>
      <c r="BQ36" s="251">
        <f t="shared" si="27"/>
        <v>0.47903441225136267</v>
      </c>
      <c r="BR36" s="251">
        <f t="shared" si="27"/>
        <v>0.47989090582450988</v>
      </c>
      <c r="BS36" s="251">
        <f t="shared" si="27"/>
        <v>0.47974418581589973</v>
      </c>
      <c r="BT36" s="251">
        <f t="shared" si="27"/>
        <v>0.47930240410896374</v>
      </c>
      <c r="BU36" s="251">
        <f t="shared" si="27"/>
        <v>0.47962793994480724</v>
      </c>
      <c r="BV36" s="251">
        <f t="shared" si="27"/>
        <v>0.57659885372436182</v>
      </c>
      <c r="BW36" s="251">
        <f t="shared" si="27"/>
        <v>0.48066984072509739</v>
      </c>
      <c r="BX36" s="251">
        <f t="shared" si="27"/>
        <v>0.48343999502172835</v>
      </c>
      <c r="BY36" s="251">
        <f t="shared" si="27"/>
        <v>0.48313169598487754</v>
      </c>
      <c r="BZ36" s="251">
        <f t="shared" si="27"/>
        <v>0.48281103398955882</v>
      </c>
      <c r="CA36" s="251">
        <f t="shared" si="27"/>
        <v>0.48456516752428158</v>
      </c>
      <c r="CB36" s="251">
        <f t="shared" si="27"/>
        <v>0.58078380094084359</v>
      </c>
      <c r="CC36" s="251">
        <f t="shared" si="27"/>
        <v>0.58021369192911931</v>
      </c>
      <c r="CD36" s="251">
        <f t="shared" si="27"/>
        <v>1.2040943152442753</v>
      </c>
      <c r="CE36" s="251">
        <f t="shared" si="27"/>
        <v>1.3155125422210816</v>
      </c>
      <c r="CF36" s="251">
        <f t="shared" si="27"/>
        <v>1.2821575766716264</v>
      </c>
      <c r="CG36" s="251">
        <f t="shared" si="27"/>
        <v>1.2530042062411453</v>
      </c>
      <c r="CH36" s="251">
        <f t="shared" si="27"/>
        <v>1.1125886066716386</v>
      </c>
      <c r="CI36" s="251">
        <f t="shared" si="27"/>
        <v>1.0057399234970736</v>
      </c>
      <c r="CJ36" s="251">
        <f t="shared" si="27"/>
        <v>0.94178810460259155</v>
      </c>
      <c r="CL36" s="91" t="s">
        <v>43</v>
      </c>
      <c r="CM36" s="93">
        <f>INDEX($2:$2,COUNTA($2:$2)-8)</f>
        <v>42095</v>
      </c>
      <c r="CN36" s="93" t="s">
        <v>301</v>
      </c>
      <c r="CO36" s="94">
        <f>INDEX($23:$23,COUNTA($2:$2)-8)+INDEX($24:$24,COUNTA($2:$2)-8)</f>
        <v>1</v>
      </c>
      <c r="CP36" s="94">
        <f>INDEX($26:$26,COUNTA($2:$2)-8)</f>
        <v>2.8918117103971914</v>
      </c>
      <c r="CQ36" s="83" t="str">
        <f t="shared" si="10"/>
        <v>April</v>
      </c>
      <c r="CR36" s="91">
        <f t="shared" si="11"/>
        <v>2015</v>
      </c>
      <c r="CS36" s="94"/>
      <c r="CT36" s="97"/>
      <c r="CU36" s="97"/>
      <c r="CV36" s="94"/>
      <c r="CW36" s="97"/>
      <c r="CX36" s="97"/>
      <c r="CY36" s="97"/>
      <c r="CZ36" s="91"/>
      <c r="DC36" s="73">
        <v>42095</v>
      </c>
      <c r="DD36" s="47">
        <v>5</v>
      </c>
      <c r="DE36" s="47">
        <v>4.6630528383081398</v>
      </c>
      <c r="DG36" s="73">
        <v>42095</v>
      </c>
      <c r="DH36" s="47">
        <v>22</v>
      </c>
      <c r="DI36" s="47">
        <v>8.389623590081877</v>
      </c>
    </row>
    <row r="37" spans="1:113" ht="15" x14ac:dyDescent="0.25">
      <c r="A37" s="266" t="s">
        <v>150</v>
      </c>
      <c r="B37" s="272"/>
      <c r="C37" s="272"/>
      <c r="D37" s="272"/>
      <c r="E37" s="272"/>
      <c r="F37" s="272"/>
      <c r="G37" s="272"/>
      <c r="H37" s="272"/>
      <c r="I37" s="272"/>
      <c r="J37" s="272"/>
      <c r="K37" s="272"/>
      <c r="L37" s="272"/>
      <c r="M37" s="272"/>
      <c r="O37" s="262"/>
      <c r="P37" s="262"/>
      <c r="Q37" s="262"/>
      <c r="R37" s="262"/>
      <c r="S37" s="262"/>
      <c r="T37" s="262"/>
      <c r="U37" s="262"/>
      <c r="V37" s="262"/>
      <c r="W37" s="262"/>
      <c r="X37" s="272"/>
      <c r="Y37" s="262"/>
      <c r="AA37" s="262"/>
      <c r="AB37" s="262"/>
      <c r="AC37" s="262"/>
      <c r="AD37" s="262"/>
      <c r="AE37" s="262"/>
      <c r="AF37" s="262"/>
      <c r="AG37" s="262"/>
      <c r="AH37" s="262"/>
      <c r="AI37" s="262"/>
      <c r="AJ37" s="262"/>
      <c r="AK37" s="262"/>
      <c r="AL37" s="262"/>
      <c r="AM37" s="262"/>
      <c r="AN37" s="262"/>
      <c r="AO37" s="262"/>
      <c r="AP37" s="262"/>
      <c r="AQ37" s="262"/>
      <c r="AR37" s="262"/>
      <c r="AS37" s="262"/>
      <c r="AT37" s="262"/>
      <c r="AU37" s="262"/>
      <c r="AV37" s="262"/>
      <c r="AW37" s="262"/>
      <c r="AX37" s="262"/>
      <c r="AY37" s="263">
        <v>1</v>
      </c>
      <c r="AZ37" s="263">
        <v>0</v>
      </c>
      <c r="BA37" s="263">
        <v>2</v>
      </c>
      <c r="BB37" s="263">
        <v>0</v>
      </c>
      <c r="BC37" s="263">
        <v>1</v>
      </c>
      <c r="BD37" s="263">
        <v>0</v>
      </c>
      <c r="BE37" s="263">
        <v>0</v>
      </c>
      <c r="BF37" s="263">
        <v>0</v>
      </c>
      <c r="BG37" s="263">
        <v>0</v>
      </c>
      <c r="BH37" s="263">
        <v>1</v>
      </c>
      <c r="BI37" s="263">
        <v>1</v>
      </c>
      <c r="BJ37" s="251">
        <v>0</v>
      </c>
      <c r="BK37" s="251">
        <v>0</v>
      </c>
      <c r="BL37" s="251">
        <v>2</v>
      </c>
      <c r="BM37" s="251">
        <v>1</v>
      </c>
      <c r="BN37" s="251">
        <v>1</v>
      </c>
      <c r="BO37" s="251">
        <v>0</v>
      </c>
      <c r="BP37" s="251">
        <v>0</v>
      </c>
      <c r="BQ37" s="251">
        <v>1</v>
      </c>
      <c r="BR37" s="251">
        <v>0</v>
      </c>
      <c r="BS37" s="251">
        <v>0</v>
      </c>
      <c r="BT37" s="270">
        <v>1</v>
      </c>
      <c r="BU37" s="270">
        <v>1</v>
      </c>
      <c r="BV37" s="270">
        <v>1</v>
      </c>
      <c r="BW37" s="270">
        <v>0</v>
      </c>
      <c r="BX37" s="270">
        <v>0</v>
      </c>
      <c r="BY37" s="270">
        <v>3</v>
      </c>
      <c r="BZ37" s="270">
        <v>0</v>
      </c>
      <c r="CA37" s="270"/>
      <c r="CB37" s="270">
        <v>1</v>
      </c>
      <c r="CC37" s="270">
        <v>1</v>
      </c>
      <c r="CD37" s="270">
        <v>0</v>
      </c>
      <c r="CE37" s="270"/>
      <c r="CF37" s="270">
        <v>1</v>
      </c>
      <c r="CG37" s="270">
        <v>1</v>
      </c>
      <c r="CH37" s="270">
        <v>0</v>
      </c>
      <c r="CI37" s="270">
        <v>2</v>
      </c>
      <c r="CJ37" s="270">
        <v>0</v>
      </c>
      <c r="CL37" s="91" t="s">
        <v>43</v>
      </c>
      <c r="CM37" s="93">
        <f>INDEX($2:$2,COUNTA($2:$2)-7)</f>
        <v>42125</v>
      </c>
      <c r="CN37" s="93" t="s">
        <v>301</v>
      </c>
      <c r="CO37" s="94">
        <f>INDEX($23:$23,COUNTA($2:$2)-7)+INDEX($24:$24,COUNTA($2:$2)-7)</f>
        <v>0</v>
      </c>
      <c r="CP37" s="94">
        <f>INDEX($26:$26,COUNTA($2:$2)-7)</f>
        <v>2.731537184501053</v>
      </c>
      <c r="CQ37" s="83" t="str">
        <f t="shared" si="10"/>
        <v>May</v>
      </c>
      <c r="CR37" s="91">
        <f t="shared" si="11"/>
        <v>2015</v>
      </c>
      <c r="CS37" s="94"/>
      <c r="CT37" s="97"/>
      <c r="CU37" s="97"/>
      <c r="CV37" s="94"/>
      <c r="CW37" s="97"/>
      <c r="CX37" s="97"/>
      <c r="CY37" s="97"/>
      <c r="CZ37" s="91"/>
      <c r="DC37" s="73">
        <v>42125</v>
      </c>
      <c r="DD37" s="47">
        <v>2</v>
      </c>
      <c r="DE37" s="47">
        <v>4.5000832543187919</v>
      </c>
      <c r="DG37" s="73">
        <v>42125</v>
      </c>
      <c r="DH37" s="47">
        <v>24</v>
      </c>
      <c r="DI37" s="47">
        <v>8.370908684785439</v>
      </c>
    </row>
    <row r="38" spans="1:113" ht="15" x14ac:dyDescent="0.25">
      <c r="A38" s="266" t="s">
        <v>151</v>
      </c>
      <c r="B38" s="272"/>
      <c r="C38" s="272"/>
      <c r="D38" s="272"/>
      <c r="E38" s="272"/>
      <c r="F38" s="272"/>
      <c r="G38" s="272"/>
      <c r="H38" s="272"/>
      <c r="I38" s="272"/>
      <c r="J38" s="272"/>
      <c r="K38" s="272"/>
      <c r="L38" s="272"/>
      <c r="M38" s="272"/>
      <c r="O38" s="262"/>
      <c r="P38" s="262"/>
      <c r="Q38" s="262"/>
      <c r="R38" s="262"/>
      <c r="S38" s="262"/>
      <c r="T38" s="262"/>
      <c r="U38" s="262"/>
      <c r="V38" s="262"/>
      <c r="W38" s="262"/>
      <c r="X38" s="272"/>
      <c r="Y38" s="262"/>
      <c r="AA38" s="262"/>
      <c r="AB38" s="262"/>
      <c r="AC38" s="262"/>
      <c r="AD38" s="262"/>
      <c r="AE38" s="262"/>
      <c r="AF38" s="262"/>
      <c r="AG38" s="262"/>
      <c r="AH38" s="262"/>
      <c r="AI38" s="262"/>
      <c r="AJ38" s="262"/>
      <c r="AK38" s="262"/>
      <c r="AL38" s="262"/>
      <c r="AM38" s="262"/>
      <c r="AN38" s="262"/>
      <c r="AO38" s="262"/>
      <c r="AP38" s="262"/>
      <c r="AQ38" s="262"/>
      <c r="AR38" s="262"/>
      <c r="AS38" s="262"/>
      <c r="AT38" s="262"/>
      <c r="AU38" s="262"/>
      <c r="AV38" s="262"/>
      <c r="AW38" s="262"/>
      <c r="AX38" s="262"/>
      <c r="AY38" s="251">
        <f t="shared" ref="AY38:CJ38" si="28">AY37/AY22*200000</f>
        <v>2.2082394049501439</v>
      </c>
      <c r="AZ38" s="251">
        <f t="shared" si="28"/>
        <v>0</v>
      </c>
      <c r="BA38" s="251">
        <f t="shared" si="28"/>
        <v>4.5460336481499519</v>
      </c>
      <c r="BB38" s="251">
        <f t="shared" si="28"/>
        <v>0</v>
      </c>
      <c r="BC38" s="251">
        <f t="shared" si="28"/>
        <v>1.1982466057418182</v>
      </c>
      <c r="BD38" s="251">
        <f t="shared" si="28"/>
        <v>0</v>
      </c>
      <c r="BE38" s="251">
        <f t="shared" si="28"/>
        <v>0</v>
      </c>
      <c r="BF38" s="251">
        <f t="shared" si="28"/>
        <v>0</v>
      </c>
      <c r="BG38" s="251">
        <f t="shared" si="28"/>
        <v>0</v>
      </c>
      <c r="BH38" s="251">
        <f t="shared" si="28"/>
        <v>1.2359379613524673</v>
      </c>
      <c r="BI38" s="251">
        <f t="shared" si="28"/>
        <v>1.1600319797616179</v>
      </c>
      <c r="BJ38" s="251">
        <f t="shared" si="28"/>
        <v>0</v>
      </c>
      <c r="BK38" s="251">
        <f t="shared" si="28"/>
        <v>0</v>
      </c>
      <c r="BL38" s="251">
        <f t="shared" si="28"/>
        <v>1.846394388733597</v>
      </c>
      <c r="BM38" s="251">
        <f t="shared" si="28"/>
        <v>1.2541542291146637</v>
      </c>
      <c r="BN38" s="251">
        <f t="shared" si="28"/>
        <v>1.1728887928423288</v>
      </c>
      <c r="BO38" s="251">
        <f t="shared" si="28"/>
        <v>0</v>
      </c>
      <c r="BP38" s="251">
        <f t="shared" si="28"/>
        <v>0</v>
      </c>
      <c r="BQ38" s="251">
        <f t="shared" si="28"/>
        <v>1.2104968720458205</v>
      </c>
      <c r="BR38" s="251">
        <f t="shared" si="28"/>
        <v>0</v>
      </c>
      <c r="BS38" s="251">
        <f t="shared" si="28"/>
        <v>0</v>
      </c>
      <c r="BT38" s="251">
        <f t="shared" si="28"/>
        <v>1.2214360313491328</v>
      </c>
      <c r="BU38" s="251">
        <f t="shared" si="28"/>
        <v>1.169638728422578</v>
      </c>
      <c r="BV38" s="251">
        <f t="shared" si="28"/>
        <v>1.2341843137025006</v>
      </c>
      <c r="BW38" s="251">
        <f t="shared" si="28"/>
        <v>0</v>
      </c>
      <c r="BX38" s="251">
        <f t="shared" si="28"/>
        <v>0</v>
      </c>
      <c r="BY38" s="251">
        <f t="shared" si="28"/>
        <v>3.7315755788031333</v>
      </c>
      <c r="BZ38" s="251">
        <f t="shared" si="28"/>
        <v>0</v>
      </c>
      <c r="CA38" s="251">
        <f t="shared" si="28"/>
        <v>0</v>
      </c>
      <c r="CB38" s="251">
        <f t="shared" si="28"/>
        <v>1.1739958050781896</v>
      </c>
      <c r="CC38" s="251">
        <f t="shared" si="28"/>
        <v>1.1958032090574917</v>
      </c>
      <c r="CD38" s="251">
        <f t="shared" si="28"/>
        <v>0</v>
      </c>
      <c r="CE38" s="251">
        <f t="shared" si="28"/>
        <v>0</v>
      </c>
      <c r="CF38" s="251">
        <f t="shared" si="28"/>
        <v>0.91277245230832393</v>
      </c>
      <c r="CG38" s="251">
        <f t="shared" si="28"/>
        <v>0.90169943292122656</v>
      </c>
      <c r="CH38" s="251">
        <f t="shared" si="28"/>
        <v>0</v>
      </c>
      <c r="CI38" s="251">
        <f t="shared" si="28"/>
        <v>0.96539760364903882</v>
      </c>
      <c r="CJ38" s="251">
        <f t="shared" si="28"/>
        <v>0</v>
      </c>
      <c r="CL38" s="91" t="s">
        <v>43</v>
      </c>
      <c r="CM38" s="93">
        <f>INDEX($2:$2,COUNTA($2:$2)-6)</f>
        <v>42156</v>
      </c>
      <c r="CN38" s="93" t="s">
        <v>301</v>
      </c>
      <c r="CO38" s="94">
        <f>INDEX($23:$23,COUNTA($2:$2)-6)+INDEX($24:$24,COUNTA($2:$2)-6)</f>
        <v>2</v>
      </c>
      <c r="CP38" s="94">
        <f>INDEX($26:$26,COUNTA($2:$2)-6)</f>
        <v>3.0543399314051811</v>
      </c>
      <c r="CQ38" s="83" t="str">
        <f t="shared" si="10"/>
        <v>June</v>
      </c>
      <c r="CR38" s="91">
        <f t="shared" si="11"/>
        <v>2015</v>
      </c>
      <c r="CS38" s="94"/>
      <c r="CT38" s="97"/>
      <c r="CU38" s="97"/>
      <c r="CV38" s="94"/>
      <c r="CW38" s="97"/>
      <c r="CX38" s="97"/>
      <c r="CY38" s="97"/>
      <c r="CZ38" s="91"/>
      <c r="DC38" s="73">
        <v>42156</v>
      </c>
      <c r="DD38" s="47">
        <v>3</v>
      </c>
      <c r="DE38" s="47">
        <v>4.7309080026599339</v>
      </c>
      <c r="DG38" s="73">
        <v>42156</v>
      </c>
      <c r="DH38" s="47">
        <v>20</v>
      </c>
      <c r="DI38" s="47">
        <v>8.2917221218532937</v>
      </c>
    </row>
    <row r="39" spans="1:113" ht="15" x14ac:dyDescent="0.25">
      <c r="A39" s="266" t="s">
        <v>152</v>
      </c>
      <c r="B39" s="272"/>
      <c r="C39" s="272"/>
      <c r="D39" s="272"/>
      <c r="E39" s="272"/>
      <c r="F39" s="272"/>
      <c r="G39" s="272"/>
      <c r="H39" s="272"/>
      <c r="I39" s="272"/>
      <c r="J39" s="272"/>
      <c r="K39" s="272"/>
      <c r="L39" s="272"/>
      <c r="M39" s="272"/>
      <c r="O39" s="262"/>
      <c r="P39" s="262"/>
      <c r="Q39" s="262"/>
      <c r="R39" s="262"/>
      <c r="S39" s="262"/>
      <c r="T39" s="262"/>
      <c r="U39" s="262"/>
      <c r="V39" s="262"/>
      <c r="W39" s="262"/>
      <c r="X39" s="272"/>
      <c r="Y39" s="262"/>
      <c r="AA39" s="262"/>
      <c r="AB39" s="262"/>
      <c r="AC39" s="262"/>
      <c r="AD39" s="262"/>
      <c r="AE39" s="262"/>
      <c r="AF39" s="262"/>
      <c r="AG39" s="262"/>
      <c r="AH39" s="262"/>
      <c r="AI39" s="262"/>
      <c r="AJ39" s="262"/>
      <c r="AK39" s="262"/>
      <c r="AL39" s="262"/>
      <c r="AM39" s="262"/>
      <c r="AN39" s="262"/>
      <c r="AO39" s="262"/>
      <c r="AP39" s="262"/>
      <c r="AQ39" s="262"/>
      <c r="AR39" s="262"/>
      <c r="AS39" s="262"/>
      <c r="AT39" s="262"/>
      <c r="AU39" s="262"/>
      <c r="AV39" s="262"/>
      <c r="AW39" s="262"/>
      <c r="AX39" s="262"/>
      <c r="AY39" s="262"/>
      <c r="AZ39" s="262"/>
      <c r="BA39" s="262"/>
      <c r="BB39" s="262"/>
      <c r="BC39" s="262"/>
      <c r="BD39" s="262"/>
      <c r="BE39" s="262"/>
      <c r="BF39" s="262"/>
      <c r="BG39" s="262"/>
      <c r="BH39" s="262"/>
      <c r="BI39" s="262"/>
      <c r="BJ39" s="251">
        <f t="shared" ref="BJ39:CJ39" si="29">SUM(AY37:BJ37)/SUM(AY22:BJ22)*200000</f>
        <v>0.67799066640759131</v>
      </c>
      <c r="BK39" s="251">
        <f t="shared" si="29"/>
        <v>0.54166084448966445</v>
      </c>
      <c r="BL39" s="251">
        <f t="shared" si="29"/>
        <v>0.7041719547675146</v>
      </c>
      <c r="BM39" s="251">
        <f t="shared" si="29"/>
        <v>0.58262835868376839</v>
      </c>
      <c r="BN39" s="251">
        <f t="shared" si="29"/>
        <v>0.66695380298273266</v>
      </c>
      <c r="BO39" s="251">
        <f t="shared" si="29"/>
        <v>0.5721371523939609</v>
      </c>
      <c r="BP39" s="251">
        <f t="shared" si="29"/>
        <v>0.5744011465965928</v>
      </c>
      <c r="BQ39" s="251">
        <f t="shared" si="29"/>
        <v>0.67064817715190772</v>
      </c>
      <c r="BR39" s="251">
        <f t="shared" si="29"/>
        <v>0.67184726815431384</v>
      </c>
      <c r="BS39" s="251">
        <f t="shared" si="29"/>
        <v>0.67164186014225968</v>
      </c>
      <c r="BT39" s="251">
        <f t="shared" si="29"/>
        <v>0.67102336575254917</v>
      </c>
      <c r="BU39" s="251">
        <f t="shared" si="29"/>
        <v>0.67147911592273002</v>
      </c>
      <c r="BV39" s="251">
        <f t="shared" si="29"/>
        <v>0.76879847163248238</v>
      </c>
      <c r="BW39" s="251">
        <f t="shared" si="29"/>
        <v>0.76907174516015597</v>
      </c>
      <c r="BX39" s="251">
        <f t="shared" si="29"/>
        <v>0.58012799402607396</v>
      </c>
      <c r="BY39" s="251">
        <f t="shared" si="29"/>
        <v>0.77301071357580398</v>
      </c>
      <c r="BZ39" s="251">
        <f t="shared" si="29"/>
        <v>0.67593544758538227</v>
      </c>
      <c r="CA39" s="251">
        <f t="shared" si="29"/>
        <v>0.67839123453399419</v>
      </c>
      <c r="CB39" s="251">
        <f t="shared" si="29"/>
        <v>0.77437840125445812</v>
      </c>
      <c r="CC39" s="251">
        <f t="shared" si="29"/>
        <v>0.77361825590549227</v>
      </c>
      <c r="CD39" s="251">
        <f t="shared" si="29"/>
        <v>0.74098111707340031</v>
      </c>
      <c r="CE39" s="251">
        <f t="shared" si="29"/>
        <v>0.75172145269776092</v>
      </c>
      <c r="CF39" s="251">
        <f t="shared" si="29"/>
        <v>0.73266147238378665</v>
      </c>
      <c r="CG39" s="251">
        <f t="shared" si="29"/>
        <v>0.71600240356636868</v>
      </c>
      <c r="CH39" s="251">
        <f t="shared" si="29"/>
        <v>0.5990861728231901</v>
      </c>
      <c r="CI39" s="251">
        <f t="shared" si="29"/>
        <v>0.69628148549797408</v>
      </c>
      <c r="CJ39" s="251">
        <f t="shared" si="29"/>
        <v>0.65200714934025572</v>
      </c>
      <c r="CL39" s="91" t="s">
        <v>43</v>
      </c>
      <c r="CM39" s="93">
        <f>INDEX($2:$2,COUNTA($2:$2)-5)</f>
        <v>42186</v>
      </c>
      <c r="CN39" s="93" t="s">
        <v>301</v>
      </c>
      <c r="CO39" s="94">
        <f>INDEX($23:$23,COUNTA($2:$2)-5)+INDEX($24:$24,COUNTA($2:$2)-5)</f>
        <v>4</v>
      </c>
      <c r="CP39" s="94">
        <f>INDEX($26:$26,COUNTA($2:$2)-5)</f>
        <v>3.5691343302624237</v>
      </c>
      <c r="CQ39" s="83" t="str">
        <f t="shared" si="10"/>
        <v>July</v>
      </c>
      <c r="CR39" s="91">
        <f t="shared" si="11"/>
        <v>2015</v>
      </c>
      <c r="CS39" s="94"/>
      <c r="CT39" s="97"/>
      <c r="CU39" s="97"/>
      <c r="CV39" s="94"/>
      <c r="CW39" s="97"/>
      <c r="CX39" s="97"/>
      <c r="CY39" s="97"/>
      <c r="CZ39" s="91"/>
      <c r="DC39" s="73">
        <v>42186</v>
      </c>
      <c r="DD39" s="47">
        <v>7</v>
      </c>
      <c r="DE39" s="47">
        <v>5.3953356625676054</v>
      </c>
      <c r="DG39" s="73">
        <v>42186</v>
      </c>
      <c r="DH39" s="47">
        <v>36</v>
      </c>
      <c r="DI39" s="47">
        <v>11.221147782197109</v>
      </c>
    </row>
    <row r="40" spans="1:113" ht="15" x14ac:dyDescent="0.25">
      <c r="A40" s="273" t="s">
        <v>42</v>
      </c>
      <c r="B40" s="274"/>
      <c r="C40" s="274"/>
      <c r="D40" s="274"/>
      <c r="E40" s="274"/>
      <c r="F40" s="274"/>
      <c r="G40" s="274"/>
      <c r="H40" s="274"/>
      <c r="I40" s="274"/>
      <c r="J40" s="274"/>
      <c r="K40" s="274"/>
      <c r="L40" s="274"/>
      <c r="M40" s="274"/>
      <c r="N40" s="258"/>
      <c r="O40" s="259"/>
      <c r="P40" s="259"/>
      <c r="Q40" s="259"/>
      <c r="R40" s="259"/>
      <c r="S40" s="259"/>
      <c r="T40" s="259"/>
      <c r="U40" s="259"/>
      <c r="V40" s="259"/>
      <c r="W40" s="259"/>
      <c r="X40" s="259"/>
      <c r="Y40" s="259"/>
      <c r="Z40" s="259"/>
      <c r="AA40" s="259"/>
      <c r="AB40" s="259"/>
      <c r="AC40" s="259"/>
      <c r="AD40" s="259"/>
      <c r="AE40" s="259"/>
      <c r="AF40" s="259"/>
      <c r="AG40" s="259"/>
      <c r="AH40" s="259"/>
      <c r="AI40" s="259"/>
      <c r="AJ40" s="259"/>
      <c r="AK40" s="259"/>
      <c r="AL40" s="259"/>
      <c r="AM40" s="259"/>
      <c r="AN40" s="259"/>
      <c r="AO40" s="259"/>
      <c r="AP40" s="259"/>
      <c r="AQ40" s="259"/>
      <c r="AR40" s="259"/>
      <c r="AS40" s="259"/>
      <c r="AT40" s="259"/>
      <c r="AU40" s="259"/>
      <c r="AV40" s="259"/>
      <c r="AW40" s="259"/>
      <c r="AX40" s="259"/>
      <c r="AY40" s="259"/>
      <c r="AZ40" s="259"/>
      <c r="BA40" s="259"/>
      <c r="BB40" s="259"/>
      <c r="BC40" s="259"/>
      <c r="BD40" s="259"/>
      <c r="BE40" s="259"/>
      <c r="BF40" s="259"/>
      <c r="BG40" s="259"/>
      <c r="BH40" s="259"/>
      <c r="BI40" s="259"/>
      <c r="BJ40" s="259"/>
      <c r="BK40" s="259"/>
      <c r="BL40" s="259"/>
      <c r="BM40" s="259"/>
      <c r="BN40" s="259"/>
      <c r="BO40" s="259"/>
      <c r="BP40" s="259"/>
      <c r="BQ40" s="259"/>
      <c r="BR40" s="259"/>
      <c r="BS40" s="259"/>
      <c r="BT40" s="259"/>
      <c r="BU40" s="259"/>
      <c r="BV40" s="259"/>
      <c r="BW40" s="259"/>
      <c r="BX40" s="259"/>
      <c r="BY40" s="259"/>
      <c r="BZ40" s="259"/>
      <c r="CA40" s="259"/>
      <c r="CB40" s="259"/>
      <c r="CC40" s="259"/>
      <c r="CD40" s="259"/>
      <c r="CE40" s="259"/>
      <c r="CF40" s="259"/>
      <c r="CG40" s="259"/>
      <c r="CH40" s="259"/>
      <c r="CI40" s="259"/>
      <c r="CJ40" s="259"/>
      <c r="CL40" s="91" t="s">
        <v>43</v>
      </c>
      <c r="CM40" s="93">
        <f>INDEX($2:$2,COUNTA($2:$2)-4)</f>
        <v>42217</v>
      </c>
      <c r="CN40" s="93" t="s">
        <v>301</v>
      </c>
      <c r="CO40" s="94">
        <f>INDEX($23:$23,COUNTA($2:$2)-4)+INDEX($24:$24,COUNTA($2:$2)-4)</f>
        <v>2</v>
      </c>
      <c r="CP40" s="94">
        <f>INDEX($26:$26,COUNTA($2:$2)-4)</f>
        <v>3.9124358303821851</v>
      </c>
      <c r="CQ40" s="83" t="str">
        <f t="shared" si="10"/>
        <v>August</v>
      </c>
      <c r="CR40" s="91">
        <f t="shared" si="11"/>
        <v>2015</v>
      </c>
      <c r="CS40" s="94"/>
      <c r="CT40" s="97"/>
      <c r="CU40" s="97"/>
      <c r="CV40" s="94"/>
      <c r="CW40" s="97"/>
      <c r="CX40" s="97"/>
      <c r="CY40" s="97"/>
      <c r="CZ40" s="91"/>
      <c r="DC40" s="73">
        <v>42217</v>
      </c>
      <c r="DD40" s="47">
        <v>3</v>
      </c>
      <c r="DE40" s="47">
        <v>5.5778163690782865</v>
      </c>
      <c r="DG40" s="73">
        <v>42217</v>
      </c>
      <c r="DH40" s="47">
        <v>22</v>
      </c>
      <c r="DI40" s="47">
        <v>7.8408005894649628</v>
      </c>
    </row>
    <row r="41" spans="1:113" ht="15" x14ac:dyDescent="0.25">
      <c r="A41" s="273" t="s">
        <v>131</v>
      </c>
      <c r="B41" s="275">
        <v>607815</v>
      </c>
      <c r="C41" s="275">
        <v>554803</v>
      </c>
      <c r="D41" s="275">
        <v>625988</v>
      </c>
      <c r="E41" s="275">
        <v>588471</v>
      </c>
      <c r="F41" s="275">
        <v>672450</v>
      </c>
      <c r="G41" s="275">
        <v>664508</v>
      </c>
      <c r="H41" s="275">
        <v>632410</v>
      </c>
      <c r="I41" s="275">
        <v>683554</v>
      </c>
      <c r="J41" s="275">
        <v>645119</v>
      </c>
      <c r="K41" s="275">
        <v>600445</v>
      </c>
      <c r="L41" s="275">
        <v>670461</v>
      </c>
      <c r="M41" s="275">
        <v>673900</v>
      </c>
      <c r="N41" s="262">
        <v>652062</v>
      </c>
      <c r="O41" s="251">
        <v>570566</v>
      </c>
      <c r="P41" s="251">
        <v>627904</v>
      </c>
      <c r="Q41" s="251">
        <v>591665</v>
      </c>
      <c r="R41" s="251">
        <v>711691</v>
      </c>
      <c r="S41" s="251">
        <v>667393</v>
      </c>
      <c r="T41" s="251">
        <v>638896</v>
      </c>
      <c r="U41" s="251">
        <v>677037</v>
      </c>
      <c r="V41" s="251">
        <v>602760</v>
      </c>
      <c r="W41" s="251">
        <v>617503</v>
      </c>
      <c r="X41" s="251">
        <v>635003</v>
      </c>
      <c r="Y41" s="251">
        <v>624067</v>
      </c>
      <c r="Z41" s="262">
        <v>691996</v>
      </c>
      <c r="AA41" s="263">
        <v>561319</v>
      </c>
      <c r="AB41" s="263">
        <v>623113</v>
      </c>
      <c r="AC41" s="263">
        <v>562888</v>
      </c>
      <c r="AD41" s="263">
        <v>684852</v>
      </c>
      <c r="AE41" s="263">
        <v>618872</v>
      </c>
      <c r="AF41" s="263">
        <v>658219</v>
      </c>
      <c r="AG41" s="263">
        <v>677037</v>
      </c>
      <c r="AH41" s="276">
        <v>602760</v>
      </c>
      <c r="AI41" s="276">
        <v>617503</v>
      </c>
      <c r="AJ41" s="276">
        <v>676948</v>
      </c>
      <c r="AK41" s="276">
        <v>668186</v>
      </c>
      <c r="AL41" s="133">
        <v>711069</v>
      </c>
      <c r="AM41" s="133">
        <v>589591</v>
      </c>
      <c r="AN41" s="133">
        <v>681703</v>
      </c>
      <c r="AO41" s="133">
        <v>646629</v>
      </c>
      <c r="AP41" s="133">
        <v>695501</v>
      </c>
      <c r="AQ41" s="133">
        <v>666046</v>
      </c>
      <c r="AR41" s="133">
        <v>715502</v>
      </c>
      <c r="AS41" s="133">
        <v>653599</v>
      </c>
      <c r="AT41" s="133">
        <v>630320</v>
      </c>
      <c r="AU41" s="133">
        <v>643342</v>
      </c>
      <c r="AV41" s="133">
        <v>619214</v>
      </c>
      <c r="AW41" s="133">
        <v>706838</v>
      </c>
      <c r="AX41" s="133">
        <v>688985</v>
      </c>
      <c r="AY41" s="133">
        <v>527448</v>
      </c>
      <c r="AZ41" s="133">
        <v>672191</v>
      </c>
      <c r="BA41" s="133">
        <v>570152</v>
      </c>
      <c r="BB41" s="133">
        <v>614511</v>
      </c>
      <c r="BC41" s="133">
        <v>700068</v>
      </c>
      <c r="BD41" s="133">
        <v>677100</v>
      </c>
      <c r="BE41" s="133">
        <v>611495</v>
      </c>
      <c r="BF41" s="133">
        <v>636020</v>
      </c>
      <c r="BG41" s="133">
        <v>600805</v>
      </c>
      <c r="BH41" s="133">
        <v>627805</v>
      </c>
      <c r="BI41" s="133">
        <v>690757</v>
      </c>
      <c r="BJ41" s="133">
        <v>642353</v>
      </c>
      <c r="BK41" s="133">
        <v>528070</v>
      </c>
      <c r="BL41" s="133">
        <f t="shared" ref="BL41:CJ41" si="30">IF(BL92=0,BL90,SUM(BL90,BL92))</f>
        <v>1038638</v>
      </c>
      <c r="BM41" s="133">
        <f t="shared" si="30"/>
        <v>908463</v>
      </c>
      <c r="BN41" s="133">
        <f t="shared" si="30"/>
        <v>1008932</v>
      </c>
      <c r="BO41" s="133">
        <f t="shared" si="30"/>
        <v>1077308</v>
      </c>
      <c r="BP41" s="133">
        <f t="shared" si="30"/>
        <v>1097370</v>
      </c>
      <c r="BQ41" s="133">
        <f t="shared" si="30"/>
        <v>1072002</v>
      </c>
      <c r="BR41" s="133">
        <f t="shared" si="30"/>
        <v>1096779</v>
      </c>
      <c r="BS41" s="133">
        <f t="shared" si="30"/>
        <v>972880</v>
      </c>
      <c r="BT41" s="133">
        <f t="shared" si="30"/>
        <v>1110169</v>
      </c>
      <c r="BU41" s="133">
        <f t="shared" si="30"/>
        <v>1144210</v>
      </c>
      <c r="BV41" s="133">
        <f t="shared" si="30"/>
        <v>1068849</v>
      </c>
      <c r="BW41" s="133">
        <f t="shared" si="30"/>
        <v>986910</v>
      </c>
      <c r="BX41" s="133">
        <f t="shared" si="30"/>
        <v>1104881</v>
      </c>
      <c r="BY41" s="133">
        <f t="shared" si="30"/>
        <v>970712</v>
      </c>
      <c r="BZ41" s="133">
        <f t="shared" si="30"/>
        <v>1176334</v>
      </c>
      <c r="CA41" s="133">
        <f t="shared" si="30"/>
        <v>1184149</v>
      </c>
      <c r="CB41" s="251">
        <f t="shared" si="30"/>
        <v>1117158</v>
      </c>
      <c r="CC41" s="251">
        <f t="shared" si="30"/>
        <v>1189013</v>
      </c>
      <c r="CD41" s="251">
        <f t="shared" si="30"/>
        <v>1116769</v>
      </c>
      <c r="CE41" s="251">
        <f t="shared" si="30"/>
        <v>1041040</v>
      </c>
      <c r="CF41" s="251">
        <f t="shared" si="30"/>
        <v>1144070</v>
      </c>
      <c r="CG41" s="251">
        <f t="shared" si="30"/>
        <v>1165464</v>
      </c>
      <c r="CH41" s="251">
        <f t="shared" si="30"/>
        <v>1164193</v>
      </c>
      <c r="CI41" s="251">
        <f t="shared" si="30"/>
        <v>1024767</v>
      </c>
      <c r="CJ41" s="251">
        <f t="shared" si="30"/>
        <v>1024767</v>
      </c>
      <c r="CL41" s="91" t="s">
        <v>43</v>
      </c>
      <c r="CM41" s="93">
        <f>INDEX($2:$2,COUNTA($2:$2)-3)</f>
        <v>42262</v>
      </c>
      <c r="CN41" s="93" t="s">
        <v>301</v>
      </c>
      <c r="CO41" s="94">
        <f>INDEX($23:$23,COUNTA($2:$2)-3)+INDEX($24:$24,COUNTA($2:$2)-3)</f>
        <v>2</v>
      </c>
      <c r="CP41" s="94">
        <f>INDEX($26:$26,COUNTA($2:$2)-3)</f>
        <v>4.0801229613056442</v>
      </c>
      <c r="CQ41" s="83" t="str">
        <f t="shared" si="10"/>
        <v>September</v>
      </c>
      <c r="CR41" s="91">
        <f t="shared" si="11"/>
        <v>2015</v>
      </c>
      <c r="CS41" s="94"/>
      <c r="CT41" s="97"/>
      <c r="CU41" s="97"/>
      <c r="CV41" s="94"/>
      <c r="CW41" s="97"/>
      <c r="CX41" s="97"/>
      <c r="CY41" s="97"/>
      <c r="CZ41" s="91"/>
      <c r="DC41" s="73">
        <v>42262</v>
      </c>
      <c r="DD41" s="47">
        <v>2</v>
      </c>
      <c r="DE41" s="47">
        <v>5.5902299184061484</v>
      </c>
      <c r="DG41" s="73">
        <v>42262</v>
      </c>
      <c r="DH41" s="47">
        <v>28</v>
      </c>
      <c r="DI41" s="47">
        <v>10.987304349626747</v>
      </c>
    </row>
    <row r="42" spans="1:113" ht="15" x14ac:dyDescent="0.25">
      <c r="A42" s="273" t="s">
        <v>132</v>
      </c>
      <c r="B42" s="275">
        <v>228256</v>
      </c>
      <c r="C42" s="275">
        <v>227425</v>
      </c>
      <c r="D42" s="275">
        <v>185995</v>
      </c>
      <c r="E42" s="275">
        <v>226830</v>
      </c>
      <c r="F42" s="275">
        <v>216743</v>
      </c>
      <c r="G42" s="275">
        <v>225161</v>
      </c>
      <c r="H42" s="275">
        <v>332212</v>
      </c>
      <c r="I42" s="275">
        <v>219757</v>
      </c>
      <c r="J42" s="275">
        <v>215766</v>
      </c>
      <c r="K42" s="275">
        <v>215681</v>
      </c>
      <c r="L42" s="275">
        <v>221791</v>
      </c>
      <c r="M42" s="275">
        <v>329240.31</v>
      </c>
      <c r="N42" s="262">
        <v>232721.7</v>
      </c>
      <c r="O42" s="251">
        <v>229263</v>
      </c>
      <c r="P42" s="251">
        <v>188975</v>
      </c>
      <c r="Q42" s="251">
        <v>236524</v>
      </c>
      <c r="R42" s="251">
        <v>210549.8</v>
      </c>
      <c r="S42" s="251">
        <v>330337.95</v>
      </c>
      <c r="T42" s="251">
        <v>227488.5</v>
      </c>
      <c r="U42" s="251">
        <v>232083</v>
      </c>
      <c r="V42" s="251">
        <v>208497</v>
      </c>
      <c r="W42" s="251">
        <v>208346.85</v>
      </c>
      <c r="X42" s="251">
        <v>217925.15</v>
      </c>
      <c r="Y42" s="251">
        <v>309401.63</v>
      </c>
      <c r="Z42" s="262">
        <v>217397.25</v>
      </c>
      <c r="AA42" s="277">
        <v>217157.25</v>
      </c>
      <c r="AB42" s="278">
        <f>[2]Data!CJ7</f>
        <v>185943.2</v>
      </c>
      <c r="AC42" s="278">
        <v>217411.78</v>
      </c>
      <c r="AD42" s="278">
        <v>209524.08</v>
      </c>
      <c r="AE42" s="278">
        <v>323512.46999999997</v>
      </c>
      <c r="AF42" s="278">
        <v>208432.61</v>
      </c>
      <c r="AG42" s="278">
        <v>215012.23000000004</v>
      </c>
      <c r="AH42" s="278">
        <v>215125.13</v>
      </c>
      <c r="AI42" s="278">
        <v>212440.41999999998</v>
      </c>
      <c r="AJ42" s="161">
        <v>327046.88</v>
      </c>
      <c r="AK42" s="161">
        <v>221765.23</v>
      </c>
      <c r="AL42" s="161">
        <v>232096.69</v>
      </c>
      <c r="AM42" s="251">
        <v>232613.03999999995</v>
      </c>
      <c r="AN42" s="162">
        <v>196228.03</v>
      </c>
      <c r="AO42" s="162">
        <v>233615.13</v>
      </c>
      <c r="AP42" s="162">
        <v>336313.67</v>
      </c>
      <c r="AQ42" s="162">
        <v>223042.15</v>
      </c>
      <c r="AR42" s="162">
        <v>233310.09</v>
      </c>
      <c r="AS42" s="162">
        <v>223705.13</v>
      </c>
      <c r="AT42" s="162">
        <v>218678.55000000002</v>
      </c>
      <c r="AU42" s="162">
        <v>332445.98</v>
      </c>
      <c r="AV42" s="162">
        <v>219160.33</v>
      </c>
      <c r="AW42" s="162">
        <v>225523.94</v>
      </c>
      <c r="AX42" s="162">
        <v>235542.85000000003</v>
      </c>
      <c r="AY42" s="162">
        <v>234409.96000000002</v>
      </c>
      <c r="AZ42" s="162">
        <v>190465.7</v>
      </c>
      <c r="BA42" s="1">
        <v>232061.24999999997</v>
      </c>
      <c r="BB42" s="162">
        <v>334642.45</v>
      </c>
      <c r="BC42" s="162">
        <v>222565.03</v>
      </c>
      <c r="BD42" s="162">
        <v>235087.69000000003</v>
      </c>
      <c r="BE42" s="162">
        <v>222011.19999999998</v>
      </c>
      <c r="BF42" s="162">
        <v>216578.25</v>
      </c>
      <c r="BG42" s="162">
        <v>330141.94</v>
      </c>
      <c r="BH42" s="162">
        <v>218568.78</v>
      </c>
      <c r="BI42" s="162">
        <v>234076.5</v>
      </c>
      <c r="BJ42" s="162">
        <v>225996.03000000003</v>
      </c>
      <c r="BK42" s="162">
        <v>234277.37</v>
      </c>
      <c r="BL42" s="1">
        <f t="shared" ref="BL42:CJ42" si="31">IF(BL91=0,BL89,SUM(BL89,BL91))</f>
        <v>506982.83</v>
      </c>
      <c r="BM42" s="1">
        <f t="shared" si="31"/>
        <v>405859.25999999995</v>
      </c>
      <c r="BN42" s="1">
        <f t="shared" si="31"/>
        <v>411278.04</v>
      </c>
      <c r="BO42" s="1">
        <f t="shared" si="31"/>
        <v>433594.85999999987</v>
      </c>
      <c r="BP42" s="1">
        <f t="shared" si="31"/>
        <v>447077.94999999995</v>
      </c>
      <c r="BQ42" s="1">
        <f t="shared" si="31"/>
        <v>413957.86</v>
      </c>
      <c r="BR42" s="1">
        <f t="shared" si="31"/>
        <v>442928.38</v>
      </c>
      <c r="BS42" s="1">
        <f t="shared" si="31"/>
        <v>531465.07000000007</v>
      </c>
      <c r="BT42" s="1">
        <f t="shared" si="31"/>
        <v>421205.41000000003</v>
      </c>
      <c r="BU42" s="1">
        <f t="shared" si="31"/>
        <v>437516.35000000015</v>
      </c>
      <c r="BV42" s="1">
        <f t="shared" si="31"/>
        <v>413464.35000000009</v>
      </c>
      <c r="BW42" s="1">
        <f t="shared" si="31"/>
        <v>442440.67000000004</v>
      </c>
      <c r="BX42" s="1">
        <f t="shared" si="31"/>
        <v>532255.92009999987</v>
      </c>
      <c r="BY42" s="1">
        <f t="shared" si="31"/>
        <v>418144.32000000007</v>
      </c>
      <c r="BZ42" s="1">
        <f t="shared" si="31"/>
        <v>425960.79999999993</v>
      </c>
      <c r="CA42" s="1">
        <f t="shared" si="31"/>
        <v>422040.61999999988</v>
      </c>
      <c r="CB42" s="251">
        <f t="shared" si="31"/>
        <v>435382.98</v>
      </c>
      <c r="CC42" s="251">
        <f t="shared" si="31"/>
        <v>432393.9</v>
      </c>
      <c r="CD42" s="251">
        <f t="shared" si="31"/>
        <v>640612.67000000004</v>
      </c>
      <c r="CE42" s="251">
        <f t="shared" si="31"/>
        <v>424421.1</v>
      </c>
      <c r="CF42" s="251">
        <f t="shared" si="31"/>
        <v>430204.71</v>
      </c>
      <c r="CG42" s="251">
        <f t="shared" si="31"/>
        <v>445522.98</v>
      </c>
      <c r="CH42" s="251">
        <f t="shared" si="31"/>
        <v>482009.07660000003</v>
      </c>
      <c r="CI42" s="251">
        <f t="shared" si="31"/>
        <v>726720.83499999996</v>
      </c>
      <c r="CJ42" s="251">
        <f t="shared" si="31"/>
        <v>671713.69400000002</v>
      </c>
      <c r="CL42" s="91" t="s">
        <v>43</v>
      </c>
      <c r="CM42" s="93">
        <f>INDEX($2:$2,COUNTA($2:$2)-2)</f>
        <v>42292</v>
      </c>
      <c r="CN42" s="93" t="s">
        <v>301</v>
      </c>
      <c r="CO42" s="94">
        <f>INDEX($23:$23,COUNTA($2:$2)-2)+INDEX($24:$24,COUNTA($2:$2)-2)</f>
        <v>2</v>
      </c>
      <c r="CP42" s="94">
        <f>INDEX($26:$26,COUNTA($2:$2)-2)</f>
        <v>3.5661117494891403</v>
      </c>
      <c r="CQ42" s="83" t="str">
        <f t="shared" si="10"/>
        <v>October</v>
      </c>
      <c r="CR42" s="91">
        <f t="shared" si="11"/>
        <v>2015</v>
      </c>
      <c r="CS42" s="94"/>
      <c r="CT42" s="97"/>
      <c r="CU42" s="97"/>
      <c r="CV42" s="94"/>
      <c r="CW42" s="97"/>
      <c r="CX42" s="97"/>
      <c r="CY42" s="97"/>
      <c r="CZ42" s="91"/>
      <c r="DC42" s="73">
        <v>42292</v>
      </c>
      <c r="DD42" s="47">
        <v>4</v>
      </c>
      <c r="DE42" s="47">
        <v>5.0737991838717562</v>
      </c>
      <c r="DG42" s="73">
        <v>42292</v>
      </c>
      <c r="DH42" s="47">
        <v>30</v>
      </c>
      <c r="DI42" s="47">
        <v>11.261547460904822</v>
      </c>
    </row>
    <row r="43" spans="1:113" ht="15" x14ac:dyDescent="0.25">
      <c r="A43" s="273" t="s">
        <v>133</v>
      </c>
      <c r="B43" s="251">
        <v>2</v>
      </c>
      <c r="C43" s="251">
        <v>1</v>
      </c>
      <c r="D43" s="251">
        <v>0</v>
      </c>
      <c r="E43" s="251">
        <v>0</v>
      </c>
      <c r="F43" s="251">
        <v>2</v>
      </c>
      <c r="G43" s="251">
        <v>0</v>
      </c>
      <c r="H43" s="251">
        <v>1</v>
      </c>
      <c r="I43" s="251">
        <v>1</v>
      </c>
      <c r="J43" s="251">
        <v>1</v>
      </c>
      <c r="K43" s="251">
        <v>0</v>
      </c>
      <c r="L43" s="251">
        <v>0</v>
      </c>
      <c r="M43" s="251">
        <v>0</v>
      </c>
      <c r="N43" s="262">
        <v>0</v>
      </c>
      <c r="O43" s="251">
        <v>1</v>
      </c>
      <c r="P43" s="251">
        <v>0</v>
      </c>
      <c r="Q43" s="251">
        <v>0</v>
      </c>
      <c r="R43" s="251">
        <v>0</v>
      </c>
      <c r="S43" s="251">
        <v>3</v>
      </c>
      <c r="T43" s="251">
        <v>1</v>
      </c>
      <c r="U43" s="251">
        <v>2</v>
      </c>
      <c r="V43" s="251">
        <v>4</v>
      </c>
      <c r="W43" s="251">
        <v>3</v>
      </c>
      <c r="X43" s="251">
        <v>3</v>
      </c>
      <c r="Y43" s="251">
        <v>1</v>
      </c>
      <c r="Z43" s="262">
        <v>1</v>
      </c>
      <c r="AA43" s="251">
        <v>1</v>
      </c>
      <c r="AB43" s="251">
        <v>0</v>
      </c>
      <c r="AC43" s="263">
        <v>0</v>
      </c>
      <c r="AD43" s="251">
        <v>0</v>
      </c>
      <c r="AE43" s="251">
        <v>0</v>
      </c>
      <c r="AF43" s="251">
        <v>1</v>
      </c>
      <c r="AG43" s="251">
        <v>0</v>
      </c>
      <c r="AH43" s="251">
        <v>1</v>
      </c>
      <c r="AI43" s="251">
        <v>1</v>
      </c>
      <c r="AJ43" s="251">
        <v>2</v>
      </c>
      <c r="AK43" s="251">
        <v>1</v>
      </c>
      <c r="AL43" s="251">
        <v>0</v>
      </c>
      <c r="AM43" s="251">
        <v>1</v>
      </c>
      <c r="AN43" s="251">
        <v>0</v>
      </c>
      <c r="AO43" s="251">
        <v>0</v>
      </c>
      <c r="AP43" s="251">
        <v>0</v>
      </c>
      <c r="AQ43" s="251">
        <v>0</v>
      </c>
      <c r="AR43" s="251">
        <v>1</v>
      </c>
      <c r="AS43" s="251">
        <v>1</v>
      </c>
      <c r="AT43" s="251">
        <v>2</v>
      </c>
      <c r="AU43" s="251">
        <v>2</v>
      </c>
      <c r="AV43" s="251">
        <v>0</v>
      </c>
      <c r="AW43" s="251">
        <v>2</v>
      </c>
      <c r="AX43" s="251">
        <v>0</v>
      </c>
      <c r="AY43" s="251">
        <v>0</v>
      </c>
      <c r="AZ43" s="251">
        <v>0</v>
      </c>
      <c r="BA43" s="251">
        <v>0</v>
      </c>
      <c r="BB43" s="251">
        <v>0</v>
      </c>
      <c r="BC43" s="251">
        <v>0</v>
      </c>
      <c r="BD43" s="251">
        <v>0</v>
      </c>
      <c r="BE43" s="251">
        <v>1</v>
      </c>
      <c r="BF43" s="251">
        <v>0</v>
      </c>
      <c r="BG43" s="251">
        <v>0</v>
      </c>
      <c r="BH43" s="251">
        <v>3</v>
      </c>
      <c r="BI43" s="251">
        <v>2</v>
      </c>
      <c r="BJ43" s="251">
        <v>0</v>
      </c>
      <c r="BK43" s="251">
        <v>3</v>
      </c>
      <c r="BL43" s="251">
        <v>1</v>
      </c>
      <c r="BM43" s="251">
        <v>1</v>
      </c>
      <c r="BN43" s="251">
        <v>1</v>
      </c>
      <c r="BO43" s="251">
        <v>1</v>
      </c>
      <c r="BP43" s="251">
        <v>0</v>
      </c>
      <c r="BQ43" s="251">
        <v>0</v>
      </c>
      <c r="BR43" s="251">
        <v>0</v>
      </c>
      <c r="BS43" s="251">
        <v>0</v>
      </c>
      <c r="BT43" s="270">
        <v>1</v>
      </c>
      <c r="BU43" s="270">
        <v>0</v>
      </c>
      <c r="BV43" s="270">
        <v>1</v>
      </c>
      <c r="BW43" s="270">
        <v>0</v>
      </c>
      <c r="BX43" s="270">
        <v>0</v>
      </c>
      <c r="BY43" s="270"/>
      <c r="BZ43" s="270">
        <v>2</v>
      </c>
      <c r="CA43" s="270">
        <v>0</v>
      </c>
      <c r="CB43" s="270">
        <v>0</v>
      </c>
      <c r="CC43" s="270">
        <v>0</v>
      </c>
      <c r="CD43" s="270">
        <v>2</v>
      </c>
      <c r="CE43" s="270">
        <v>1</v>
      </c>
      <c r="CF43" s="270">
        <v>0</v>
      </c>
      <c r="CG43" s="270">
        <v>0</v>
      </c>
      <c r="CH43" s="270">
        <v>0</v>
      </c>
      <c r="CI43" s="270">
        <v>0</v>
      </c>
      <c r="CJ43" s="270">
        <v>0</v>
      </c>
      <c r="CL43" s="91" t="s">
        <v>43</v>
      </c>
      <c r="CM43" s="93">
        <f>INDEX($2:$2,COUNTA($2:$2)-1)</f>
        <v>42323</v>
      </c>
      <c r="CN43" s="93" t="s">
        <v>301</v>
      </c>
      <c r="CO43" s="94">
        <f>INDEX($23:$23,COUNTA($2:$2)-1)+INDEX($24:$24,COUNTA($2:$2)-1)</f>
        <v>0</v>
      </c>
      <c r="CP43" s="94">
        <f>INDEX($26:$26,COUNTA($2:$2)-1)</f>
        <v>3.3851918393857372</v>
      </c>
      <c r="CQ43" s="83" t="str">
        <f t="shared" si="10"/>
        <v>November</v>
      </c>
      <c r="CR43" s="91">
        <f t="shared" si="11"/>
        <v>2015</v>
      </c>
      <c r="CS43" s="94"/>
      <c r="CT43" s="97"/>
      <c r="CU43" s="97"/>
      <c r="CV43" s="94"/>
      <c r="CW43" s="97"/>
      <c r="CX43" s="97"/>
      <c r="CY43" s="97"/>
      <c r="CZ43" s="91"/>
      <c r="DC43" s="73">
        <v>42323</v>
      </c>
      <c r="DD43" s="47">
        <v>1</v>
      </c>
      <c r="DE43" s="47">
        <v>4.8072737628308762</v>
      </c>
      <c r="DG43" s="73">
        <v>42323</v>
      </c>
      <c r="DH43" s="47">
        <v>8</v>
      </c>
      <c r="DI43" s="47">
        <v>2.3432142610577475</v>
      </c>
    </row>
    <row r="44" spans="1:113" ht="15" x14ac:dyDescent="0.25">
      <c r="A44" s="273" t="s">
        <v>134</v>
      </c>
      <c r="B44" s="251">
        <v>0</v>
      </c>
      <c r="C44" s="251">
        <v>1</v>
      </c>
      <c r="D44" s="251">
        <v>2</v>
      </c>
      <c r="E44" s="251">
        <v>1</v>
      </c>
      <c r="F44" s="251">
        <v>2</v>
      </c>
      <c r="G44" s="251">
        <v>1</v>
      </c>
      <c r="H44" s="251">
        <v>3</v>
      </c>
      <c r="I44" s="251">
        <v>0</v>
      </c>
      <c r="J44" s="251">
        <v>3</v>
      </c>
      <c r="K44" s="251">
        <v>0</v>
      </c>
      <c r="L44" s="251">
        <v>1</v>
      </c>
      <c r="M44" s="251">
        <v>1</v>
      </c>
      <c r="N44" s="262">
        <v>2</v>
      </c>
      <c r="O44" s="251">
        <v>0</v>
      </c>
      <c r="P44" s="251">
        <v>0</v>
      </c>
      <c r="Q44" s="251">
        <v>0</v>
      </c>
      <c r="R44" s="251">
        <v>1</v>
      </c>
      <c r="S44" s="251">
        <v>0</v>
      </c>
      <c r="T44" s="251">
        <v>0</v>
      </c>
      <c r="U44" s="251">
        <v>0</v>
      </c>
      <c r="V44" s="251">
        <v>0</v>
      </c>
      <c r="W44" s="251">
        <v>0</v>
      </c>
      <c r="X44" s="251">
        <v>0</v>
      </c>
      <c r="Y44" s="251">
        <v>0</v>
      </c>
      <c r="Z44" s="262">
        <v>1</v>
      </c>
      <c r="AA44" s="251">
        <v>0</v>
      </c>
      <c r="AB44" s="251">
        <v>0</v>
      </c>
      <c r="AC44" s="263">
        <v>0</v>
      </c>
      <c r="AD44" s="251">
        <v>1</v>
      </c>
      <c r="AE44" s="251">
        <v>0</v>
      </c>
      <c r="AF44" s="251">
        <v>2</v>
      </c>
      <c r="AG44" s="251">
        <v>3</v>
      </c>
      <c r="AH44" s="251">
        <v>0</v>
      </c>
      <c r="AI44" s="251">
        <v>0</v>
      </c>
      <c r="AJ44" s="251">
        <v>0</v>
      </c>
      <c r="AK44" s="251">
        <v>1</v>
      </c>
      <c r="AL44" s="251">
        <v>0</v>
      </c>
      <c r="AM44" s="251">
        <v>0</v>
      </c>
      <c r="AN44" s="251">
        <v>1</v>
      </c>
      <c r="AO44" s="251">
        <v>1</v>
      </c>
      <c r="AP44" s="251">
        <v>1</v>
      </c>
      <c r="AQ44" s="251">
        <v>1</v>
      </c>
      <c r="AR44" s="251">
        <v>0</v>
      </c>
      <c r="AS44" s="251">
        <v>0</v>
      </c>
      <c r="AT44" s="251">
        <v>1</v>
      </c>
      <c r="AU44" s="251">
        <v>1</v>
      </c>
      <c r="AV44" s="251">
        <v>0</v>
      </c>
      <c r="AW44" s="251">
        <v>1</v>
      </c>
      <c r="AX44" s="251">
        <v>1</v>
      </c>
      <c r="AY44" s="251">
        <v>0</v>
      </c>
      <c r="AZ44" s="251">
        <v>2</v>
      </c>
      <c r="BA44" s="251">
        <v>0</v>
      </c>
      <c r="BB44" s="251">
        <v>1</v>
      </c>
      <c r="BC44" s="251">
        <v>3</v>
      </c>
      <c r="BD44" s="251">
        <v>0</v>
      </c>
      <c r="BE44" s="251">
        <v>1</v>
      </c>
      <c r="BF44" s="251">
        <v>0</v>
      </c>
      <c r="BG44" s="251">
        <v>0</v>
      </c>
      <c r="BH44" s="251">
        <v>1</v>
      </c>
      <c r="BI44" s="251">
        <v>0</v>
      </c>
      <c r="BJ44" s="251">
        <v>0</v>
      </c>
      <c r="BK44" s="251">
        <v>1</v>
      </c>
      <c r="BL44" s="251">
        <v>0</v>
      </c>
      <c r="BM44" s="251">
        <v>2</v>
      </c>
      <c r="BN44" s="251">
        <v>0</v>
      </c>
      <c r="BO44" s="251">
        <v>1</v>
      </c>
      <c r="BP44" s="251">
        <v>2</v>
      </c>
      <c r="BQ44" s="251">
        <v>2</v>
      </c>
      <c r="BR44" s="251">
        <v>1</v>
      </c>
      <c r="BS44" s="251">
        <v>3</v>
      </c>
      <c r="BT44" s="270">
        <v>1</v>
      </c>
      <c r="BU44" s="270">
        <v>2</v>
      </c>
      <c r="BV44" s="270">
        <v>1</v>
      </c>
      <c r="BW44" s="270">
        <v>1</v>
      </c>
      <c r="BX44" s="270">
        <v>0</v>
      </c>
      <c r="BY44" s="270">
        <v>1</v>
      </c>
      <c r="BZ44" s="270">
        <v>1</v>
      </c>
      <c r="CA44" s="270">
        <v>4</v>
      </c>
      <c r="CB44" s="270">
        <v>2</v>
      </c>
      <c r="CC44" s="270">
        <v>1</v>
      </c>
      <c r="CD44" s="270">
        <v>1</v>
      </c>
      <c r="CE44" s="270"/>
      <c r="CF44" s="270">
        <v>0</v>
      </c>
      <c r="CG44" s="270">
        <v>2</v>
      </c>
      <c r="CH44" s="270">
        <v>1</v>
      </c>
      <c r="CI44" s="270">
        <v>1</v>
      </c>
      <c r="CJ44" s="270">
        <v>1</v>
      </c>
      <c r="CL44" s="91" t="s">
        <v>43</v>
      </c>
      <c r="CM44" s="93">
        <f>INDEX($2:$2,COUNTA($2:$2))</f>
        <v>42353</v>
      </c>
      <c r="CN44" s="93" t="s">
        <v>301</v>
      </c>
      <c r="CO44" s="94">
        <f>INDEX($23:$23,COUNTA($2:$2))+INDEX($24:$24,COUNTA($2:$2))</f>
        <v>1</v>
      </c>
      <c r="CP44" s="94">
        <f>INDEX($26:$26,COUNTA($2:$2))</f>
        <v>3.0369912280445219</v>
      </c>
      <c r="CQ44" s="83" t="str">
        <f t="shared" si="10"/>
        <v>December</v>
      </c>
      <c r="CR44" s="91">
        <f t="shared" si="11"/>
        <v>2015</v>
      </c>
      <c r="CS44" s="94"/>
      <c r="CT44" s="97"/>
      <c r="CU44" s="97"/>
      <c r="CV44" s="94"/>
      <c r="CW44" s="97"/>
      <c r="CX44" s="97"/>
      <c r="CY44" s="97"/>
      <c r="CZ44" s="91"/>
      <c r="DC44" s="73">
        <v>42353</v>
      </c>
      <c r="DD44" s="47">
        <v>2</v>
      </c>
      <c r="DE44" s="47">
        <v>4.4550551230182318</v>
      </c>
      <c r="DG44" s="73">
        <v>42353</v>
      </c>
      <c r="DH44" s="47">
        <v>20</v>
      </c>
      <c r="DI44" s="47">
        <v>3.9970281819324551</v>
      </c>
    </row>
    <row r="45" spans="1:113" ht="15" x14ac:dyDescent="0.25">
      <c r="A45" s="273" t="s">
        <v>135</v>
      </c>
      <c r="B45" s="265">
        <v>3.2904748977896237</v>
      </c>
      <c r="C45" s="265">
        <v>3.6048831747485144</v>
      </c>
      <c r="D45" s="265">
        <v>3.1949494239506189</v>
      </c>
      <c r="E45" s="265">
        <v>1.6993190828435045</v>
      </c>
      <c r="F45" s="265">
        <v>5.9483976503829279</v>
      </c>
      <c r="G45" s="265">
        <v>1.5048727780553433</v>
      </c>
      <c r="H45" s="265">
        <v>6.3250106734555107</v>
      </c>
      <c r="I45" s="265">
        <v>1.4629422108567867</v>
      </c>
      <c r="J45" s="265">
        <v>6.2004064366419218</v>
      </c>
      <c r="K45" s="265">
        <v>0</v>
      </c>
      <c r="L45" s="265">
        <v>1.4915110647748342</v>
      </c>
      <c r="M45" s="265">
        <v>1.4838996883810656</v>
      </c>
      <c r="N45" s="262">
        <v>3.0671929969849496</v>
      </c>
      <c r="O45" s="251">
        <v>1.7526456185612183</v>
      </c>
      <c r="P45" s="251">
        <v>0</v>
      </c>
      <c r="Q45" s="251">
        <v>0</v>
      </c>
      <c r="R45" s="251">
        <v>1.4051041814495338</v>
      </c>
      <c r="S45" s="251">
        <v>4.4951025857328446</v>
      </c>
      <c r="T45" s="251">
        <v>1.5651999699481605</v>
      </c>
      <c r="U45" s="251">
        <v>2.95404830164378</v>
      </c>
      <c r="V45" s="251">
        <v>6.6361404207313024</v>
      </c>
      <c r="W45" s="251">
        <v>4.8582759921814151</v>
      </c>
      <c r="X45" s="251">
        <v>4.7243871288797061</v>
      </c>
      <c r="Y45" s="251">
        <v>1.6023920508535141</v>
      </c>
      <c r="Z45" s="262">
        <f t="shared" ref="Z45:BE45" si="32">SUM(Z43:Z44)/Z41*1000000</f>
        <v>2.890190116705877</v>
      </c>
      <c r="AA45" s="251">
        <f t="shared" si="32"/>
        <v>1.7815181741576536</v>
      </c>
      <c r="AB45" s="251">
        <f t="shared" si="32"/>
        <v>0</v>
      </c>
      <c r="AC45" s="251">
        <f t="shared" si="32"/>
        <v>0</v>
      </c>
      <c r="AD45" s="251">
        <f t="shared" si="32"/>
        <v>1.4601694964751508</v>
      </c>
      <c r="AE45" s="251">
        <f t="shared" si="32"/>
        <v>0</v>
      </c>
      <c r="AF45" s="251">
        <f t="shared" si="32"/>
        <v>4.55775357441824</v>
      </c>
      <c r="AG45" s="251">
        <f t="shared" si="32"/>
        <v>4.4310724524656706</v>
      </c>
      <c r="AH45" s="251">
        <f t="shared" si="32"/>
        <v>1.6590351051828256</v>
      </c>
      <c r="AI45" s="251">
        <f t="shared" si="32"/>
        <v>1.619425330727138</v>
      </c>
      <c r="AJ45" s="251">
        <f t="shared" si="32"/>
        <v>2.9544366775586899</v>
      </c>
      <c r="AK45" s="251">
        <f t="shared" si="32"/>
        <v>2.993178546093453</v>
      </c>
      <c r="AL45" s="251">
        <f t="shared" si="32"/>
        <v>0</v>
      </c>
      <c r="AM45" s="251">
        <f t="shared" si="32"/>
        <v>1.6960910190284451</v>
      </c>
      <c r="AN45" s="251">
        <f t="shared" si="32"/>
        <v>1.4669144774190519</v>
      </c>
      <c r="AO45" s="251">
        <f t="shared" si="32"/>
        <v>1.5464818311582067</v>
      </c>
      <c r="AP45" s="251">
        <f t="shared" si="32"/>
        <v>1.4378124546190443</v>
      </c>
      <c r="AQ45" s="251">
        <f t="shared" si="32"/>
        <v>1.5013978013530598</v>
      </c>
      <c r="AR45" s="251">
        <f t="shared" si="32"/>
        <v>1.3976201324384836</v>
      </c>
      <c r="AS45" s="251">
        <f t="shared" si="32"/>
        <v>1.5299901009640469</v>
      </c>
      <c r="AT45" s="251">
        <f t="shared" si="32"/>
        <v>4.7594872445741849</v>
      </c>
      <c r="AU45" s="251">
        <f t="shared" si="32"/>
        <v>4.663149615601033</v>
      </c>
      <c r="AV45" s="251">
        <f t="shared" si="32"/>
        <v>0</v>
      </c>
      <c r="AW45" s="251">
        <f t="shared" si="32"/>
        <v>4.2442539874766219</v>
      </c>
      <c r="AX45" s="251">
        <f t="shared" si="32"/>
        <v>1.4514104080640362</v>
      </c>
      <c r="AY45" s="251">
        <f t="shared" si="32"/>
        <v>0</v>
      </c>
      <c r="AZ45" s="251">
        <f t="shared" si="32"/>
        <v>2.9753448052711207</v>
      </c>
      <c r="BA45" s="251">
        <f t="shared" si="32"/>
        <v>0</v>
      </c>
      <c r="BB45" s="251">
        <f t="shared" si="32"/>
        <v>1.6273101702003707</v>
      </c>
      <c r="BC45" s="251">
        <f t="shared" si="32"/>
        <v>4.2852979996228937</v>
      </c>
      <c r="BD45" s="251">
        <f t="shared" si="32"/>
        <v>0</v>
      </c>
      <c r="BE45" s="251">
        <f t="shared" si="32"/>
        <v>3.270672695606669</v>
      </c>
      <c r="BF45" s="251">
        <f t="shared" ref="BF45:CG45" si="33">SUM(BF43:BF44)/BF41*1000000</f>
        <v>0</v>
      </c>
      <c r="BG45" s="251">
        <f t="shared" si="33"/>
        <v>0</v>
      </c>
      <c r="BH45" s="251">
        <f t="shared" si="33"/>
        <v>6.3714051337596862</v>
      </c>
      <c r="BI45" s="251">
        <f t="shared" si="33"/>
        <v>2.8953742054007416</v>
      </c>
      <c r="BJ45" s="251">
        <f t="shared" si="33"/>
        <v>0</v>
      </c>
      <c r="BK45" s="251">
        <f t="shared" si="33"/>
        <v>7.5747533470941351</v>
      </c>
      <c r="BL45" s="251">
        <f t="shared" si="33"/>
        <v>0.96279935839050756</v>
      </c>
      <c r="BM45" s="251">
        <f t="shared" si="33"/>
        <v>3.3022808854075509</v>
      </c>
      <c r="BN45" s="251">
        <f t="shared" si="33"/>
        <v>0.99114707433206595</v>
      </c>
      <c r="BO45" s="251">
        <f t="shared" si="33"/>
        <v>1.8564792983993437</v>
      </c>
      <c r="BP45" s="251">
        <f t="shared" si="33"/>
        <v>1.8225393440680902</v>
      </c>
      <c r="BQ45" s="251">
        <f t="shared" si="33"/>
        <v>1.8656681610668637</v>
      </c>
      <c r="BR45" s="251">
        <f t="shared" si="33"/>
        <v>0.91176071022512284</v>
      </c>
      <c r="BS45" s="251">
        <f t="shared" si="33"/>
        <v>3.0836279911191511</v>
      </c>
      <c r="BT45" s="251">
        <f t="shared" si="33"/>
        <v>1.8015275151801211</v>
      </c>
      <c r="BU45" s="251">
        <f t="shared" si="33"/>
        <v>1.7479308868127355</v>
      </c>
      <c r="BV45" s="251">
        <f t="shared" si="33"/>
        <v>1.8711716996507459</v>
      </c>
      <c r="BW45" s="251">
        <f t="shared" si="33"/>
        <v>1.0132636207962225</v>
      </c>
      <c r="BX45" s="251">
        <f t="shared" si="33"/>
        <v>0</v>
      </c>
      <c r="BY45" s="251">
        <f t="shared" si="33"/>
        <v>1.0301716678067232</v>
      </c>
      <c r="BZ45" s="251">
        <f t="shared" si="33"/>
        <v>2.5502960893759763</v>
      </c>
      <c r="CA45" s="251">
        <f t="shared" si="33"/>
        <v>3.377953281217144</v>
      </c>
      <c r="CB45" s="251">
        <f t="shared" si="33"/>
        <v>1.7902570630116779</v>
      </c>
      <c r="CC45" s="251">
        <f t="shared" si="33"/>
        <v>0.84103369769716563</v>
      </c>
      <c r="CD45" s="251">
        <f t="shared" si="33"/>
        <v>2.6863209849127259</v>
      </c>
      <c r="CE45" s="251">
        <f t="shared" si="33"/>
        <v>0.96057788365480679</v>
      </c>
      <c r="CF45" s="251">
        <f t="shared" si="33"/>
        <v>0</v>
      </c>
      <c r="CG45" s="251">
        <f t="shared" si="33"/>
        <v>1.7160547215529609</v>
      </c>
      <c r="CH45" s="251">
        <f t="shared" ref="CH45:CJ45" si="34">SUM(CH43:CH44)/CH41*1000000</f>
        <v>0.85896410646688304</v>
      </c>
      <c r="CI45" s="251">
        <f t="shared" si="34"/>
        <v>0.97583157927606956</v>
      </c>
      <c r="CJ45" s="251">
        <f t="shared" si="34"/>
        <v>0.97583157927606956</v>
      </c>
      <c r="CL45" s="91" t="s">
        <v>43</v>
      </c>
      <c r="CM45" s="93">
        <f>INDEX($2:$2,COUNTA($2:$2)+1)</f>
        <v>42370</v>
      </c>
      <c r="CN45" s="93" t="s">
        <v>301</v>
      </c>
      <c r="CO45" s="94">
        <f>INDEX($23:$23,COUNTA($2:$2)+1)+INDEX($24:$24,COUNTA($2:$2)+1)</f>
        <v>3</v>
      </c>
      <c r="CP45" s="94">
        <f>INDEX($26:$26,COUNTA($2:$2)+1)</f>
        <v>3.2291580508575399</v>
      </c>
      <c r="CQ45" s="83" t="str">
        <f t="shared" si="10"/>
        <v>January</v>
      </c>
      <c r="CR45" s="91">
        <f t="shared" si="11"/>
        <v>2016</v>
      </c>
      <c r="CS45" s="94"/>
      <c r="CT45" s="97"/>
      <c r="CU45" s="97"/>
      <c r="CV45" s="94"/>
      <c r="CW45" s="97"/>
      <c r="CX45" s="97"/>
      <c r="CY45" s="97"/>
      <c r="CZ45" s="91"/>
      <c r="DC45" s="73">
        <v>42370</v>
      </c>
      <c r="DD45" s="47">
        <v>4</v>
      </c>
      <c r="DE45" s="47">
        <v>4.7308358754910032</v>
      </c>
      <c r="DG45" s="73">
        <v>42370</v>
      </c>
      <c r="DH45" s="47">
        <v>18</v>
      </c>
      <c r="DI45" s="47">
        <v>3.5925424619913455</v>
      </c>
    </row>
    <row r="46" spans="1:113" ht="15" x14ac:dyDescent="0.25">
      <c r="A46" s="273" t="s">
        <v>136</v>
      </c>
      <c r="B46" s="271" t="s">
        <v>146</v>
      </c>
      <c r="C46" s="271" t="s">
        <v>146</v>
      </c>
      <c r="D46" s="271" t="s">
        <v>146</v>
      </c>
      <c r="E46" s="271" t="s">
        <v>146</v>
      </c>
      <c r="F46" s="271" t="s">
        <v>146</v>
      </c>
      <c r="G46" s="271" t="s">
        <v>146</v>
      </c>
      <c r="H46" s="271">
        <v>3.6811693234355896</v>
      </c>
      <c r="I46" s="271">
        <v>3.3919891166898526</v>
      </c>
      <c r="J46" s="271">
        <v>3.7673130193905817</v>
      </c>
      <c r="K46" s="271">
        <v>3.343022899483993</v>
      </c>
      <c r="L46" s="271">
        <v>3.2830321734964314</v>
      </c>
      <c r="M46" s="271">
        <v>2.6255924813533702</v>
      </c>
      <c r="N46" s="262">
        <v>3.0671929969849496</v>
      </c>
      <c r="O46" s="251">
        <v>2.4537308159145712</v>
      </c>
      <c r="P46" s="251">
        <v>1.6211554298979969</v>
      </c>
      <c r="Q46" s="251">
        <v>1.2284021313595912</v>
      </c>
      <c r="R46" s="251">
        <v>1.2682758550715814</v>
      </c>
      <c r="S46" s="251">
        <v>1.8318464410233113</v>
      </c>
      <c r="T46" s="251">
        <v>1.7936507900919627</v>
      </c>
      <c r="U46" s="251">
        <v>1.7836630731801284</v>
      </c>
      <c r="V46" s="251">
        <v>2.4390354381396153</v>
      </c>
      <c r="W46" s="251">
        <v>2.6740167522430673</v>
      </c>
      <c r="X46" s="251">
        <v>2.860215545843535</v>
      </c>
      <c r="Y46" s="251">
        <v>2.7571549154754775</v>
      </c>
      <c r="Z46" s="262">
        <f t="shared" ref="Z46:BE46" si="35">SUM(O43:Z44)/SUM(O41:Z41)*1000000</f>
        <v>2.7427743894355645</v>
      </c>
      <c r="AA46" s="251">
        <f t="shared" si="35"/>
        <v>2.7460909395475541</v>
      </c>
      <c r="AB46" s="251">
        <f t="shared" si="35"/>
        <v>2.7478124468838043</v>
      </c>
      <c r="AC46" s="251">
        <f t="shared" si="35"/>
        <v>2.7581982188343956</v>
      </c>
      <c r="AD46" s="251">
        <f t="shared" si="35"/>
        <v>2.767955562977777</v>
      </c>
      <c r="AE46" s="251">
        <f t="shared" si="35"/>
        <v>2.3878043687799351</v>
      </c>
      <c r="AF46" s="251">
        <f t="shared" si="35"/>
        <v>2.6463325998140421</v>
      </c>
      <c r="AG46" s="251">
        <f t="shared" si="35"/>
        <v>2.7786492298047443</v>
      </c>
      <c r="AH46" s="251">
        <f t="shared" si="35"/>
        <v>2.3816993398326378</v>
      </c>
      <c r="AI46" s="251">
        <f t="shared" si="35"/>
        <v>2.1170660798512335</v>
      </c>
      <c r="AJ46" s="251">
        <f t="shared" si="35"/>
        <v>1.9737948469216826</v>
      </c>
      <c r="AK46" s="251">
        <f t="shared" si="35"/>
        <v>2.0932290190095282</v>
      </c>
      <c r="AL46" s="251">
        <f t="shared" si="35"/>
        <v>1.8270165107482077</v>
      </c>
      <c r="AM46" s="251">
        <f t="shared" si="35"/>
        <v>1.8203004587937284</v>
      </c>
      <c r="AN46" s="251">
        <f t="shared" si="35"/>
        <v>1.9355767786531175</v>
      </c>
      <c r="AO46" s="251">
        <f t="shared" si="35"/>
        <v>2.0425438913958986</v>
      </c>
      <c r="AP46" s="251">
        <f t="shared" si="35"/>
        <v>2.0397709439218521</v>
      </c>
      <c r="AQ46" s="251">
        <f t="shared" si="35"/>
        <v>2.1543006430460694</v>
      </c>
      <c r="AR46" s="251">
        <f t="shared" si="35"/>
        <v>1.8871544541563006</v>
      </c>
      <c r="AS46" s="251">
        <f t="shared" si="35"/>
        <v>1.6403708903819627</v>
      </c>
      <c r="AT46" s="251">
        <f t="shared" si="35"/>
        <v>1.8861763019048998</v>
      </c>
      <c r="AU46" s="251">
        <f t="shared" si="35"/>
        <v>2.1307434188856065</v>
      </c>
      <c r="AV46" s="251">
        <f t="shared" si="35"/>
        <v>1.8937715369168036</v>
      </c>
      <c r="AW46" s="251">
        <f t="shared" si="35"/>
        <v>2.0102133916898279</v>
      </c>
      <c r="AX46" s="251">
        <f t="shared" si="35"/>
        <v>2.1417943449070016</v>
      </c>
      <c r="AY46" s="251">
        <f t="shared" si="35"/>
        <v>2.0317132663384352</v>
      </c>
      <c r="AZ46" s="251">
        <f t="shared" si="35"/>
        <v>2.1613058864437171</v>
      </c>
      <c r="BA46" s="251">
        <f t="shared" si="35"/>
        <v>2.0541425764956274</v>
      </c>
      <c r="BB46" s="251">
        <f t="shared" si="35"/>
        <v>2.0757255828507701</v>
      </c>
      <c r="BC46" s="251">
        <f t="shared" si="35"/>
        <v>2.3249295740083209</v>
      </c>
      <c r="BD46" s="251">
        <f t="shared" si="35"/>
        <v>2.2067123516699878</v>
      </c>
      <c r="BE46" s="251">
        <f t="shared" si="35"/>
        <v>2.349359094838928</v>
      </c>
      <c r="BF46" s="251">
        <f t="shared" ref="BF46:CJ46" si="36">SUM(AU43:BF44)/SUM(AU41:BF41)*1000000</f>
        <v>1.9563437969033428</v>
      </c>
      <c r="BG46" s="251">
        <f t="shared" si="36"/>
        <v>1.5738061991439281</v>
      </c>
      <c r="BH46" s="251">
        <f t="shared" si="36"/>
        <v>2.0960466202689281</v>
      </c>
      <c r="BI46" s="251">
        <f t="shared" si="36"/>
        <v>1.9691921205534166</v>
      </c>
      <c r="BJ46" s="251">
        <f t="shared" si="36"/>
        <v>1.8492333276755599</v>
      </c>
      <c r="BK46" s="251">
        <f t="shared" si="36"/>
        <v>2.3773903834823145</v>
      </c>
      <c r="BL46" s="251">
        <f t="shared" si="36"/>
        <v>2.1416583540927219</v>
      </c>
      <c r="BM46" s="251">
        <f t="shared" si="36"/>
        <v>2.4166015694618892</v>
      </c>
      <c r="BN46" s="251">
        <f t="shared" si="36"/>
        <v>2.3066704526817698</v>
      </c>
      <c r="BO46" s="251">
        <f t="shared" si="36"/>
        <v>2.0999705340976638</v>
      </c>
      <c r="BP46" s="251">
        <f t="shared" si="36"/>
        <v>2.2179937169518937</v>
      </c>
      <c r="BQ46" s="251">
        <f t="shared" si="36"/>
        <v>2.1151182305766931</v>
      </c>
      <c r="BR46" s="251">
        <f t="shared" si="36"/>
        <v>2.1175669309967713</v>
      </c>
      <c r="BS46" s="251">
        <f t="shared" si="36"/>
        <v>2.3231270926148069</v>
      </c>
      <c r="BT46" s="251">
        <f t="shared" si="36"/>
        <v>2.045586154263344</v>
      </c>
      <c r="BU46" s="251">
        <f t="shared" si="36"/>
        <v>1.9662868997246685</v>
      </c>
      <c r="BV46" s="251">
        <f t="shared" si="36"/>
        <v>2.0620818613505647</v>
      </c>
      <c r="BW46" s="251">
        <f t="shared" si="36"/>
        <v>1.74845877332901</v>
      </c>
      <c r="BX46" s="251">
        <f t="shared" si="36"/>
        <v>1.6602427132540258</v>
      </c>
      <c r="BY46" s="251">
        <f t="shared" si="36"/>
        <v>1.4947680757189716</v>
      </c>
      <c r="BZ46" s="251">
        <f t="shared" si="36"/>
        <v>1.630636839782321</v>
      </c>
      <c r="CA46" s="251">
        <f t="shared" si="36"/>
        <v>1.7712411279109483</v>
      </c>
      <c r="CB46" s="251">
        <f t="shared" si="36"/>
        <v>1.7685460698177389</v>
      </c>
      <c r="CC46" s="251">
        <f t="shared" si="36"/>
        <v>1.6765680712547526</v>
      </c>
      <c r="CD46" s="251">
        <f t="shared" si="36"/>
        <v>1.8262013323051818</v>
      </c>
      <c r="CE46" s="251">
        <f t="shared" si="36"/>
        <v>1.6653805386961009</v>
      </c>
      <c r="CF46" s="251">
        <f t="shared" si="36"/>
        <v>1.5101069571005039</v>
      </c>
      <c r="CG46" s="251">
        <f t="shared" si="36"/>
        <v>1.5076874343826159</v>
      </c>
      <c r="CH46" s="251">
        <f t="shared" si="36"/>
        <v>1.4220819234451387</v>
      </c>
      <c r="CI46" s="251">
        <f t="shared" si="36"/>
        <v>1.4180638949737099</v>
      </c>
      <c r="CJ46" s="251">
        <f t="shared" si="36"/>
        <v>1.5016778246334628</v>
      </c>
      <c r="CL46" s="91" t="s">
        <v>43</v>
      </c>
      <c r="CM46" s="93">
        <f>INDEX($2:$2,COUNTA($2:$2)-22)</f>
        <v>41671</v>
      </c>
      <c r="CN46" s="95" t="s">
        <v>137</v>
      </c>
      <c r="CO46" s="94">
        <f>INDEX($27:$27,COUNTA($2:$2)-22)</f>
        <v>0</v>
      </c>
      <c r="CP46" s="94">
        <f>INDEX($29:$29,COUNTA($2:$2)-22)</f>
        <v>0.67973308513106312</v>
      </c>
      <c r="CQ46" s="83" t="str">
        <f t="shared" si="10"/>
        <v>February</v>
      </c>
      <c r="CR46" s="91">
        <f t="shared" si="11"/>
        <v>2014</v>
      </c>
      <c r="CS46" s="91"/>
      <c r="CT46" s="91"/>
      <c r="CU46" s="91"/>
      <c r="CV46" s="91"/>
      <c r="CW46" s="91"/>
      <c r="CX46" s="91"/>
      <c r="CY46" s="91"/>
      <c r="CZ46" s="91"/>
      <c r="DC46" s="73" t="s">
        <v>53</v>
      </c>
      <c r="DD46" s="47">
        <v>78</v>
      </c>
      <c r="DE46" s="47">
        <v>113.2734927896141</v>
      </c>
      <c r="DG46" s="73" t="s">
        <v>53</v>
      </c>
      <c r="DH46" s="47">
        <v>486</v>
      </c>
      <c r="DI46" s="47">
        <v>175.79375835460343</v>
      </c>
    </row>
    <row r="47" spans="1:113" x14ac:dyDescent="0.2">
      <c r="A47" s="273" t="s">
        <v>137</v>
      </c>
      <c r="B47" s="251">
        <v>0</v>
      </c>
      <c r="C47" s="251">
        <v>1</v>
      </c>
      <c r="D47" s="251">
        <v>3</v>
      </c>
      <c r="E47" s="251">
        <v>3</v>
      </c>
      <c r="F47" s="251">
        <v>2</v>
      </c>
      <c r="G47" s="251">
        <v>3</v>
      </c>
      <c r="H47" s="251">
        <v>2</v>
      </c>
      <c r="I47" s="251">
        <v>0</v>
      </c>
      <c r="J47" s="251">
        <v>0</v>
      </c>
      <c r="K47" s="251">
        <v>1</v>
      </c>
      <c r="L47" s="251">
        <v>4</v>
      </c>
      <c r="M47" s="251">
        <v>3</v>
      </c>
      <c r="N47" s="262">
        <v>0</v>
      </c>
      <c r="O47" s="251">
        <v>0</v>
      </c>
      <c r="P47" s="251">
        <v>1</v>
      </c>
      <c r="Q47" s="251">
        <v>2</v>
      </c>
      <c r="R47" s="251">
        <v>4</v>
      </c>
      <c r="S47" s="251">
        <v>1</v>
      </c>
      <c r="T47" s="251">
        <v>2</v>
      </c>
      <c r="U47" s="251">
        <v>4</v>
      </c>
      <c r="V47" s="251">
        <v>1</v>
      </c>
      <c r="W47" s="251">
        <v>0</v>
      </c>
      <c r="X47" s="251">
        <v>1</v>
      </c>
      <c r="Y47" s="251">
        <v>0</v>
      </c>
      <c r="Z47" s="262">
        <v>2</v>
      </c>
      <c r="AA47" s="251">
        <v>0</v>
      </c>
      <c r="AB47" s="251">
        <v>0</v>
      </c>
      <c r="AC47" s="263">
        <v>3</v>
      </c>
      <c r="AD47" s="263">
        <v>3</v>
      </c>
      <c r="AE47" s="263">
        <v>1</v>
      </c>
      <c r="AF47" s="263">
        <v>4</v>
      </c>
      <c r="AG47" s="263">
        <v>1</v>
      </c>
      <c r="AH47" s="251">
        <v>0</v>
      </c>
      <c r="AI47" s="251">
        <v>0</v>
      </c>
      <c r="AJ47" s="251">
        <v>1</v>
      </c>
      <c r="AK47" s="251">
        <v>2</v>
      </c>
      <c r="AL47" s="251">
        <v>2</v>
      </c>
      <c r="AM47" s="251">
        <v>3</v>
      </c>
      <c r="AN47" s="251">
        <v>1</v>
      </c>
      <c r="AO47" s="251">
        <v>3</v>
      </c>
      <c r="AP47" s="251">
        <v>2</v>
      </c>
      <c r="AQ47" s="251">
        <v>2</v>
      </c>
      <c r="AR47" s="251">
        <v>0</v>
      </c>
      <c r="AS47" s="251">
        <v>2</v>
      </c>
      <c r="AT47" s="251">
        <v>1</v>
      </c>
      <c r="AU47" s="251">
        <v>1</v>
      </c>
      <c r="AV47" s="251">
        <v>0</v>
      </c>
      <c r="AW47" s="251">
        <v>1</v>
      </c>
      <c r="AX47" s="251">
        <v>0</v>
      </c>
      <c r="AY47" s="251">
        <v>3</v>
      </c>
      <c r="AZ47" s="251">
        <v>1</v>
      </c>
      <c r="BA47" s="251">
        <v>0</v>
      </c>
      <c r="BB47" s="251">
        <v>1</v>
      </c>
      <c r="BC47" s="251">
        <v>1</v>
      </c>
      <c r="BD47" s="251">
        <v>2</v>
      </c>
      <c r="BE47" s="251">
        <v>2</v>
      </c>
      <c r="BF47" s="251">
        <v>2</v>
      </c>
      <c r="BG47" s="251">
        <v>0</v>
      </c>
      <c r="BH47" s="251">
        <v>4</v>
      </c>
      <c r="BI47" s="251">
        <v>1</v>
      </c>
      <c r="BJ47" s="251">
        <v>1</v>
      </c>
      <c r="BK47" s="251">
        <v>0</v>
      </c>
      <c r="BL47" s="251">
        <v>0</v>
      </c>
      <c r="BM47" s="251">
        <v>1</v>
      </c>
      <c r="BN47" s="251">
        <v>2</v>
      </c>
      <c r="BO47" s="251">
        <v>0</v>
      </c>
      <c r="BP47" s="251">
        <v>3</v>
      </c>
      <c r="BQ47" s="251">
        <v>1</v>
      </c>
      <c r="BR47" s="251">
        <v>0</v>
      </c>
      <c r="BS47" s="251">
        <v>1</v>
      </c>
      <c r="BT47" s="270">
        <v>1</v>
      </c>
      <c r="BU47" s="270">
        <v>0</v>
      </c>
      <c r="BV47" s="270">
        <v>0</v>
      </c>
      <c r="BW47" s="270">
        <v>2</v>
      </c>
      <c r="BX47" s="270">
        <v>2</v>
      </c>
      <c r="BY47" s="270">
        <v>0</v>
      </c>
      <c r="BZ47" s="270">
        <v>0</v>
      </c>
      <c r="CA47" s="270">
        <v>2</v>
      </c>
      <c r="CB47" s="270">
        <v>0</v>
      </c>
      <c r="CC47" s="270">
        <v>0</v>
      </c>
      <c r="CD47" s="270">
        <v>1</v>
      </c>
      <c r="CE47" s="270">
        <v>2</v>
      </c>
      <c r="CF47" s="270">
        <v>0</v>
      </c>
      <c r="CG47" s="270">
        <v>1</v>
      </c>
      <c r="CH47" s="270">
        <v>1</v>
      </c>
      <c r="CI47" s="270">
        <v>0</v>
      </c>
      <c r="CJ47" s="270">
        <v>0</v>
      </c>
      <c r="CL47" s="91" t="s">
        <v>43</v>
      </c>
      <c r="CM47" s="93">
        <f>INDEX($2:$2,COUNTA($2:$2)-21)</f>
        <v>41699</v>
      </c>
      <c r="CN47" s="95" t="s">
        <v>137</v>
      </c>
      <c r="CO47" s="94">
        <f>INDEX($27:$27,COUNTA($2:$2)-21)</f>
        <v>0</v>
      </c>
      <c r="CP47" s="94">
        <f>INDEX($29:$29,COUNTA($2:$2)-21)</f>
        <v>0.66695380298273266</v>
      </c>
      <c r="CQ47" s="83" t="str">
        <f t="shared" si="10"/>
        <v>March</v>
      </c>
      <c r="CR47" s="91">
        <f t="shared" si="11"/>
        <v>2014</v>
      </c>
      <c r="CS47" s="91"/>
      <c r="CT47" s="91"/>
      <c r="CU47" s="91"/>
      <c r="CV47" s="91"/>
      <c r="CW47" s="91"/>
      <c r="CX47" s="91"/>
      <c r="CY47" s="91"/>
      <c r="CZ47" s="91"/>
    </row>
    <row r="48" spans="1:113" x14ac:dyDescent="0.2">
      <c r="A48" s="273" t="s">
        <v>138</v>
      </c>
      <c r="B48" s="251">
        <v>0</v>
      </c>
      <c r="C48" s="251">
        <v>0.87941079476750572</v>
      </c>
      <c r="D48" s="251">
        <v>3.2258931691712145</v>
      </c>
      <c r="E48" s="251">
        <v>2.6451527575717497</v>
      </c>
      <c r="F48" s="251">
        <v>1.8455036610178877</v>
      </c>
      <c r="G48" s="251">
        <v>2.664759882928216</v>
      </c>
      <c r="H48" s="251">
        <v>1.2040504256318256</v>
      </c>
      <c r="I48" s="251">
        <v>0</v>
      </c>
      <c r="J48" s="251">
        <v>0</v>
      </c>
      <c r="K48" s="251">
        <v>0.92729540386033082</v>
      </c>
      <c r="L48" s="251">
        <v>3.606999382301356</v>
      </c>
      <c r="M48" s="251">
        <v>1.8223770959272878</v>
      </c>
      <c r="N48" s="262">
        <v>0</v>
      </c>
      <c r="O48" s="251">
        <v>0</v>
      </c>
      <c r="P48" s="251">
        <v>1.0583410504034927</v>
      </c>
      <c r="Q48" s="251">
        <v>1.691160305085319</v>
      </c>
      <c r="R48" s="251">
        <v>3.7995761572796556</v>
      </c>
      <c r="S48" s="251">
        <v>0.6054405798667698</v>
      </c>
      <c r="T48" s="251">
        <v>1.7583306408895396</v>
      </c>
      <c r="U48" s="251">
        <v>3.4470426528440252</v>
      </c>
      <c r="V48" s="251">
        <v>0.95924641601557814</v>
      </c>
      <c r="W48" s="251">
        <v>0</v>
      </c>
      <c r="X48" s="251">
        <v>0.91774629958956089</v>
      </c>
      <c r="Y48" s="251">
        <v>0</v>
      </c>
      <c r="Z48" s="262">
        <f t="shared" ref="Z48:CJ48" si="37">Z47/Z42*200000</f>
        <v>1.8399496773763238</v>
      </c>
      <c r="AA48" s="251">
        <f t="shared" si="37"/>
        <v>0</v>
      </c>
      <c r="AB48" s="251">
        <f t="shared" si="37"/>
        <v>0</v>
      </c>
      <c r="AC48" s="251">
        <f t="shared" si="37"/>
        <v>2.7597400656027014</v>
      </c>
      <c r="AD48" s="251">
        <f t="shared" si="37"/>
        <v>2.8636326669469212</v>
      </c>
      <c r="AE48" s="251">
        <f t="shared" si="37"/>
        <v>0.6182141912489495</v>
      </c>
      <c r="AF48" s="251">
        <f t="shared" si="37"/>
        <v>3.8381710040477834</v>
      </c>
      <c r="AG48" s="251">
        <f t="shared" si="37"/>
        <v>0.93017964606013337</v>
      </c>
      <c r="AH48" s="251">
        <f t="shared" si="37"/>
        <v>0</v>
      </c>
      <c r="AI48" s="251">
        <f t="shared" si="37"/>
        <v>0</v>
      </c>
      <c r="AJ48" s="251">
        <f t="shared" si="37"/>
        <v>0.611533123324705</v>
      </c>
      <c r="AK48" s="251">
        <f t="shared" si="37"/>
        <v>1.803709264973594</v>
      </c>
      <c r="AL48" s="251">
        <f t="shared" si="37"/>
        <v>1.7234196661744725</v>
      </c>
      <c r="AM48" s="251">
        <f t="shared" si="37"/>
        <v>2.5793910779894373</v>
      </c>
      <c r="AN48" s="251">
        <f t="shared" si="37"/>
        <v>1.0192223812265759</v>
      </c>
      <c r="AO48" s="251">
        <f t="shared" si="37"/>
        <v>2.568326803148409</v>
      </c>
      <c r="AP48" s="251">
        <f t="shared" si="37"/>
        <v>1.1893658678816119</v>
      </c>
      <c r="AQ48" s="251">
        <f t="shared" si="37"/>
        <v>1.7933829995810209</v>
      </c>
      <c r="AR48" s="251">
        <f t="shared" si="37"/>
        <v>0</v>
      </c>
      <c r="AS48" s="251">
        <f t="shared" si="37"/>
        <v>1.7880680697845419</v>
      </c>
      <c r="AT48" s="251">
        <f t="shared" si="37"/>
        <v>0.91458444369600944</v>
      </c>
      <c r="AU48" s="251">
        <f t="shared" si="37"/>
        <v>0.60160149928719253</v>
      </c>
      <c r="AV48" s="251">
        <f t="shared" si="37"/>
        <v>0</v>
      </c>
      <c r="AW48" s="251">
        <f t="shared" si="37"/>
        <v>0.88682381125480514</v>
      </c>
      <c r="AX48" s="251">
        <f t="shared" si="37"/>
        <v>0</v>
      </c>
      <c r="AY48" s="251">
        <f t="shared" si="37"/>
        <v>2.5596182005235608</v>
      </c>
      <c r="AZ48" s="251">
        <f t="shared" si="37"/>
        <v>1.0500578319350937</v>
      </c>
      <c r="BA48" s="251">
        <f t="shared" si="37"/>
        <v>0</v>
      </c>
      <c r="BB48" s="251">
        <f t="shared" si="37"/>
        <v>0.59765280824354472</v>
      </c>
      <c r="BC48" s="251">
        <f t="shared" si="37"/>
        <v>0.89861376695161865</v>
      </c>
      <c r="BD48" s="251">
        <f t="shared" si="37"/>
        <v>1.7014927493651411</v>
      </c>
      <c r="BE48" s="251">
        <f t="shared" si="37"/>
        <v>1.8017109046750797</v>
      </c>
      <c r="BF48" s="251">
        <f t="shared" si="37"/>
        <v>1.8469075264944657</v>
      </c>
      <c r="BG48" s="251">
        <f t="shared" si="37"/>
        <v>0</v>
      </c>
      <c r="BH48" s="251">
        <f t="shared" si="37"/>
        <v>3.6601750716639403</v>
      </c>
      <c r="BI48" s="251">
        <f t="shared" si="37"/>
        <v>0.85442152458704745</v>
      </c>
      <c r="BJ48" s="251">
        <f t="shared" si="37"/>
        <v>0.88497129794713636</v>
      </c>
      <c r="BK48" s="251">
        <f t="shared" si="37"/>
        <v>0</v>
      </c>
      <c r="BL48" s="251">
        <f t="shared" si="37"/>
        <v>0</v>
      </c>
      <c r="BM48" s="251">
        <f t="shared" si="37"/>
        <v>0.49278166032234921</v>
      </c>
      <c r="BN48" s="251">
        <f t="shared" si="37"/>
        <v>0.97257806422146931</v>
      </c>
      <c r="BO48" s="251">
        <f t="shared" si="37"/>
        <v>0</v>
      </c>
      <c r="BP48" s="251">
        <f t="shared" si="37"/>
        <v>1.3420478464661476</v>
      </c>
      <c r="BQ48" s="251">
        <f t="shared" si="37"/>
        <v>0.48314096512142568</v>
      </c>
      <c r="BR48" s="251">
        <f t="shared" si="37"/>
        <v>0</v>
      </c>
      <c r="BS48" s="251">
        <f t="shared" si="37"/>
        <v>0.3763182404442873</v>
      </c>
      <c r="BT48" s="251">
        <f t="shared" si="37"/>
        <v>0.47482770935919361</v>
      </c>
      <c r="BU48" s="251">
        <f t="shared" si="37"/>
        <v>0</v>
      </c>
      <c r="BV48" s="251">
        <f t="shared" si="37"/>
        <v>0</v>
      </c>
      <c r="BW48" s="251">
        <f t="shared" si="37"/>
        <v>0.90407601995539866</v>
      </c>
      <c r="BX48" s="251">
        <f t="shared" si="37"/>
        <v>0.75151817930902165</v>
      </c>
      <c r="BY48" s="251">
        <f t="shared" si="37"/>
        <v>0</v>
      </c>
      <c r="BZ48" s="251">
        <f t="shared" si="37"/>
        <v>0</v>
      </c>
      <c r="CA48" s="251">
        <f t="shared" si="37"/>
        <v>0.94777606951672122</v>
      </c>
      <c r="CB48" s="251">
        <f t="shared" si="37"/>
        <v>0</v>
      </c>
      <c r="CC48" s="251">
        <f t="shared" si="37"/>
        <v>0</v>
      </c>
      <c r="CD48" s="251">
        <f t="shared" si="37"/>
        <v>0.31220113083308199</v>
      </c>
      <c r="CE48" s="251">
        <f t="shared" si="37"/>
        <v>0.94246021227502597</v>
      </c>
      <c r="CF48" s="251">
        <f t="shared" si="37"/>
        <v>0</v>
      </c>
      <c r="CG48" s="251">
        <f t="shared" si="37"/>
        <v>0.44891062633851125</v>
      </c>
      <c r="CH48" s="251">
        <f t="shared" si="37"/>
        <v>0.41492994574036202</v>
      </c>
      <c r="CI48" s="251">
        <f t="shared" si="37"/>
        <v>0</v>
      </c>
      <c r="CJ48" s="251">
        <f t="shared" si="37"/>
        <v>0</v>
      </c>
      <c r="CL48" s="91" t="s">
        <v>43</v>
      </c>
      <c r="CM48" s="93">
        <f>INDEX($2:$2,COUNTA($2:$2)-20)</f>
        <v>41730</v>
      </c>
      <c r="CN48" s="95" t="s">
        <v>137</v>
      </c>
      <c r="CO48" s="94">
        <f>INDEX($27:$27,COUNTA($2:$2)-20)</f>
        <v>0</v>
      </c>
      <c r="CP48" s="94">
        <f>INDEX($29:$29,COUNTA($2:$2)-20)</f>
        <v>0.5721371523939609</v>
      </c>
      <c r="CQ48" s="83" t="str">
        <f t="shared" si="10"/>
        <v>April</v>
      </c>
      <c r="CR48" s="91">
        <f t="shared" si="11"/>
        <v>2014</v>
      </c>
      <c r="CS48" s="91"/>
      <c r="CT48" s="91"/>
      <c r="CU48" s="91"/>
      <c r="CV48" s="91"/>
      <c r="CW48" s="91"/>
      <c r="CX48" s="91"/>
      <c r="CY48" s="91"/>
      <c r="CZ48" s="91"/>
    </row>
    <row r="49" spans="1:113" x14ac:dyDescent="0.2">
      <c r="A49" s="273" t="s">
        <v>136</v>
      </c>
      <c r="B49" s="271" t="s">
        <v>146</v>
      </c>
      <c r="C49" s="271" t="s">
        <v>146</v>
      </c>
      <c r="D49" s="271" t="s">
        <v>146</v>
      </c>
      <c r="E49" s="271" t="s">
        <v>146</v>
      </c>
      <c r="F49" s="271" t="s">
        <v>146</v>
      </c>
      <c r="G49" s="271" t="s">
        <v>146</v>
      </c>
      <c r="H49" s="271">
        <v>2.1367358307705224</v>
      </c>
      <c r="I49" s="271">
        <v>1.9796855976458712</v>
      </c>
      <c r="J49" s="271">
        <v>1.8483000615626097</v>
      </c>
      <c r="K49" s="271">
        <v>1.5315332248729352</v>
      </c>
      <c r="L49" s="271">
        <v>1.6838324025481997</v>
      </c>
      <c r="M49" s="271">
        <v>1.8177140428197498</v>
      </c>
      <c r="N49" s="262">
        <v>0</v>
      </c>
      <c r="O49" s="251">
        <v>0</v>
      </c>
      <c r="P49" s="251">
        <v>0.30723868159580386</v>
      </c>
      <c r="Q49" s="251">
        <v>0.67606875484022977</v>
      </c>
      <c r="R49" s="251">
        <v>1.2750066368649045</v>
      </c>
      <c r="S49" s="251">
        <v>1.120156805150369</v>
      </c>
      <c r="T49" s="251">
        <v>1.2078316164359191</v>
      </c>
      <c r="U49" s="251">
        <v>1.4830956623980613</v>
      </c>
      <c r="V49" s="251">
        <v>1.4309973438542802</v>
      </c>
      <c r="W49" s="251">
        <v>1.3016388327111212</v>
      </c>
      <c r="X49" s="251">
        <v>1.2684761730327556</v>
      </c>
      <c r="Y49" s="251">
        <v>1.129898187204766</v>
      </c>
      <c r="Z49" s="262">
        <f t="shared" ref="Z49:BE49" si="38">SUM(O47:Z47)/SUM(O42:Z42)*200000</f>
        <v>1.2780509416407753</v>
      </c>
      <c r="AA49" s="251">
        <f t="shared" si="38"/>
        <v>1.2835673451311285</v>
      </c>
      <c r="AB49" s="251">
        <f t="shared" si="38"/>
        <v>1.213569890086047</v>
      </c>
      <c r="AC49" s="251">
        <f t="shared" si="38"/>
        <v>1.293782237818911</v>
      </c>
      <c r="AD49" s="251">
        <f t="shared" si="38"/>
        <v>1.2223560406484291</v>
      </c>
      <c r="AE49" s="251">
        <f t="shared" si="38"/>
        <v>1.2253629251079516</v>
      </c>
      <c r="AF49" s="251">
        <f t="shared" si="38"/>
        <v>1.3789938669864683</v>
      </c>
      <c r="AG49" s="251">
        <f t="shared" si="38"/>
        <v>1.1684966724318588</v>
      </c>
      <c r="AH49" s="251">
        <f t="shared" si="38"/>
        <v>1.0928206806609568</v>
      </c>
      <c r="AI49" s="251">
        <f t="shared" si="38"/>
        <v>1.0911935154588659</v>
      </c>
      <c r="AJ49" s="251">
        <f t="shared" si="38"/>
        <v>1.0495363930120285</v>
      </c>
      <c r="AK49" s="251">
        <f t="shared" si="38"/>
        <v>1.227096368096833</v>
      </c>
      <c r="AL49" s="251">
        <f t="shared" si="38"/>
        <v>1.2206207490513705</v>
      </c>
      <c r="AM49" s="251">
        <f t="shared" si="38"/>
        <v>1.4281002778883207</v>
      </c>
      <c r="AN49" s="251">
        <f t="shared" si="38"/>
        <v>1.4940193392052779</v>
      </c>
      <c r="AO49" s="251">
        <f t="shared" si="38"/>
        <v>1.4854574038475628</v>
      </c>
      <c r="AP49" s="251">
        <f t="shared" si="38"/>
        <v>1.3540037669671101</v>
      </c>
      <c r="AQ49" s="251">
        <f t="shared" si="38"/>
        <v>1.4717573909141919</v>
      </c>
      <c r="AR49" s="251">
        <f t="shared" si="38"/>
        <v>1.1811261502166868</v>
      </c>
      <c r="AS49" s="251">
        <f t="shared" si="38"/>
        <v>1.246838921319612</v>
      </c>
      <c r="AT49" s="251">
        <f t="shared" si="38"/>
        <v>1.3144899992753358</v>
      </c>
      <c r="AU49" s="251">
        <f t="shared" si="38"/>
        <v>1.3285238246685069</v>
      </c>
      <c r="AV49" s="251">
        <f t="shared" si="38"/>
        <v>1.3090024140140255</v>
      </c>
      <c r="AW49" s="251">
        <f t="shared" si="38"/>
        <v>1.2385039611123794</v>
      </c>
      <c r="AX49" s="251">
        <f t="shared" si="38"/>
        <v>1.0995887610194301</v>
      </c>
      <c r="AY49" s="251">
        <f t="shared" si="38"/>
        <v>1.0989102275543972</v>
      </c>
      <c r="AZ49" s="251">
        <f t="shared" si="38"/>
        <v>1.1010891051265785</v>
      </c>
      <c r="BA49" s="251">
        <f t="shared" si="38"/>
        <v>0.89511349281685182</v>
      </c>
      <c r="BB49" s="251">
        <f t="shared" si="38"/>
        <v>0.82673427717957293</v>
      </c>
      <c r="BC49" s="251">
        <f t="shared" si="38"/>
        <v>0.75796432913752065</v>
      </c>
      <c r="BD49" s="251">
        <f t="shared" si="38"/>
        <v>0.89522775637406815</v>
      </c>
      <c r="BE49" s="251">
        <f t="shared" si="38"/>
        <v>0.89575020376680659</v>
      </c>
      <c r="BF49" s="251">
        <f t="shared" ref="BF49:CJ49" si="39">SUM(AU47:BF47)/SUM(AU42:BF42)*200000</f>
        <v>0.96535258884447595</v>
      </c>
      <c r="BG49" s="251">
        <f t="shared" si="39"/>
        <v>0.89711146291452137</v>
      </c>
      <c r="BH49" s="251">
        <f t="shared" si="39"/>
        <v>1.1733852589901468</v>
      </c>
      <c r="BI49" s="251">
        <f t="shared" si="39"/>
        <v>1.1699320847542849</v>
      </c>
      <c r="BJ49" s="251">
        <f t="shared" si="39"/>
        <v>1.2428343779782065</v>
      </c>
      <c r="BK49" s="251">
        <f t="shared" si="39"/>
        <v>1.0357427253599838</v>
      </c>
      <c r="BL49" s="251">
        <f t="shared" si="39"/>
        <v>0.87146259172750684</v>
      </c>
      <c r="BM49" s="251">
        <f t="shared" si="39"/>
        <v>0.88579521171174336</v>
      </c>
      <c r="BN49" s="251">
        <f t="shared" si="39"/>
        <v>0.92394145153950757</v>
      </c>
      <c r="BO49" s="251">
        <f t="shared" si="39"/>
        <v>0.81644810917761834</v>
      </c>
      <c r="BP49" s="251">
        <f t="shared" si="39"/>
        <v>0.82337499656273105</v>
      </c>
      <c r="BQ49" s="251">
        <f t="shared" si="39"/>
        <v>0.73558444453396243</v>
      </c>
      <c r="BR49" s="251">
        <f t="shared" si="39"/>
        <v>0.60398540232327169</v>
      </c>
      <c r="BS49" s="251">
        <f t="shared" si="39"/>
        <v>0.62138501913909139</v>
      </c>
      <c r="BT49" s="251">
        <f t="shared" si="39"/>
        <v>0.46722029553314715</v>
      </c>
      <c r="BU49" s="251">
        <f t="shared" si="39"/>
        <v>0.4071545681151586</v>
      </c>
      <c r="BV49" s="251">
        <f t="shared" si="39"/>
        <v>0.35296832527155964</v>
      </c>
      <c r="BW49" s="251">
        <f t="shared" si="39"/>
        <v>0.41448660606597421</v>
      </c>
      <c r="BX49" s="251">
        <f t="shared" si="39"/>
        <v>0.48752643733073925</v>
      </c>
      <c r="BY49" s="251">
        <f t="shared" si="39"/>
        <v>0.44899012186843484</v>
      </c>
      <c r="BZ49" s="251">
        <f t="shared" si="39"/>
        <v>0.37313349715461391</v>
      </c>
      <c r="CA49" s="251">
        <f t="shared" si="39"/>
        <v>0.44872749016134633</v>
      </c>
      <c r="CB49" s="251">
        <f t="shared" si="39"/>
        <v>0.33728312294038815</v>
      </c>
      <c r="CC49" s="251">
        <f t="shared" si="39"/>
        <v>0.29877509102619587</v>
      </c>
      <c r="CD49" s="251">
        <f t="shared" si="39"/>
        <v>0.32415593494734685</v>
      </c>
      <c r="CE49" s="251">
        <f t="shared" si="39"/>
        <v>0.36725286350009922</v>
      </c>
      <c r="CF49" s="251">
        <f t="shared" si="39"/>
        <v>0.32998227835068855</v>
      </c>
      <c r="CG49" s="251">
        <f t="shared" si="39"/>
        <v>0.36610959905345974</v>
      </c>
      <c r="CH49" s="251">
        <f t="shared" si="39"/>
        <v>0.39773006436809288</v>
      </c>
      <c r="CI49" s="251">
        <f t="shared" si="39"/>
        <v>0.3095086253741377</v>
      </c>
      <c r="CJ49" s="251">
        <f t="shared" si="39"/>
        <v>0.23509151674200338</v>
      </c>
      <c r="CL49" s="91" t="s">
        <v>43</v>
      </c>
      <c r="CM49" s="93">
        <f>INDEX($2:$2,COUNTA($2:$2)-19)</f>
        <v>41760</v>
      </c>
      <c r="CN49" s="95" t="s">
        <v>137</v>
      </c>
      <c r="CO49" s="94">
        <f>INDEX($27:$27,COUNTA($2:$2)-19)</f>
        <v>1</v>
      </c>
      <c r="CP49" s="94">
        <f>INDEX($29:$29,COUNTA($2:$2)-19)</f>
        <v>0.38293409773106185</v>
      </c>
      <c r="CQ49" s="83" t="str">
        <f t="shared" si="10"/>
        <v>May</v>
      </c>
      <c r="CR49" s="91">
        <f t="shared" si="11"/>
        <v>2014</v>
      </c>
      <c r="CS49" s="91"/>
      <c r="CT49" s="91"/>
      <c r="CU49" s="91"/>
      <c r="CV49" s="91"/>
      <c r="CW49" s="91"/>
      <c r="CX49" s="91"/>
      <c r="CY49" s="91"/>
      <c r="CZ49" s="91"/>
    </row>
    <row r="50" spans="1:113" x14ac:dyDescent="0.2">
      <c r="A50" s="273" t="s">
        <v>139</v>
      </c>
      <c r="B50" s="251">
        <v>1</v>
      </c>
      <c r="C50" s="251">
        <v>3</v>
      </c>
      <c r="D50" s="251">
        <v>2</v>
      </c>
      <c r="E50" s="251">
        <v>3</v>
      </c>
      <c r="F50" s="251">
        <v>2</v>
      </c>
      <c r="G50" s="251">
        <v>0</v>
      </c>
      <c r="H50" s="251">
        <v>0</v>
      </c>
      <c r="I50" s="251">
        <v>0</v>
      </c>
      <c r="J50" s="251">
        <v>0</v>
      </c>
      <c r="K50" s="251">
        <v>0</v>
      </c>
      <c r="L50" s="251">
        <v>0</v>
      </c>
      <c r="M50" s="251">
        <v>0</v>
      </c>
      <c r="N50" s="262">
        <v>1</v>
      </c>
      <c r="O50" s="251">
        <v>1</v>
      </c>
      <c r="P50" s="251">
        <v>1</v>
      </c>
      <c r="Q50" s="251">
        <v>1</v>
      </c>
      <c r="R50" s="251">
        <v>1</v>
      </c>
      <c r="S50" s="251">
        <v>0</v>
      </c>
      <c r="T50" s="251">
        <v>2</v>
      </c>
      <c r="U50" s="251">
        <v>1</v>
      </c>
      <c r="V50" s="251">
        <v>1</v>
      </c>
      <c r="W50" s="251">
        <v>0</v>
      </c>
      <c r="X50" s="251">
        <v>1</v>
      </c>
      <c r="Y50" s="251">
        <v>3</v>
      </c>
      <c r="Z50" s="262">
        <v>2</v>
      </c>
      <c r="AA50" s="251">
        <v>3</v>
      </c>
      <c r="AB50" s="251">
        <v>4</v>
      </c>
      <c r="AC50" s="263">
        <v>1</v>
      </c>
      <c r="AD50" s="263">
        <v>2</v>
      </c>
      <c r="AE50" s="263">
        <v>0</v>
      </c>
      <c r="AF50" s="263">
        <v>3</v>
      </c>
      <c r="AG50" s="263">
        <v>3</v>
      </c>
      <c r="AH50" s="251">
        <v>2</v>
      </c>
      <c r="AI50" s="251">
        <v>2</v>
      </c>
      <c r="AJ50" s="251">
        <v>2</v>
      </c>
      <c r="AK50" s="251">
        <v>0</v>
      </c>
      <c r="AL50" s="251">
        <v>0</v>
      </c>
      <c r="AM50" s="251">
        <v>3</v>
      </c>
      <c r="AN50" s="251">
        <v>1</v>
      </c>
      <c r="AO50" s="251">
        <v>2</v>
      </c>
      <c r="AP50" s="251">
        <v>2</v>
      </c>
      <c r="AQ50" s="251">
        <v>0</v>
      </c>
      <c r="AR50" s="251">
        <v>0</v>
      </c>
      <c r="AS50" s="251">
        <v>1</v>
      </c>
      <c r="AT50" s="251">
        <v>0</v>
      </c>
      <c r="AU50" s="251">
        <v>0</v>
      </c>
      <c r="AV50" s="251">
        <v>1</v>
      </c>
      <c r="AW50" s="251">
        <v>1</v>
      </c>
      <c r="AX50" s="251">
        <v>0</v>
      </c>
      <c r="AY50" s="251">
        <v>0</v>
      </c>
      <c r="AZ50" s="251">
        <v>5</v>
      </c>
      <c r="BA50" s="251">
        <v>0</v>
      </c>
      <c r="BB50" s="251">
        <v>0</v>
      </c>
      <c r="BC50" s="251">
        <v>1</v>
      </c>
      <c r="BD50" s="251">
        <v>0</v>
      </c>
      <c r="BE50" s="251">
        <v>0</v>
      </c>
      <c r="BF50" s="251">
        <v>0</v>
      </c>
      <c r="BG50" s="251">
        <v>0</v>
      </c>
      <c r="BH50" s="251">
        <v>2</v>
      </c>
      <c r="BI50" s="251">
        <v>0</v>
      </c>
      <c r="BJ50" s="251">
        <v>0</v>
      </c>
      <c r="BK50" s="251">
        <v>3</v>
      </c>
      <c r="BL50" s="251">
        <v>3</v>
      </c>
      <c r="BM50" s="251">
        <v>3</v>
      </c>
      <c r="BN50" s="251">
        <v>2</v>
      </c>
      <c r="BO50" s="251">
        <v>1</v>
      </c>
      <c r="BP50" s="251">
        <v>0</v>
      </c>
      <c r="BQ50" s="251">
        <v>1</v>
      </c>
      <c r="BR50" s="251">
        <v>2</v>
      </c>
      <c r="BS50" s="251">
        <v>0</v>
      </c>
      <c r="BT50" s="270">
        <v>1</v>
      </c>
      <c r="BU50" s="270">
        <v>0</v>
      </c>
      <c r="BV50" s="270">
        <v>0</v>
      </c>
      <c r="BW50" s="270">
        <v>0</v>
      </c>
      <c r="BX50" s="270">
        <v>3</v>
      </c>
      <c r="BY50" s="270">
        <v>1</v>
      </c>
      <c r="BZ50" s="270">
        <v>0</v>
      </c>
      <c r="CA50" s="270">
        <v>0</v>
      </c>
      <c r="CB50" s="270">
        <v>1</v>
      </c>
      <c r="CC50" s="270">
        <v>3</v>
      </c>
      <c r="CD50" s="270">
        <v>1</v>
      </c>
      <c r="CE50" s="270"/>
      <c r="CF50" s="270">
        <v>1</v>
      </c>
      <c r="CG50" s="270"/>
      <c r="CH50" s="270">
        <v>0</v>
      </c>
      <c r="CI50" s="270">
        <v>1</v>
      </c>
      <c r="CJ50" s="270">
        <v>2</v>
      </c>
      <c r="CL50" s="91" t="s">
        <v>43</v>
      </c>
      <c r="CM50" s="93">
        <f>INDEX($2:$2,COUNTA($2:$2)-18)</f>
        <v>41791</v>
      </c>
      <c r="CN50" s="95" t="s">
        <v>137</v>
      </c>
      <c r="CO50" s="94">
        <f>INDEX($27:$27,COUNTA($2:$2)-18)</f>
        <v>0</v>
      </c>
      <c r="CP50" s="94">
        <f>INDEX($29:$29,COUNTA($2:$2)-18)</f>
        <v>0.38322752980109009</v>
      </c>
      <c r="CQ50" s="83" t="str">
        <f t="shared" si="10"/>
        <v>June</v>
      </c>
      <c r="CR50" s="91">
        <f t="shared" si="11"/>
        <v>2014</v>
      </c>
      <c r="CS50" s="91"/>
      <c r="CT50" s="91"/>
      <c r="CU50" s="91"/>
      <c r="CV50" s="91"/>
      <c r="CW50" s="91"/>
      <c r="CX50" s="91"/>
      <c r="CY50" s="91"/>
      <c r="CZ50" s="91"/>
    </row>
    <row r="51" spans="1:113" x14ac:dyDescent="0.2">
      <c r="A51" s="273" t="s">
        <v>140</v>
      </c>
      <c r="B51" s="251">
        <v>0.87620916865274079</v>
      </c>
      <c r="C51" s="251">
        <v>2.6382323843025173</v>
      </c>
      <c r="D51" s="251">
        <v>2.1505954461141426</v>
      </c>
      <c r="E51" s="251">
        <v>2.6451527575717497</v>
      </c>
      <c r="F51" s="251">
        <v>1.8455036610178877</v>
      </c>
      <c r="G51" s="251">
        <v>0</v>
      </c>
      <c r="H51" s="251">
        <v>0</v>
      </c>
      <c r="I51" s="251">
        <v>0</v>
      </c>
      <c r="J51" s="251">
        <v>0</v>
      </c>
      <c r="K51" s="251">
        <v>0</v>
      </c>
      <c r="L51" s="251">
        <v>0</v>
      </c>
      <c r="M51" s="251">
        <v>0</v>
      </c>
      <c r="N51" s="262">
        <v>0.85939557849568815</v>
      </c>
      <c r="O51" s="251">
        <v>0.87236056406834062</v>
      </c>
      <c r="P51" s="251">
        <v>1.0583410504034927</v>
      </c>
      <c r="Q51" s="251">
        <v>0.8455801525426595</v>
      </c>
      <c r="R51" s="251">
        <v>0.9498940393199139</v>
      </c>
      <c r="S51" s="251">
        <v>0</v>
      </c>
      <c r="T51" s="251">
        <v>1.7583306408895396</v>
      </c>
      <c r="U51" s="251">
        <v>0.86176066321100631</v>
      </c>
      <c r="V51" s="251">
        <v>0.95924641601557814</v>
      </c>
      <c r="W51" s="251">
        <v>0</v>
      </c>
      <c r="X51" s="251">
        <v>0.91774629958956089</v>
      </c>
      <c r="Y51" s="251">
        <v>1.9392270170005244</v>
      </c>
      <c r="Z51" s="262">
        <f t="shared" ref="Z51:CJ51" si="40">Z50/Z42*200000</f>
        <v>1.8399496773763238</v>
      </c>
      <c r="AA51" s="251">
        <f t="shared" si="40"/>
        <v>2.7629747567718783</v>
      </c>
      <c r="AB51" s="251">
        <f t="shared" si="40"/>
        <v>4.3023891166764896</v>
      </c>
      <c r="AC51" s="251">
        <f t="shared" si="40"/>
        <v>0.91991335520090034</v>
      </c>
      <c r="AD51" s="251">
        <f t="shared" si="40"/>
        <v>1.9090884446312806</v>
      </c>
      <c r="AE51" s="251">
        <f t="shared" si="40"/>
        <v>0</v>
      </c>
      <c r="AF51" s="251">
        <f t="shared" si="40"/>
        <v>2.8786282530358376</v>
      </c>
      <c r="AG51" s="251">
        <f t="shared" si="40"/>
        <v>2.7905389381803998</v>
      </c>
      <c r="AH51" s="251">
        <f t="shared" si="40"/>
        <v>1.8593829553990275</v>
      </c>
      <c r="AI51" s="251">
        <f t="shared" si="40"/>
        <v>1.882880856665601</v>
      </c>
      <c r="AJ51" s="251">
        <f t="shared" si="40"/>
        <v>1.22306624664941</v>
      </c>
      <c r="AK51" s="251">
        <f t="shared" si="40"/>
        <v>0</v>
      </c>
      <c r="AL51" s="251">
        <f t="shared" si="40"/>
        <v>0</v>
      </c>
      <c r="AM51" s="251">
        <f t="shared" si="40"/>
        <v>2.5793910779894373</v>
      </c>
      <c r="AN51" s="251">
        <f t="shared" si="40"/>
        <v>1.0192223812265759</v>
      </c>
      <c r="AO51" s="251">
        <f t="shared" si="40"/>
        <v>1.7122178687656062</v>
      </c>
      <c r="AP51" s="251">
        <f t="shared" si="40"/>
        <v>1.1893658678816119</v>
      </c>
      <c r="AQ51" s="251">
        <f t="shared" si="40"/>
        <v>0</v>
      </c>
      <c r="AR51" s="251">
        <f t="shared" si="40"/>
        <v>0</v>
      </c>
      <c r="AS51" s="251">
        <f t="shared" si="40"/>
        <v>0.89403403489227096</v>
      </c>
      <c r="AT51" s="251">
        <f t="shared" si="40"/>
        <v>0</v>
      </c>
      <c r="AU51" s="251">
        <f t="shared" si="40"/>
        <v>0</v>
      </c>
      <c r="AV51" s="251">
        <f t="shared" si="40"/>
        <v>0.91257391335375337</v>
      </c>
      <c r="AW51" s="251">
        <f t="shared" si="40"/>
        <v>0.88682381125480514</v>
      </c>
      <c r="AX51" s="251">
        <f t="shared" si="40"/>
        <v>0</v>
      </c>
      <c r="AY51" s="251">
        <f t="shared" si="40"/>
        <v>0</v>
      </c>
      <c r="AZ51" s="251">
        <f t="shared" si="40"/>
        <v>5.2502891596754688</v>
      </c>
      <c r="BA51" s="251">
        <f t="shared" si="40"/>
        <v>0</v>
      </c>
      <c r="BB51" s="251">
        <f t="shared" si="40"/>
        <v>0</v>
      </c>
      <c r="BC51" s="251">
        <f t="shared" si="40"/>
        <v>0.89861376695161865</v>
      </c>
      <c r="BD51" s="251">
        <f t="shared" si="40"/>
        <v>0</v>
      </c>
      <c r="BE51" s="251">
        <f t="shared" si="40"/>
        <v>0</v>
      </c>
      <c r="BF51" s="251">
        <f t="shared" si="40"/>
        <v>0</v>
      </c>
      <c r="BG51" s="251">
        <f t="shared" si="40"/>
        <v>0</v>
      </c>
      <c r="BH51" s="251">
        <f t="shared" si="40"/>
        <v>1.8300875358319701</v>
      </c>
      <c r="BI51" s="251">
        <f t="shared" si="40"/>
        <v>0</v>
      </c>
      <c r="BJ51" s="251">
        <f t="shared" si="40"/>
        <v>0</v>
      </c>
      <c r="BK51" s="251">
        <f t="shared" si="40"/>
        <v>2.5610668243373231</v>
      </c>
      <c r="BL51" s="251">
        <f t="shared" si="40"/>
        <v>1.1834720319818326</v>
      </c>
      <c r="BM51" s="251">
        <f t="shared" si="40"/>
        <v>1.4783449809670477</v>
      </c>
      <c r="BN51" s="251">
        <f t="shared" si="40"/>
        <v>0.97257806422146931</v>
      </c>
      <c r="BO51" s="251">
        <f t="shared" si="40"/>
        <v>0.46126008043545547</v>
      </c>
      <c r="BP51" s="251">
        <f t="shared" si="40"/>
        <v>0</v>
      </c>
      <c r="BQ51" s="251">
        <f t="shared" si="40"/>
        <v>0.48314096512142568</v>
      </c>
      <c r="BR51" s="251">
        <f t="shared" si="40"/>
        <v>0.90308053866406113</v>
      </c>
      <c r="BS51" s="251">
        <f t="shared" si="40"/>
        <v>0</v>
      </c>
      <c r="BT51" s="251">
        <f t="shared" si="40"/>
        <v>0.47482770935919361</v>
      </c>
      <c r="BU51" s="251">
        <f t="shared" si="40"/>
        <v>0</v>
      </c>
      <c r="BV51" s="251">
        <f t="shared" si="40"/>
        <v>0</v>
      </c>
      <c r="BW51" s="251">
        <f t="shared" si="40"/>
        <v>0</v>
      </c>
      <c r="BX51" s="251">
        <f t="shared" si="40"/>
        <v>1.1272772689635324</v>
      </c>
      <c r="BY51" s="251">
        <f t="shared" si="40"/>
        <v>0.47830375885531579</v>
      </c>
      <c r="BZ51" s="251">
        <f t="shared" si="40"/>
        <v>0</v>
      </c>
      <c r="CA51" s="251">
        <f t="shared" si="40"/>
        <v>0</v>
      </c>
      <c r="CB51" s="263">
        <f t="shared" si="40"/>
        <v>0.45936568305908515</v>
      </c>
      <c r="CC51" s="263">
        <f t="shared" si="40"/>
        <v>1.387623645939501</v>
      </c>
      <c r="CD51" s="263">
        <f t="shared" si="40"/>
        <v>0.31220113083308199</v>
      </c>
      <c r="CE51" s="263">
        <f t="shared" si="40"/>
        <v>0</v>
      </c>
      <c r="CF51" s="263">
        <f t="shared" si="40"/>
        <v>0.46489495663587688</v>
      </c>
      <c r="CG51" s="263">
        <f t="shared" si="40"/>
        <v>0</v>
      </c>
      <c r="CH51" s="263">
        <f t="shared" si="40"/>
        <v>0</v>
      </c>
      <c r="CI51" s="263">
        <f t="shared" si="40"/>
        <v>0.27520884274633467</v>
      </c>
      <c r="CJ51" s="263">
        <f t="shared" si="40"/>
        <v>0.59549180487602205</v>
      </c>
      <c r="CL51" s="91" t="s">
        <v>43</v>
      </c>
      <c r="CM51" s="93">
        <f>INDEX($2:$2,COUNTA($2:$2)-17)</f>
        <v>41821</v>
      </c>
      <c r="CN51" s="95" t="s">
        <v>137</v>
      </c>
      <c r="CO51" s="94">
        <f>INDEX($27:$27,COUNTA($2:$2)-17)</f>
        <v>0</v>
      </c>
      <c r="CP51" s="94">
        <f>INDEX($29:$29,COUNTA($2:$2)-17)</f>
        <v>0.38391272465960791</v>
      </c>
      <c r="CQ51" s="83" t="str">
        <f t="shared" si="10"/>
        <v>July</v>
      </c>
      <c r="CR51" s="91">
        <f t="shared" si="11"/>
        <v>2014</v>
      </c>
      <c r="CS51" s="91"/>
      <c r="CT51" s="91"/>
      <c r="CU51" s="91"/>
      <c r="CV51" s="91"/>
      <c r="CW51" s="91"/>
      <c r="CX51" s="91"/>
      <c r="CY51" s="91"/>
      <c r="CZ51" s="91"/>
    </row>
    <row r="52" spans="1:113" x14ac:dyDescent="0.2">
      <c r="A52" s="273" t="s">
        <v>136</v>
      </c>
      <c r="B52" s="271" t="s">
        <v>146</v>
      </c>
      <c r="C52" s="271" t="s">
        <v>146</v>
      </c>
      <c r="D52" s="271" t="s">
        <v>146</v>
      </c>
      <c r="E52" s="271" t="s">
        <v>146</v>
      </c>
      <c r="F52" s="271" t="s">
        <v>146</v>
      </c>
      <c r="G52" s="271" t="s">
        <v>146</v>
      </c>
      <c r="H52" s="271">
        <v>1.6788638670339819</v>
      </c>
      <c r="I52" s="271">
        <v>1.4140611411756223</v>
      </c>
      <c r="J52" s="271">
        <v>0.99523849468755921</v>
      </c>
      <c r="K52" s="271">
        <v>0.69615146585133403</v>
      </c>
      <c r="L52" s="271">
        <v>0.28063873375803328</v>
      </c>
      <c r="M52" s="271">
        <v>0</v>
      </c>
      <c r="N52" s="262">
        <v>0.85939557849568815</v>
      </c>
      <c r="O52" s="251">
        <v>0.86582953937652052</v>
      </c>
      <c r="P52" s="251">
        <v>0.92171604478741165</v>
      </c>
      <c r="Q52" s="251">
        <v>0.90142500645363965</v>
      </c>
      <c r="R52" s="251">
        <v>0.91071902633207447</v>
      </c>
      <c r="S52" s="251">
        <v>0.70009800321898064</v>
      </c>
      <c r="T52" s="251">
        <v>0.84548213150514329</v>
      </c>
      <c r="U52" s="251">
        <v>0.84748323565603501</v>
      </c>
      <c r="V52" s="251">
        <v>0.85859840631256812</v>
      </c>
      <c r="W52" s="251">
        <v>0.78098329962667268</v>
      </c>
      <c r="X52" s="251">
        <v>0.79279760814547218</v>
      </c>
      <c r="Y52" s="251">
        <v>0.91804227710387243</v>
      </c>
      <c r="Z52" s="262">
        <f t="shared" ref="Z52:BE52" si="41">SUM(O50:Z50)/SUM(O42:Z42)*200000</f>
        <v>0.99403962127615864</v>
      </c>
      <c r="AA52" s="251">
        <f t="shared" si="41"/>
        <v>1.1409487512276697</v>
      </c>
      <c r="AB52" s="251">
        <f t="shared" si="41"/>
        <v>1.3563428183314643</v>
      </c>
      <c r="AC52" s="251">
        <f t="shared" si="41"/>
        <v>1.3656590288088504</v>
      </c>
      <c r="AD52" s="251">
        <f t="shared" si="41"/>
        <v>1.4380659301746226</v>
      </c>
      <c r="AE52" s="251">
        <f t="shared" si="41"/>
        <v>1.4416034413034724</v>
      </c>
      <c r="AF52" s="251">
        <f t="shared" si="41"/>
        <v>1.5241511161429386</v>
      </c>
      <c r="AG52" s="251">
        <f t="shared" si="41"/>
        <v>1.679713966620797</v>
      </c>
      <c r="AH52" s="251">
        <f t="shared" si="41"/>
        <v>1.7485130890575309</v>
      </c>
      <c r="AI52" s="251">
        <f t="shared" si="41"/>
        <v>1.8914020934620341</v>
      </c>
      <c r="AJ52" s="251">
        <f t="shared" si="41"/>
        <v>1.8891655074216516</v>
      </c>
      <c r="AK52" s="251">
        <f t="shared" si="41"/>
        <v>1.732371343195529</v>
      </c>
      <c r="AL52" s="251">
        <f t="shared" si="41"/>
        <v>1.5796268517135386</v>
      </c>
      <c r="AM52" s="251">
        <f t="shared" si="41"/>
        <v>1.570910305677153</v>
      </c>
      <c r="AN52" s="251">
        <f t="shared" si="41"/>
        <v>1.3517317830904894</v>
      </c>
      <c r="AO52" s="251">
        <f t="shared" si="41"/>
        <v>1.4147213369976788</v>
      </c>
      <c r="AP52" s="251">
        <f t="shared" si="41"/>
        <v>1.3540037669671101</v>
      </c>
      <c r="AQ52" s="251">
        <f t="shared" si="41"/>
        <v>1.4016737056325639</v>
      </c>
      <c r="AR52" s="251">
        <f t="shared" si="41"/>
        <v>1.1811261502166868</v>
      </c>
      <c r="AS52" s="251">
        <f t="shared" si="41"/>
        <v>1.0390324344330102</v>
      </c>
      <c r="AT52" s="251">
        <f t="shared" si="41"/>
        <v>0.89938789424101928</v>
      </c>
      <c r="AU52" s="251">
        <f t="shared" si="41"/>
        <v>0.73068810356767877</v>
      </c>
      <c r="AV52" s="251">
        <f t="shared" si="41"/>
        <v>0.68894863895475034</v>
      </c>
      <c r="AW52" s="251">
        <f t="shared" si="41"/>
        <v>0.75686353179089838</v>
      </c>
      <c r="AX52" s="251">
        <f t="shared" si="41"/>
        <v>0.75596727320085821</v>
      </c>
      <c r="AY52" s="251">
        <f t="shared" si="41"/>
        <v>0.54945511377719858</v>
      </c>
      <c r="AZ52" s="251">
        <f t="shared" si="41"/>
        <v>0.8258168288449339</v>
      </c>
      <c r="BA52" s="251">
        <f t="shared" si="41"/>
        <v>0.68854884062834765</v>
      </c>
      <c r="BB52" s="251">
        <f t="shared" si="41"/>
        <v>0.55115618478638206</v>
      </c>
      <c r="BC52" s="251">
        <f t="shared" si="41"/>
        <v>0.62015263293069878</v>
      </c>
      <c r="BD52" s="251">
        <f t="shared" si="41"/>
        <v>0.61977306210512417</v>
      </c>
      <c r="BE52" s="251">
        <f t="shared" si="41"/>
        <v>0.55123089462572716</v>
      </c>
      <c r="BF52" s="251">
        <f t="shared" ref="BF52:CJ52" si="42">SUM(AU50:BF50)/SUM(AU42:BF42)*200000</f>
        <v>0.55163005076827187</v>
      </c>
      <c r="BG52" s="251">
        <f t="shared" si="42"/>
        <v>0.55206859256278229</v>
      </c>
      <c r="BH52" s="251">
        <f t="shared" si="42"/>
        <v>0.62120396064184236</v>
      </c>
      <c r="BI52" s="251">
        <f t="shared" si="42"/>
        <v>0.55055627517848693</v>
      </c>
      <c r="BJ52" s="251">
        <f t="shared" si="42"/>
        <v>0.55237083465698067</v>
      </c>
      <c r="BK52" s="251">
        <f t="shared" si="42"/>
        <v>0.75954466526398801</v>
      </c>
      <c r="BL52" s="251">
        <f t="shared" si="42"/>
        <v>0.56022595182482582</v>
      </c>
      <c r="BM52" s="251">
        <f t="shared" si="42"/>
        <v>0.70863616936939466</v>
      </c>
      <c r="BN52" s="251">
        <f t="shared" si="42"/>
        <v>0.80844877009706928</v>
      </c>
      <c r="BO52" s="251">
        <f t="shared" si="42"/>
        <v>0.76201823523244383</v>
      </c>
      <c r="BP52" s="251">
        <f t="shared" si="42"/>
        <v>0.72045312199238976</v>
      </c>
      <c r="BQ52" s="251">
        <f t="shared" si="42"/>
        <v>0.73558444453396243</v>
      </c>
      <c r="BR52" s="251">
        <f t="shared" si="42"/>
        <v>0.78982706457658602</v>
      </c>
      <c r="BS52" s="251">
        <f t="shared" si="42"/>
        <v>0.75453895181175379</v>
      </c>
      <c r="BT52" s="251">
        <f t="shared" si="42"/>
        <v>0.67959315713912316</v>
      </c>
      <c r="BU52" s="251">
        <f t="shared" si="42"/>
        <v>0.65144730898425374</v>
      </c>
      <c r="BV52" s="251">
        <f t="shared" si="42"/>
        <v>0.62749924492721709</v>
      </c>
      <c r="BW52" s="251">
        <f t="shared" si="42"/>
        <v>0.48984780716887866</v>
      </c>
      <c r="BX52" s="251">
        <f t="shared" si="42"/>
        <v>0.48752643733073925</v>
      </c>
      <c r="BY52" s="251">
        <f t="shared" si="42"/>
        <v>0.41157427837939858</v>
      </c>
      <c r="BZ52" s="251">
        <f t="shared" si="42"/>
        <v>0.33582014743915251</v>
      </c>
      <c r="CA52" s="251">
        <f t="shared" si="42"/>
        <v>0.29915166010756428</v>
      </c>
      <c r="CB52" s="251">
        <f t="shared" si="42"/>
        <v>0.33728312294038815</v>
      </c>
      <c r="CC52" s="251">
        <f t="shared" si="42"/>
        <v>0.41081575016101929</v>
      </c>
      <c r="CD52" s="251">
        <f t="shared" si="42"/>
        <v>0.36017326105260761</v>
      </c>
      <c r="CE52" s="251">
        <f t="shared" si="42"/>
        <v>0.36725286350009922</v>
      </c>
      <c r="CF52" s="251">
        <f t="shared" si="42"/>
        <v>0.36664697594520956</v>
      </c>
      <c r="CG52" s="251">
        <f t="shared" si="42"/>
        <v>0.36610959905345974</v>
      </c>
      <c r="CH52" s="251">
        <f t="shared" si="42"/>
        <v>0.36157278578917534</v>
      </c>
      <c r="CI52" s="251">
        <f t="shared" si="42"/>
        <v>0.3782883199017239</v>
      </c>
      <c r="CJ52" s="251">
        <f t="shared" si="42"/>
        <v>0.33584502391714766</v>
      </c>
      <c r="CL52" s="91" t="s">
        <v>43</v>
      </c>
      <c r="CM52" s="93">
        <f>INDEX($2:$2,COUNTA($2:$2)-16)</f>
        <v>41852</v>
      </c>
      <c r="CN52" s="95" t="s">
        <v>137</v>
      </c>
      <c r="CO52" s="94">
        <f>INDEX($27:$27,COUNTA($2:$2)-16)</f>
        <v>0</v>
      </c>
      <c r="CP52" s="94">
        <f>INDEX($29:$29,COUNTA($2:$2)-16)</f>
        <v>0.3837953486527198</v>
      </c>
      <c r="CQ52" s="83" t="str">
        <f t="shared" si="10"/>
        <v>August</v>
      </c>
      <c r="CR52" s="91">
        <f t="shared" si="11"/>
        <v>2014</v>
      </c>
      <c r="CS52" s="91"/>
      <c r="CT52" s="91"/>
      <c r="CU52" s="91"/>
      <c r="CV52" s="91"/>
      <c r="CW52" s="91"/>
      <c r="CX52" s="91"/>
      <c r="CY52" s="91"/>
      <c r="CZ52" s="91"/>
    </row>
    <row r="53" spans="1:113" ht="15" x14ac:dyDescent="0.25">
      <c r="A53" s="273" t="s">
        <v>141</v>
      </c>
      <c r="B53" s="251">
        <v>1</v>
      </c>
      <c r="C53" s="251">
        <v>0</v>
      </c>
      <c r="D53" s="251">
        <v>0</v>
      </c>
      <c r="E53" s="251">
        <v>0</v>
      </c>
      <c r="F53" s="251">
        <v>1</v>
      </c>
      <c r="G53" s="251">
        <v>0</v>
      </c>
      <c r="H53" s="251">
        <v>0</v>
      </c>
      <c r="I53" s="251">
        <v>1</v>
      </c>
      <c r="J53" s="251">
        <v>1</v>
      </c>
      <c r="K53" s="251">
        <v>0</v>
      </c>
      <c r="L53" s="251">
        <v>0</v>
      </c>
      <c r="M53" s="251">
        <v>0</v>
      </c>
      <c r="N53" s="262">
        <v>0</v>
      </c>
      <c r="O53" s="251">
        <v>0</v>
      </c>
      <c r="P53" s="251">
        <v>1</v>
      </c>
      <c r="Q53" s="251">
        <v>0</v>
      </c>
      <c r="R53" s="251">
        <v>0</v>
      </c>
      <c r="S53" s="251">
        <v>0</v>
      </c>
      <c r="T53" s="251">
        <v>1</v>
      </c>
      <c r="U53" s="251">
        <v>0</v>
      </c>
      <c r="V53" s="251">
        <v>0</v>
      </c>
      <c r="W53" s="251">
        <v>0</v>
      </c>
      <c r="X53" s="251">
        <v>1</v>
      </c>
      <c r="Y53" s="251">
        <v>1</v>
      </c>
      <c r="Z53" s="262">
        <v>0</v>
      </c>
      <c r="AA53" s="251">
        <v>0</v>
      </c>
      <c r="AB53" s="251">
        <v>1</v>
      </c>
      <c r="AC53" s="263">
        <v>0</v>
      </c>
      <c r="AD53" s="263">
        <v>0</v>
      </c>
      <c r="AE53" s="263">
        <v>0</v>
      </c>
      <c r="AF53" s="263">
        <v>0</v>
      </c>
      <c r="AG53" s="263">
        <v>1</v>
      </c>
      <c r="AH53" s="251">
        <v>2</v>
      </c>
      <c r="AI53" s="251">
        <v>0</v>
      </c>
      <c r="AJ53" s="251">
        <v>0</v>
      </c>
      <c r="AK53" s="251">
        <v>0</v>
      </c>
      <c r="AL53" s="251">
        <v>0</v>
      </c>
      <c r="AM53" s="251">
        <v>0</v>
      </c>
      <c r="AN53" s="251">
        <v>0</v>
      </c>
      <c r="AO53" s="251">
        <v>0</v>
      </c>
      <c r="AP53" s="251">
        <v>0</v>
      </c>
      <c r="AQ53" s="251">
        <v>1</v>
      </c>
      <c r="AR53" s="251">
        <v>1</v>
      </c>
      <c r="AS53" s="251">
        <v>0</v>
      </c>
      <c r="AT53" s="251">
        <v>0</v>
      </c>
      <c r="AU53" s="251">
        <v>0</v>
      </c>
      <c r="AV53" s="251">
        <v>0</v>
      </c>
      <c r="AW53" s="251">
        <v>0</v>
      </c>
      <c r="AX53" s="251">
        <v>1</v>
      </c>
      <c r="AY53" s="251">
        <v>1</v>
      </c>
      <c r="AZ53" s="251">
        <v>1</v>
      </c>
      <c r="BA53" s="251">
        <v>1</v>
      </c>
      <c r="BB53" s="251">
        <v>0</v>
      </c>
      <c r="BC53" s="251">
        <v>1</v>
      </c>
      <c r="BD53" s="251">
        <v>0</v>
      </c>
      <c r="BE53" s="251">
        <v>0</v>
      </c>
      <c r="BF53" s="251">
        <v>0</v>
      </c>
      <c r="BG53" s="251">
        <v>0</v>
      </c>
      <c r="BH53" s="251">
        <v>0</v>
      </c>
      <c r="BI53" s="251">
        <v>1</v>
      </c>
      <c r="BJ53" s="251">
        <v>0</v>
      </c>
      <c r="BK53" s="251">
        <v>1</v>
      </c>
      <c r="BL53" s="251">
        <v>0</v>
      </c>
      <c r="BM53" s="251">
        <v>0</v>
      </c>
      <c r="BN53" s="251">
        <v>0</v>
      </c>
      <c r="BO53" s="251">
        <v>0</v>
      </c>
      <c r="BP53" s="251">
        <v>0</v>
      </c>
      <c r="BQ53" s="251">
        <v>0</v>
      </c>
      <c r="BR53" s="251">
        <v>0</v>
      </c>
      <c r="BS53" s="251">
        <v>0</v>
      </c>
      <c r="BT53" s="270">
        <v>0</v>
      </c>
      <c r="BU53" s="270">
        <v>0</v>
      </c>
      <c r="BV53" s="270">
        <v>0</v>
      </c>
      <c r="BW53" s="270">
        <v>0</v>
      </c>
      <c r="BX53" s="270">
        <v>0</v>
      </c>
      <c r="BY53" s="270">
        <v>2</v>
      </c>
      <c r="BZ53" s="270">
        <v>0</v>
      </c>
      <c r="CA53" s="270">
        <v>0</v>
      </c>
      <c r="CB53" s="270">
        <v>1</v>
      </c>
      <c r="CC53" s="270">
        <v>1</v>
      </c>
      <c r="CD53" s="270">
        <v>0</v>
      </c>
      <c r="CE53" s="270">
        <v>1</v>
      </c>
      <c r="CF53" s="270">
        <v>1</v>
      </c>
      <c r="CG53" s="270">
        <v>0</v>
      </c>
      <c r="CH53" s="270">
        <v>0</v>
      </c>
      <c r="CI53" s="270">
        <v>0</v>
      </c>
      <c r="CJ53" s="270">
        <v>1</v>
      </c>
      <c r="CL53" s="91" t="s">
        <v>43</v>
      </c>
      <c r="CM53" s="93">
        <f>INDEX($2:$2,COUNTA($2:$2)-15)</f>
        <v>41883</v>
      </c>
      <c r="CN53" s="95" t="s">
        <v>137</v>
      </c>
      <c r="CO53" s="94">
        <f>INDEX($27:$27,COUNTA($2:$2)-15)</f>
        <v>2</v>
      </c>
      <c r="CP53" s="94">
        <f>INDEX($29:$29,COUNTA($2:$2)-15)</f>
        <v>0.5751628849307564</v>
      </c>
      <c r="CQ53" s="83" t="str">
        <f t="shared" si="10"/>
        <v>September</v>
      </c>
      <c r="CR53" s="91">
        <f t="shared" si="11"/>
        <v>2014</v>
      </c>
      <c r="CS53" s="91"/>
      <c r="CT53" s="91"/>
      <c r="CU53" s="91"/>
      <c r="CV53" s="91"/>
      <c r="CW53" s="91"/>
      <c r="CX53" s="91"/>
      <c r="CY53" s="91"/>
      <c r="CZ53" s="91"/>
      <c r="DC53" s="72" t="s">
        <v>41</v>
      </c>
      <c r="DD53" s="1" t="s">
        <v>121</v>
      </c>
      <c r="DG53" s="72" t="s">
        <v>41</v>
      </c>
      <c r="DH53" s="1" t="s">
        <v>121</v>
      </c>
    </row>
    <row r="54" spans="1:113" ht="15" x14ac:dyDescent="0.25">
      <c r="A54" s="273" t="s">
        <v>142</v>
      </c>
      <c r="B54" s="251">
        <v>0</v>
      </c>
      <c r="C54" s="251">
        <v>0</v>
      </c>
      <c r="D54" s="251">
        <v>2</v>
      </c>
      <c r="E54" s="251">
        <v>0</v>
      </c>
      <c r="F54" s="251">
        <v>0</v>
      </c>
      <c r="G54" s="251">
        <v>0</v>
      </c>
      <c r="H54" s="251">
        <v>0</v>
      </c>
      <c r="I54" s="251">
        <v>0</v>
      </c>
      <c r="J54" s="251">
        <v>0</v>
      </c>
      <c r="K54" s="251">
        <v>1</v>
      </c>
      <c r="L54" s="251">
        <v>1</v>
      </c>
      <c r="M54" s="251">
        <v>2</v>
      </c>
      <c r="N54" s="262">
        <v>1</v>
      </c>
      <c r="O54" s="251">
        <v>0</v>
      </c>
      <c r="P54" s="251">
        <v>1</v>
      </c>
      <c r="Q54" s="251">
        <v>0</v>
      </c>
      <c r="R54" s="251">
        <v>0</v>
      </c>
      <c r="S54" s="251">
        <v>0</v>
      </c>
      <c r="T54" s="251">
        <v>1</v>
      </c>
      <c r="U54" s="251">
        <v>0</v>
      </c>
      <c r="V54" s="251">
        <v>0</v>
      </c>
      <c r="W54" s="251">
        <v>0</v>
      </c>
      <c r="X54" s="251">
        <v>0</v>
      </c>
      <c r="Y54" s="251">
        <v>0</v>
      </c>
      <c r="Z54" s="262">
        <v>2</v>
      </c>
      <c r="AA54" s="251">
        <v>0</v>
      </c>
      <c r="AB54" s="251">
        <v>0</v>
      </c>
      <c r="AC54" s="263">
        <v>0</v>
      </c>
      <c r="AD54" s="263">
        <v>0</v>
      </c>
      <c r="AE54" s="263">
        <v>0</v>
      </c>
      <c r="AF54" s="263">
        <v>0</v>
      </c>
      <c r="AG54" s="263">
        <v>1</v>
      </c>
      <c r="AH54" s="251">
        <v>0</v>
      </c>
      <c r="AI54" s="251">
        <v>0</v>
      </c>
      <c r="AJ54" s="251">
        <v>1</v>
      </c>
      <c r="AK54" s="251">
        <v>0</v>
      </c>
      <c r="AL54" s="251">
        <v>0</v>
      </c>
      <c r="AM54" s="251">
        <v>0</v>
      </c>
      <c r="AN54" s="251">
        <v>0</v>
      </c>
      <c r="AO54" s="251">
        <v>1</v>
      </c>
      <c r="AP54" s="251">
        <v>0</v>
      </c>
      <c r="AQ54" s="251">
        <v>0</v>
      </c>
      <c r="AR54" s="251">
        <v>0</v>
      </c>
      <c r="AS54" s="251">
        <v>0</v>
      </c>
      <c r="AT54" s="251">
        <v>0</v>
      </c>
      <c r="AU54" s="251">
        <v>0</v>
      </c>
      <c r="AV54" s="251">
        <v>0</v>
      </c>
      <c r="AW54" s="251">
        <v>0</v>
      </c>
      <c r="AX54" s="251">
        <v>0</v>
      </c>
      <c r="AY54" s="251">
        <v>0</v>
      </c>
      <c r="AZ54" s="251">
        <v>2</v>
      </c>
      <c r="BA54" s="251">
        <v>0</v>
      </c>
      <c r="BB54" s="251">
        <v>0</v>
      </c>
      <c r="BC54" s="251">
        <v>0</v>
      </c>
      <c r="BD54" s="251">
        <v>0</v>
      </c>
      <c r="BE54" s="251">
        <v>0</v>
      </c>
      <c r="BF54" s="251">
        <v>0</v>
      </c>
      <c r="BG54" s="251">
        <v>0</v>
      </c>
      <c r="BH54" s="251">
        <v>0</v>
      </c>
      <c r="BI54" s="251">
        <v>0</v>
      </c>
      <c r="BJ54" s="251">
        <v>0</v>
      </c>
      <c r="BK54" s="251">
        <v>0</v>
      </c>
      <c r="BL54" s="251">
        <v>1</v>
      </c>
      <c r="BM54" s="251">
        <v>0</v>
      </c>
      <c r="BN54" s="251">
        <v>0</v>
      </c>
      <c r="BO54" s="251">
        <v>0</v>
      </c>
      <c r="BP54" s="251">
        <v>0</v>
      </c>
      <c r="BQ54" s="251">
        <v>0</v>
      </c>
      <c r="BR54" s="251">
        <v>0</v>
      </c>
      <c r="BS54" s="251">
        <v>0</v>
      </c>
      <c r="BT54" s="270">
        <v>0</v>
      </c>
      <c r="BU54" s="270">
        <v>0</v>
      </c>
      <c r="BV54" s="270">
        <v>1</v>
      </c>
      <c r="BW54" s="270">
        <v>0</v>
      </c>
      <c r="BX54" s="270">
        <v>0</v>
      </c>
      <c r="BY54" s="270">
        <v>0</v>
      </c>
      <c r="BZ54" s="270">
        <v>0</v>
      </c>
      <c r="CA54" s="270">
        <v>0</v>
      </c>
      <c r="CB54" s="270">
        <v>1</v>
      </c>
      <c r="CC54" s="270">
        <v>0</v>
      </c>
      <c r="CD54" s="270">
        <v>0</v>
      </c>
      <c r="CE54" s="270">
        <v>0</v>
      </c>
      <c r="CF54" s="270">
        <v>0</v>
      </c>
      <c r="CG54" s="270">
        <v>1</v>
      </c>
      <c r="CH54" s="270">
        <v>0</v>
      </c>
      <c r="CI54" s="270">
        <v>0</v>
      </c>
      <c r="CJ54" s="270">
        <v>0</v>
      </c>
      <c r="CL54" s="91" t="s">
        <v>43</v>
      </c>
      <c r="CM54" s="93">
        <f>INDEX($2:$2,COUNTA($2:$2)-14)</f>
        <v>41913</v>
      </c>
      <c r="CN54" s="95" t="s">
        <v>137</v>
      </c>
      <c r="CO54" s="94">
        <f>INDEX($27:$27,COUNTA($2:$2)-14)</f>
        <v>1</v>
      </c>
      <c r="CP54" s="94">
        <f>INDEX($29:$29,COUNTA($2:$2)-14)</f>
        <v>0.57555352793376868</v>
      </c>
      <c r="CQ54" s="83" t="str">
        <f t="shared" si="10"/>
        <v>October</v>
      </c>
      <c r="CR54" s="91">
        <f t="shared" si="11"/>
        <v>2014</v>
      </c>
      <c r="CS54" s="91"/>
      <c r="CT54" s="91"/>
      <c r="CU54" s="91"/>
      <c r="CV54" s="91"/>
      <c r="CW54" s="91"/>
      <c r="CX54" s="91"/>
      <c r="CY54" s="91"/>
      <c r="CZ54" s="91"/>
      <c r="DC54" s="72" t="s">
        <v>2</v>
      </c>
      <c r="DD54" s="1" t="s">
        <v>121</v>
      </c>
      <c r="DG54" s="72" t="s">
        <v>2</v>
      </c>
      <c r="DH54" s="1" t="s">
        <v>121</v>
      </c>
    </row>
    <row r="55" spans="1:113" ht="15" x14ac:dyDescent="0.25">
      <c r="A55" s="273" t="s">
        <v>143</v>
      </c>
      <c r="B55" s="265">
        <v>2.2540821709876857</v>
      </c>
      <c r="C55" s="265">
        <v>0</v>
      </c>
      <c r="D55" s="265">
        <v>4.6277672746743006</v>
      </c>
      <c r="E55" s="265">
        <v>0</v>
      </c>
      <c r="F55" s="265">
        <v>2.2953268522484334</v>
      </c>
      <c r="G55" s="265">
        <v>0</v>
      </c>
      <c r="H55" s="265">
        <v>0</v>
      </c>
      <c r="I55" s="265">
        <v>0.91009615165842273</v>
      </c>
      <c r="J55" s="265">
        <v>0.92693010020114375</v>
      </c>
      <c r="K55" s="265">
        <v>0.92729540386033082</v>
      </c>
      <c r="L55" s="265">
        <v>0.90174984557533899</v>
      </c>
      <c r="M55" s="265">
        <v>1.2149180639515254</v>
      </c>
      <c r="N55" s="262">
        <v>0.85939557849568815</v>
      </c>
      <c r="O55" s="251">
        <v>0</v>
      </c>
      <c r="P55" s="251">
        <v>2.1166821008069854</v>
      </c>
      <c r="Q55" s="251">
        <v>0</v>
      </c>
      <c r="R55" s="251">
        <v>0</v>
      </c>
      <c r="S55" s="251">
        <v>0</v>
      </c>
      <c r="T55" s="251">
        <v>1.7583306408895396</v>
      </c>
      <c r="U55" s="251">
        <v>0</v>
      </c>
      <c r="V55" s="251">
        <v>0</v>
      </c>
      <c r="W55" s="251">
        <v>0</v>
      </c>
      <c r="X55" s="251">
        <v>0.91774629958956089</v>
      </c>
      <c r="Y55" s="251">
        <v>0.64640900566684145</v>
      </c>
      <c r="Z55" s="262">
        <f t="shared" ref="Z55:BE55" si="43">SUM(Z53:Z54)/Z42*200000</f>
        <v>1.8399496773763238</v>
      </c>
      <c r="AA55" s="251">
        <f t="shared" si="43"/>
        <v>0</v>
      </c>
      <c r="AB55" s="251">
        <f t="shared" si="43"/>
        <v>1.0755972791691224</v>
      </c>
      <c r="AC55" s="251">
        <f t="shared" si="43"/>
        <v>0</v>
      </c>
      <c r="AD55" s="251">
        <f t="shared" si="43"/>
        <v>0</v>
      </c>
      <c r="AE55" s="251">
        <f t="shared" si="43"/>
        <v>0</v>
      </c>
      <c r="AF55" s="251">
        <f t="shared" si="43"/>
        <v>0</v>
      </c>
      <c r="AG55" s="251">
        <f t="shared" si="43"/>
        <v>1.8603592921202667</v>
      </c>
      <c r="AH55" s="251">
        <f t="shared" si="43"/>
        <v>1.8593829553990275</v>
      </c>
      <c r="AI55" s="251">
        <f t="shared" si="43"/>
        <v>0</v>
      </c>
      <c r="AJ55" s="251">
        <f t="shared" si="43"/>
        <v>0.611533123324705</v>
      </c>
      <c r="AK55" s="251">
        <f t="shared" si="43"/>
        <v>0</v>
      </c>
      <c r="AL55" s="251">
        <f t="shared" si="43"/>
        <v>0</v>
      </c>
      <c r="AM55" s="251">
        <f t="shared" si="43"/>
        <v>0</v>
      </c>
      <c r="AN55" s="251">
        <f t="shared" si="43"/>
        <v>0</v>
      </c>
      <c r="AO55" s="251">
        <f t="shared" si="43"/>
        <v>0.85610893438280311</v>
      </c>
      <c r="AP55" s="251">
        <f t="shared" si="43"/>
        <v>0</v>
      </c>
      <c r="AQ55" s="251">
        <f t="shared" si="43"/>
        <v>0.89669149979051044</v>
      </c>
      <c r="AR55" s="251">
        <f t="shared" si="43"/>
        <v>0.85722824932260755</v>
      </c>
      <c r="AS55" s="251">
        <f t="shared" si="43"/>
        <v>0</v>
      </c>
      <c r="AT55" s="251">
        <f t="shared" si="43"/>
        <v>0</v>
      </c>
      <c r="AU55" s="251">
        <f t="shared" si="43"/>
        <v>0</v>
      </c>
      <c r="AV55" s="251">
        <f t="shared" si="43"/>
        <v>0</v>
      </c>
      <c r="AW55" s="251">
        <f t="shared" si="43"/>
        <v>0</v>
      </c>
      <c r="AX55" s="251">
        <f t="shared" si="43"/>
        <v>0.84910240323575936</v>
      </c>
      <c r="AY55" s="251">
        <f t="shared" si="43"/>
        <v>0.85320606684118705</v>
      </c>
      <c r="AZ55" s="251">
        <f t="shared" si="43"/>
        <v>3.1501734958052814</v>
      </c>
      <c r="BA55" s="251">
        <f t="shared" si="43"/>
        <v>0.86184143194953933</v>
      </c>
      <c r="BB55" s="251">
        <f t="shared" si="43"/>
        <v>0</v>
      </c>
      <c r="BC55" s="251">
        <f t="shared" si="43"/>
        <v>0.89861376695161865</v>
      </c>
      <c r="BD55" s="251">
        <f t="shared" si="43"/>
        <v>0</v>
      </c>
      <c r="BE55" s="251">
        <f t="shared" si="43"/>
        <v>0</v>
      </c>
      <c r="BF55" s="251">
        <f t="shared" ref="BF55:CG55" si="44">SUM(BF53:BF54)/BF42*200000</f>
        <v>0</v>
      </c>
      <c r="BG55" s="251">
        <f t="shared" si="44"/>
        <v>0</v>
      </c>
      <c r="BH55" s="251">
        <f t="shared" si="44"/>
        <v>0</v>
      </c>
      <c r="BI55" s="251">
        <f t="shared" si="44"/>
        <v>0.85442152458704745</v>
      </c>
      <c r="BJ55" s="251">
        <f t="shared" si="44"/>
        <v>0</v>
      </c>
      <c r="BK55" s="251">
        <f t="shared" si="44"/>
        <v>0.85368894144577434</v>
      </c>
      <c r="BL55" s="251">
        <f t="shared" si="44"/>
        <v>0.39449067732727749</v>
      </c>
      <c r="BM55" s="251">
        <f t="shared" si="44"/>
        <v>0</v>
      </c>
      <c r="BN55" s="251">
        <f t="shared" si="44"/>
        <v>0</v>
      </c>
      <c r="BO55" s="251">
        <f t="shared" si="44"/>
        <v>0</v>
      </c>
      <c r="BP55" s="251">
        <f t="shared" si="44"/>
        <v>0</v>
      </c>
      <c r="BQ55" s="251">
        <f t="shared" si="44"/>
        <v>0</v>
      </c>
      <c r="BR55" s="251">
        <f t="shared" si="44"/>
        <v>0</v>
      </c>
      <c r="BS55" s="251">
        <f t="shared" si="44"/>
        <v>0</v>
      </c>
      <c r="BT55" s="251">
        <f t="shared" si="44"/>
        <v>0</v>
      </c>
      <c r="BU55" s="251">
        <f t="shared" si="44"/>
        <v>0</v>
      </c>
      <c r="BV55" s="251">
        <f t="shared" si="44"/>
        <v>0.48371764095259961</v>
      </c>
      <c r="BW55" s="251">
        <f t="shared" si="44"/>
        <v>0</v>
      </c>
      <c r="BX55" s="251">
        <f t="shared" si="44"/>
        <v>0</v>
      </c>
      <c r="BY55" s="251">
        <f t="shared" si="44"/>
        <v>0.95660751771063157</v>
      </c>
      <c r="BZ55" s="251">
        <f t="shared" si="44"/>
        <v>0</v>
      </c>
      <c r="CA55" s="251">
        <f t="shared" si="44"/>
        <v>0</v>
      </c>
      <c r="CB55" s="251">
        <f t="shared" si="44"/>
        <v>0.9187313661181703</v>
      </c>
      <c r="CC55" s="251">
        <f t="shared" si="44"/>
        <v>0.462541215313167</v>
      </c>
      <c r="CD55" s="251">
        <f t="shared" si="44"/>
        <v>0</v>
      </c>
      <c r="CE55" s="251">
        <f t="shared" si="44"/>
        <v>0.47123010613751298</v>
      </c>
      <c r="CF55" s="251">
        <f t="shared" si="44"/>
        <v>0.46489495663587688</v>
      </c>
      <c r="CG55" s="251">
        <f t="shared" si="44"/>
        <v>0.44891062633851125</v>
      </c>
      <c r="CH55" s="251">
        <f t="shared" ref="CH55:CJ55" si="45">SUM(CH53:CH54)/CH42*200000</f>
        <v>0</v>
      </c>
      <c r="CI55" s="251">
        <f t="shared" si="45"/>
        <v>0</v>
      </c>
      <c r="CJ55" s="251">
        <f t="shared" si="45"/>
        <v>0.29774590243801102</v>
      </c>
      <c r="CL55" s="91" t="s">
        <v>43</v>
      </c>
      <c r="CM55" s="93">
        <f>INDEX($2:$2,COUNTA($2:$2)-13)</f>
        <v>41944</v>
      </c>
      <c r="CN55" s="95" t="s">
        <v>137</v>
      </c>
      <c r="CO55" s="94">
        <f>INDEX($27:$27,COUNTA($2:$2)-13)</f>
        <v>0</v>
      </c>
      <c r="CP55" s="94">
        <f>INDEX($29:$29,COUNTA($2:$2)-13)</f>
        <v>0.57659885372436182</v>
      </c>
      <c r="CQ55" s="83" t="str">
        <f t="shared" si="10"/>
        <v>November</v>
      </c>
      <c r="CR55" s="91">
        <f t="shared" si="11"/>
        <v>2014</v>
      </c>
      <c r="CS55" s="91"/>
      <c r="CT55" s="91"/>
      <c r="CU55" s="91"/>
      <c r="CV55" s="91"/>
      <c r="CW55" s="91"/>
      <c r="CX55" s="91"/>
      <c r="CY55" s="91"/>
      <c r="CZ55" s="91"/>
      <c r="DC55" s="72" t="s">
        <v>0</v>
      </c>
      <c r="DD55" s="1" t="s">
        <v>121</v>
      </c>
      <c r="DG55" s="72" t="s">
        <v>0</v>
      </c>
      <c r="DH55" s="1" t="s">
        <v>121</v>
      </c>
    </row>
    <row r="56" spans="1:113" x14ac:dyDescent="0.2">
      <c r="A56" s="273" t="s">
        <v>136</v>
      </c>
      <c r="B56" s="265" t="s">
        <v>146</v>
      </c>
      <c r="C56" s="265" t="s">
        <v>146</v>
      </c>
      <c r="D56" s="265" t="s">
        <v>146</v>
      </c>
      <c r="E56" s="265" t="s">
        <v>146</v>
      </c>
      <c r="F56" s="265" t="s">
        <v>146</v>
      </c>
      <c r="G56" s="265" t="s">
        <v>146</v>
      </c>
      <c r="H56" s="265">
        <v>0.61049595164872061</v>
      </c>
      <c r="I56" s="265">
        <v>0.56562445647024884</v>
      </c>
      <c r="J56" s="265">
        <v>0.71088463906254229</v>
      </c>
      <c r="K56" s="265">
        <v>0.55692117268106722</v>
      </c>
      <c r="L56" s="265">
        <v>0.70159683439508325</v>
      </c>
      <c r="M56" s="265">
        <v>0.83894494283988452</v>
      </c>
      <c r="N56" s="262">
        <v>0.85939557849568815</v>
      </c>
      <c r="O56" s="251">
        <v>0.43291476968826026</v>
      </c>
      <c r="P56" s="251">
        <v>0.92171604478741165</v>
      </c>
      <c r="Q56" s="251">
        <v>0.67606875484022977</v>
      </c>
      <c r="R56" s="251">
        <v>0.5464314157992447</v>
      </c>
      <c r="S56" s="251">
        <v>0.42005880193138839</v>
      </c>
      <c r="T56" s="251">
        <v>0.60391580821795954</v>
      </c>
      <c r="U56" s="251">
        <v>0.52967702228502189</v>
      </c>
      <c r="V56" s="251">
        <v>0.47699911461809336</v>
      </c>
      <c r="W56" s="251">
        <v>0.43387961090370702</v>
      </c>
      <c r="X56" s="251">
        <v>0.47567856488728338</v>
      </c>
      <c r="Y56" s="251">
        <v>0.49433045690208521</v>
      </c>
      <c r="Z56" s="262">
        <f t="shared" ref="Z56:BE56" si="46">SUM(O53:Z54)/SUM(O42:Z42)*200000</f>
        <v>0.56802264072923347</v>
      </c>
      <c r="AA56" s="251">
        <f t="shared" si="46"/>
        <v>0.57047437561383485</v>
      </c>
      <c r="AB56" s="251">
        <f t="shared" si="46"/>
        <v>0.49970524885896056</v>
      </c>
      <c r="AC56" s="251">
        <f t="shared" si="46"/>
        <v>0.50313753692957652</v>
      </c>
      <c r="AD56" s="251">
        <f t="shared" si="46"/>
        <v>0.50332307556111788</v>
      </c>
      <c r="AE56" s="251">
        <f t="shared" si="46"/>
        <v>0.50456120445621533</v>
      </c>
      <c r="AF56" s="251">
        <f t="shared" si="46"/>
        <v>0.36289312289117587</v>
      </c>
      <c r="AG56" s="251">
        <f t="shared" si="46"/>
        <v>0.51121729418893824</v>
      </c>
      <c r="AH56" s="251">
        <f t="shared" si="46"/>
        <v>0.65569240839657406</v>
      </c>
      <c r="AI56" s="251">
        <f t="shared" si="46"/>
        <v>0.65471610927531954</v>
      </c>
      <c r="AJ56" s="251">
        <f t="shared" si="46"/>
        <v>0.62972183580721719</v>
      </c>
      <c r="AK56" s="251">
        <f t="shared" si="46"/>
        <v>0.57745711439850966</v>
      </c>
      <c r="AL56" s="251">
        <f t="shared" si="46"/>
        <v>0.43080732319460141</v>
      </c>
      <c r="AM56" s="251">
        <f t="shared" si="46"/>
        <v>0.42843008336649618</v>
      </c>
      <c r="AN56" s="251">
        <f t="shared" si="46"/>
        <v>0.3557188902869709</v>
      </c>
      <c r="AO56" s="251">
        <f t="shared" si="46"/>
        <v>0.42441640109930368</v>
      </c>
      <c r="AP56" s="251">
        <f t="shared" si="46"/>
        <v>0.40620113009013303</v>
      </c>
      <c r="AQ56" s="251">
        <f t="shared" si="46"/>
        <v>0.49058579697139737</v>
      </c>
      <c r="AR56" s="251">
        <f t="shared" si="46"/>
        <v>0.55582407069020556</v>
      </c>
      <c r="AS56" s="251">
        <f t="shared" si="46"/>
        <v>0.41561297377320405</v>
      </c>
      <c r="AT56" s="251">
        <f t="shared" si="46"/>
        <v>0.27673473668954435</v>
      </c>
      <c r="AU56" s="251">
        <f t="shared" si="46"/>
        <v>0.26570476493370138</v>
      </c>
      <c r="AV56" s="251">
        <f t="shared" si="46"/>
        <v>0.20668459168642508</v>
      </c>
      <c r="AW56" s="251">
        <f t="shared" si="46"/>
        <v>0.20641732685206324</v>
      </c>
      <c r="AX56" s="251">
        <f t="shared" si="46"/>
        <v>0.27489719025485754</v>
      </c>
      <c r="AY56" s="251">
        <f t="shared" si="46"/>
        <v>0.34340944611074908</v>
      </c>
      <c r="AZ56" s="251">
        <f t="shared" si="46"/>
        <v>0.55054455256328927</v>
      </c>
      <c r="BA56" s="251">
        <f t="shared" si="46"/>
        <v>0.55083907250267816</v>
      </c>
      <c r="BB56" s="251">
        <f t="shared" si="46"/>
        <v>0.55115618478638206</v>
      </c>
      <c r="BC56" s="251">
        <f t="shared" si="46"/>
        <v>0.55124678482728773</v>
      </c>
      <c r="BD56" s="251">
        <f t="shared" si="46"/>
        <v>0.48204571497065207</v>
      </c>
      <c r="BE56" s="251">
        <f t="shared" si="46"/>
        <v>0.48232703279751127</v>
      </c>
      <c r="BF56" s="251">
        <f t="shared" ref="BF56:CJ56" si="47">SUM(AU53:BF54)/SUM(AU42:BF42)*200000</f>
        <v>0.48267629442223797</v>
      </c>
      <c r="BG56" s="251">
        <f t="shared" si="47"/>
        <v>0.48306001849243457</v>
      </c>
      <c r="BH56" s="251">
        <f t="shared" si="47"/>
        <v>0.48315863605476628</v>
      </c>
      <c r="BI56" s="251">
        <f t="shared" si="47"/>
        <v>0.55055627517848693</v>
      </c>
      <c r="BJ56" s="251">
        <f t="shared" si="47"/>
        <v>0.48332448032485809</v>
      </c>
      <c r="BK56" s="251">
        <f t="shared" si="47"/>
        <v>0.48334660516799238</v>
      </c>
      <c r="BL56" s="251">
        <f t="shared" si="47"/>
        <v>0.31123663990268102</v>
      </c>
      <c r="BM56" s="251">
        <f t="shared" si="47"/>
        <v>0.2362120564564649</v>
      </c>
      <c r="BN56" s="251">
        <f t="shared" si="47"/>
        <v>0.23098536288487689</v>
      </c>
      <c r="BO56" s="251">
        <f t="shared" si="47"/>
        <v>0.16328962183552367</v>
      </c>
      <c r="BP56" s="251">
        <f t="shared" si="47"/>
        <v>0.15438281185551206</v>
      </c>
      <c r="BQ56" s="251">
        <f t="shared" si="47"/>
        <v>0.1471168889067925</v>
      </c>
      <c r="BR56" s="251">
        <f t="shared" si="47"/>
        <v>0.13938124668998578</v>
      </c>
      <c r="BS56" s="251">
        <f t="shared" si="47"/>
        <v>0.13315393267266246</v>
      </c>
      <c r="BT56" s="251">
        <f t="shared" si="47"/>
        <v>0.12742371696358559</v>
      </c>
      <c r="BU56" s="251">
        <f t="shared" si="47"/>
        <v>8.1430913623031717E-2</v>
      </c>
      <c r="BV56" s="251">
        <f t="shared" si="47"/>
        <v>0.11765610842385321</v>
      </c>
      <c r="BW56" s="251">
        <f t="shared" si="47"/>
        <v>7.536120110290441E-2</v>
      </c>
      <c r="BX56" s="251">
        <f t="shared" si="47"/>
        <v>3.7502033640826098E-2</v>
      </c>
      <c r="BY56" s="251">
        <f t="shared" si="47"/>
        <v>0.11224753046710871</v>
      </c>
      <c r="BZ56" s="251">
        <f t="shared" si="47"/>
        <v>0.11194004914638418</v>
      </c>
      <c r="CA56" s="251">
        <f t="shared" si="47"/>
        <v>0.11218187254033658</v>
      </c>
      <c r="CB56" s="251">
        <f t="shared" si="47"/>
        <v>0.18737951274466008</v>
      </c>
      <c r="CC56" s="251">
        <f t="shared" si="47"/>
        <v>0.22408131826964689</v>
      </c>
      <c r="CD56" s="251">
        <f t="shared" si="47"/>
        <v>0.21610395663156454</v>
      </c>
      <c r="CE56" s="251">
        <f t="shared" si="47"/>
        <v>0.25707700445006948</v>
      </c>
      <c r="CF56" s="251">
        <f t="shared" si="47"/>
        <v>0.2933175807561676</v>
      </c>
      <c r="CG56" s="251">
        <f t="shared" si="47"/>
        <v>0.32949863914811378</v>
      </c>
      <c r="CH56" s="251">
        <f t="shared" si="47"/>
        <v>0.28925822863134032</v>
      </c>
      <c r="CI56" s="251">
        <f t="shared" si="47"/>
        <v>0.27511877811034463</v>
      </c>
      <c r="CJ56" s="251">
        <f t="shared" si="47"/>
        <v>0.30226052152543287</v>
      </c>
      <c r="CL56" s="91" t="s">
        <v>43</v>
      </c>
      <c r="CM56" s="93">
        <f>INDEX($2:$2,COUNTA($2:$2)-12)</f>
        <v>41974</v>
      </c>
      <c r="CN56" s="95" t="s">
        <v>137</v>
      </c>
      <c r="CO56" s="94">
        <f>INDEX($27:$27,COUNTA($2:$2)-12)</f>
        <v>0</v>
      </c>
      <c r="CP56" s="94">
        <f>INDEX($29:$29,COUNTA($2:$2)-12)</f>
        <v>0.48066984072509739</v>
      </c>
      <c r="CQ56" s="83" t="str">
        <f t="shared" si="10"/>
        <v>December</v>
      </c>
      <c r="CR56" s="91">
        <f t="shared" si="11"/>
        <v>2014</v>
      </c>
      <c r="CS56" s="91"/>
      <c r="CT56" s="91"/>
      <c r="CU56" s="91"/>
      <c r="CV56" s="91"/>
      <c r="CW56" s="91"/>
      <c r="CX56" s="91"/>
      <c r="CY56" s="91"/>
      <c r="CZ56" s="91"/>
    </row>
    <row r="57" spans="1:113" ht="15" x14ac:dyDescent="0.25">
      <c r="A57" s="273" t="s">
        <v>150</v>
      </c>
      <c r="B57" s="272"/>
      <c r="C57" s="272"/>
      <c r="D57" s="272"/>
      <c r="E57" s="272"/>
      <c r="F57" s="272"/>
      <c r="G57" s="272"/>
      <c r="H57" s="272"/>
      <c r="I57" s="272"/>
      <c r="J57" s="272"/>
      <c r="K57" s="272"/>
      <c r="L57" s="272"/>
      <c r="M57" s="272"/>
      <c r="O57" s="262"/>
      <c r="P57" s="262"/>
      <c r="Q57" s="262"/>
      <c r="R57" s="262"/>
      <c r="S57" s="262"/>
      <c r="T57" s="262"/>
      <c r="U57" s="262"/>
      <c r="V57" s="262"/>
      <c r="W57" s="262"/>
      <c r="X57" s="262"/>
      <c r="Y57" s="262"/>
      <c r="AA57" s="262"/>
      <c r="AB57" s="262"/>
      <c r="AC57" s="262"/>
      <c r="AD57" s="262"/>
      <c r="AE57" s="262"/>
      <c r="AF57" s="262"/>
      <c r="AG57" s="262"/>
      <c r="AH57" s="262"/>
      <c r="AI57" s="262"/>
      <c r="AJ57" s="262"/>
      <c r="AK57" s="262"/>
      <c r="AL57" s="262"/>
      <c r="AM57" s="262"/>
      <c r="AN57" s="262"/>
      <c r="AO57" s="262"/>
      <c r="AP57" s="262"/>
      <c r="AQ57" s="262"/>
      <c r="AR57" s="262"/>
      <c r="AS57" s="262"/>
      <c r="AT57" s="262"/>
      <c r="AU57" s="262"/>
      <c r="AV57" s="262"/>
      <c r="AW57" s="262"/>
      <c r="AX57" s="262"/>
      <c r="AY57" s="251">
        <v>0</v>
      </c>
      <c r="AZ57" s="251">
        <v>1</v>
      </c>
      <c r="BA57" s="251">
        <v>1</v>
      </c>
      <c r="BB57" s="251">
        <v>0</v>
      </c>
      <c r="BC57" s="251">
        <v>3</v>
      </c>
      <c r="BD57" s="251">
        <v>1</v>
      </c>
      <c r="BE57" s="251">
        <v>0</v>
      </c>
      <c r="BF57" s="251">
        <v>0</v>
      </c>
      <c r="BG57" s="251">
        <v>0</v>
      </c>
      <c r="BH57" s="251">
        <v>1</v>
      </c>
      <c r="BI57" s="251">
        <v>1</v>
      </c>
      <c r="BJ57" s="251">
        <v>1</v>
      </c>
      <c r="BK57" s="251">
        <v>2</v>
      </c>
      <c r="BL57" s="251">
        <v>0</v>
      </c>
      <c r="BM57" s="251">
        <v>0</v>
      </c>
      <c r="BN57" s="251">
        <v>1</v>
      </c>
      <c r="BO57" s="251">
        <v>0</v>
      </c>
      <c r="BP57" s="251">
        <v>0</v>
      </c>
      <c r="BQ57" s="251">
        <v>1</v>
      </c>
      <c r="BR57" s="251">
        <v>0</v>
      </c>
      <c r="BS57" s="251">
        <v>0</v>
      </c>
      <c r="BT57" s="270">
        <v>1</v>
      </c>
      <c r="BU57" s="270">
        <v>1</v>
      </c>
      <c r="BV57" s="270">
        <v>1</v>
      </c>
      <c r="BW57" s="270">
        <v>1</v>
      </c>
      <c r="BX57" s="270">
        <v>1</v>
      </c>
      <c r="BY57" s="270">
        <v>1</v>
      </c>
      <c r="BZ57" s="270">
        <v>1</v>
      </c>
      <c r="CA57" s="270">
        <v>1</v>
      </c>
      <c r="CB57" s="270">
        <v>0</v>
      </c>
      <c r="CC57" s="270">
        <v>0</v>
      </c>
      <c r="CD57" s="270">
        <v>1</v>
      </c>
      <c r="CE57" s="270">
        <v>3</v>
      </c>
      <c r="CF57" s="270">
        <v>2</v>
      </c>
      <c r="CG57" s="270">
        <v>1</v>
      </c>
      <c r="CH57" s="270">
        <v>0</v>
      </c>
      <c r="CI57" s="270">
        <v>2</v>
      </c>
      <c r="CJ57" s="270">
        <v>0</v>
      </c>
      <c r="CL57" s="91" t="s">
        <v>43</v>
      </c>
      <c r="CM57" s="93">
        <f>INDEX($2:$2,COUNTA($2:$2)-11)</f>
        <v>42005</v>
      </c>
      <c r="CN57" s="95" t="s">
        <v>137</v>
      </c>
      <c r="CO57" s="94">
        <f>INDEX($27:$27,COUNTA($2:$2)-11)</f>
        <v>1</v>
      </c>
      <c r="CP57" s="94">
        <f>INDEX($29:$29,COUNTA($2:$2)-11)</f>
        <v>0.48343999502172835</v>
      </c>
      <c r="CQ57" s="83" t="str">
        <f t="shared" si="10"/>
        <v>January</v>
      </c>
      <c r="CR57" s="91">
        <f t="shared" si="11"/>
        <v>2015</v>
      </c>
      <c r="CS57" s="91"/>
      <c r="CT57" s="91"/>
      <c r="CU57" s="91"/>
      <c r="CV57" s="91"/>
      <c r="CW57" s="91"/>
      <c r="CX57" s="91"/>
      <c r="CY57" s="91"/>
      <c r="CZ57" s="91"/>
      <c r="DC57" s="72" t="s">
        <v>120</v>
      </c>
      <c r="DD57" s="1" t="s">
        <v>313</v>
      </c>
      <c r="DE57" s="1" t="s">
        <v>314</v>
      </c>
      <c r="DG57" s="72" t="s">
        <v>120</v>
      </c>
      <c r="DH57" s="1" t="s">
        <v>317</v>
      </c>
      <c r="DI57" s="1" t="s">
        <v>318</v>
      </c>
    </row>
    <row r="58" spans="1:113" ht="15" x14ac:dyDescent="0.25">
      <c r="A58" s="273" t="s">
        <v>151</v>
      </c>
      <c r="B58" s="272"/>
      <c r="C58" s="272"/>
      <c r="D58" s="272"/>
      <c r="E58" s="272"/>
      <c r="F58" s="272"/>
      <c r="G58" s="272"/>
      <c r="H58" s="272"/>
      <c r="I58" s="272"/>
      <c r="J58" s="272"/>
      <c r="K58" s="272"/>
      <c r="L58" s="272"/>
      <c r="M58" s="272"/>
      <c r="O58" s="262"/>
      <c r="P58" s="262"/>
      <c r="Q58" s="262"/>
      <c r="R58" s="262"/>
      <c r="S58" s="262"/>
      <c r="T58" s="262"/>
      <c r="U58" s="262"/>
      <c r="V58" s="262"/>
      <c r="W58" s="262"/>
      <c r="X58" s="262"/>
      <c r="Y58" s="262"/>
      <c r="AA58" s="262"/>
      <c r="AB58" s="262"/>
      <c r="AC58" s="262"/>
      <c r="AD58" s="262"/>
      <c r="AE58" s="262"/>
      <c r="AF58" s="262"/>
      <c r="AG58" s="262"/>
      <c r="AH58" s="262"/>
      <c r="AI58" s="262"/>
      <c r="AJ58" s="262"/>
      <c r="AK58" s="262"/>
      <c r="AL58" s="262"/>
      <c r="AM58" s="262"/>
      <c r="AN58" s="262"/>
      <c r="AO58" s="262"/>
      <c r="AP58" s="262"/>
      <c r="AQ58" s="262"/>
      <c r="AR58" s="262"/>
      <c r="AS58" s="262"/>
      <c r="AT58" s="262"/>
      <c r="AU58" s="262"/>
      <c r="AV58" s="262"/>
      <c r="AW58" s="262"/>
      <c r="AX58" s="262"/>
      <c r="AY58" s="251">
        <f t="shared" ref="AY58:CJ58" si="48">AY57/AY42*200000</f>
        <v>0</v>
      </c>
      <c r="AZ58" s="251">
        <f t="shared" si="48"/>
        <v>1.0500578319350937</v>
      </c>
      <c r="BA58" s="251">
        <f t="shared" si="48"/>
        <v>0.86184143194953933</v>
      </c>
      <c r="BB58" s="251">
        <f t="shared" si="48"/>
        <v>0</v>
      </c>
      <c r="BC58" s="251">
        <f t="shared" si="48"/>
        <v>2.6958413008548554</v>
      </c>
      <c r="BD58" s="251">
        <f t="shared" si="48"/>
        <v>0.85074637468257053</v>
      </c>
      <c r="BE58" s="251">
        <f t="shared" si="48"/>
        <v>0</v>
      </c>
      <c r="BF58" s="251">
        <f t="shared" si="48"/>
        <v>0</v>
      </c>
      <c r="BG58" s="251">
        <f t="shared" si="48"/>
        <v>0</v>
      </c>
      <c r="BH58" s="251">
        <f t="shared" si="48"/>
        <v>0.91504376791598507</v>
      </c>
      <c r="BI58" s="251">
        <f t="shared" si="48"/>
        <v>0.85442152458704745</v>
      </c>
      <c r="BJ58" s="251">
        <f t="shared" si="48"/>
        <v>0.88497129794713636</v>
      </c>
      <c r="BK58" s="251">
        <f t="shared" si="48"/>
        <v>1.7073778828915487</v>
      </c>
      <c r="BL58" s="251">
        <f t="shared" si="48"/>
        <v>0</v>
      </c>
      <c r="BM58" s="251">
        <f t="shared" si="48"/>
        <v>0</v>
      </c>
      <c r="BN58" s="251">
        <f t="shared" si="48"/>
        <v>0.48628903211073465</v>
      </c>
      <c r="BO58" s="251">
        <f t="shared" si="48"/>
        <v>0</v>
      </c>
      <c r="BP58" s="251">
        <f t="shared" si="48"/>
        <v>0</v>
      </c>
      <c r="BQ58" s="251">
        <f t="shared" si="48"/>
        <v>0.48314096512142568</v>
      </c>
      <c r="BR58" s="251">
        <f t="shared" si="48"/>
        <v>0</v>
      </c>
      <c r="BS58" s="251">
        <f t="shared" si="48"/>
        <v>0</v>
      </c>
      <c r="BT58" s="251">
        <f t="shared" si="48"/>
        <v>0.47482770935919361</v>
      </c>
      <c r="BU58" s="251">
        <f t="shared" si="48"/>
        <v>0.45712577369965707</v>
      </c>
      <c r="BV58" s="251">
        <f t="shared" si="48"/>
        <v>0.48371764095259961</v>
      </c>
      <c r="BW58" s="251">
        <f t="shared" si="48"/>
        <v>0.45203800997769933</v>
      </c>
      <c r="BX58" s="251">
        <f t="shared" si="48"/>
        <v>0.37575908965451082</v>
      </c>
      <c r="BY58" s="251">
        <f t="shared" si="48"/>
        <v>0.47830375885531579</v>
      </c>
      <c r="BZ58" s="251">
        <f t="shared" si="48"/>
        <v>0.46952677335567033</v>
      </c>
      <c r="CA58" s="251">
        <f t="shared" si="48"/>
        <v>0.47388803475836061</v>
      </c>
      <c r="CB58" s="251">
        <f t="shared" si="48"/>
        <v>0</v>
      </c>
      <c r="CC58" s="251">
        <f t="shared" si="48"/>
        <v>0</v>
      </c>
      <c r="CD58" s="251">
        <f t="shared" si="48"/>
        <v>0.31220113083308199</v>
      </c>
      <c r="CE58" s="251">
        <f t="shared" si="48"/>
        <v>1.4136903184125389</v>
      </c>
      <c r="CF58" s="251">
        <f t="shared" si="48"/>
        <v>0.92978991327175375</v>
      </c>
      <c r="CG58" s="251">
        <f t="shared" si="48"/>
        <v>0.44891062633851125</v>
      </c>
      <c r="CH58" s="251">
        <f t="shared" si="48"/>
        <v>0</v>
      </c>
      <c r="CI58" s="251">
        <f t="shared" si="48"/>
        <v>0.55041768549266934</v>
      </c>
      <c r="CJ58" s="251">
        <f t="shared" si="48"/>
        <v>0</v>
      </c>
      <c r="CL58" s="91" t="s">
        <v>43</v>
      </c>
      <c r="CM58" s="93">
        <f>INDEX($2:$2,COUNTA($2:$2)-10)</f>
        <v>42036</v>
      </c>
      <c r="CN58" s="95" t="s">
        <v>137</v>
      </c>
      <c r="CO58" s="94">
        <f>INDEX($27:$27,COUNTA($2:$2)-10)</f>
        <v>3</v>
      </c>
      <c r="CP58" s="94">
        <f>INDEX($29:$29,COUNTA($2:$2)-10)</f>
        <v>0.77301071357580398</v>
      </c>
      <c r="CQ58" s="83" t="str">
        <f t="shared" si="10"/>
        <v>February</v>
      </c>
      <c r="CR58" s="91">
        <f t="shared" si="11"/>
        <v>2015</v>
      </c>
      <c r="CS58" s="91"/>
      <c r="CT58" s="91"/>
      <c r="CU58" s="91"/>
      <c r="CV58" s="91"/>
      <c r="CW58" s="91"/>
      <c r="CX58" s="91"/>
      <c r="CY58" s="91"/>
      <c r="CZ58" s="91"/>
      <c r="DC58" s="73">
        <v>41671</v>
      </c>
      <c r="DD58" s="47">
        <v>24</v>
      </c>
      <c r="DE58" s="47">
        <v>11.654482661428828</v>
      </c>
      <c r="DG58" s="73">
        <v>41671</v>
      </c>
      <c r="DH58" s="47">
        <v>4</v>
      </c>
      <c r="DI58" s="47">
        <v>1.7469358894370128</v>
      </c>
    </row>
    <row r="59" spans="1:113" ht="15" x14ac:dyDescent="0.25">
      <c r="A59" s="273" t="s">
        <v>152</v>
      </c>
      <c r="B59" s="272"/>
      <c r="C59" s="272"/>
      <c r="D59" s="272"/>
      <c r="E59" s="272"/>
      <c r="F59" s="272"/>
      <c r="G59" s="272"/>
      <c r="H59" s="272"/>
      <c r="I59" s="272"/>
      <c r="J59" s="272"/>
      <c r="K59" s="272"/>
      <c r="L59" s="272"/>
      <c r="M59" s="272"/>
      <c r="O59" s="262"/>
      <c r="P59" s="262"/>
      <c r="Q59" s="262"/>
      <c r="R59" s="262"/>
      <c r="S59" s="262"/>
      <c r="T59" s="262"/>
      <c r="U59" s="262"/>
      <c r="V59" s="262"/>
      <c r="W59" s="262"/>
      <c r="X59" s="262"/>
      <c r="Y59" s="262"/>
      <c r="AA59" s="262"/>
      <c r="AB59" s="262"/>
      <c r="AC59" s="262"/>
      <c r="AD59" s="262"/>
      <c r="AE59" s="262"/>
      <c r="AF59" s="262"/>
      <c r="AG59" s="262"/>
      <c r="AH59" s="262"/>
      <c r="AI59" s="262"/>
      <c r="AJ59" s="262"/>
      <c r="AK59" s="262"/>
      <c r="AL59" s="262"/>
      <c r="AM59" s="262"/>
      <c r="AN59" s="262"/>
      <c r="AO59" s="262"/>
      <c r="AP59" s="262"/>
      <c r="AQ59" s="262"/>
      <c r="AR59" s="262"/>
      <c r="AS59" s="262"/>
      <c r="AT59" s="262"/>
      <c r="AU59" s="262"/>
      <c r="AV59" s="262"/>
      <c r="AW59" s="262"/>
      <c r="AX59" s="262"/>
      <c r="AY59" s="262"/>
      <c r="AZ59" s="262"/>
      <c r="BA59" s="262"/>
      <c r="BB59" s="262"/>
      <c r="BC59" s="262"/>
      <c r="BD59" s="262"/>
      <c r="BE59" s="262"/>
      <c r="BF59" s="262"/>
      <c r="BG59" s="262"/>
      <c r="BH59" s="262"/>
      <c r="BI59" s="262"/>
      <c r="BJ59" s="251">
        <f t="shared" ref="BJ59:CJ59" si="49">SUM(AY57:BJ57)/SUM(AY42:BJ42)*200000</f>
        <v>0.62141718898910325</v>
      </c>
      <c r="BK59" s="251">
        <f t="shared" si="49"/>
        <v>0.75954466526398801</v>
      </c>
      <c r="BL59" s="251">
        <f t="shared" si="49"/>
        <v>0.62247327980536205</v>
      </c>
      <c r="BM59" s="251">
        <f t="shared" si="49"/>
        <v>0.53147712702704597</v>
      </c>
      <c r="BN59" s="251">
        <f t="shared" si="49"/>
        <v>0.57746340721219225</v>
      </c>
      <c r="BO59" s="251">
        <f t="shared" si="49"/>
        <v>0.38100911761622192</v>
      </c>
      <c r="BP59" s="251">
        <f t="shared" si="49"/>
        <v>0.30876562371102412</v>
      </c>
      <c r="BQ59" s="251">
        <f t="shared" si="49"/>
        <v>0.3432727407825158</v>
      </c>
      <c r="BR59" s="251">
        <f t="shared" si="49"/>
        <v>0.32522290894330014</v>
      </c>
      <c r="BS59" s="251">
        <f t="shared" si="49"/>
        <v>0.31069250956954569</v>
      </c>
      <c r="BT59" s="251">
        <f t="shared" si="49"/>
        <v>0.29732200624836641</v>
      </c>
      <c r="BU59" s="251">
        <f t="shared" si="49"/>
        <v>0.28500819768061103</v>
      </c>
      <c r="BV59" s="251">
        <f t="shared" si="49"/>
        <v>0.27453091965565751</v>
      </c>
      <c r="BW59" s="251">
        <f t="shared" si="49"/>
        <v>0.22608360330871324</v>
      </c>
      <c r="BX59" s="251">
        <f t="shared" si="49"/>
        <v>0.26251423548578262</v>
      </c>
      <c r="BY59" s="251">
        <f t="shared" si="49"/>
        <v>0.29932674791228986</v>
      </c>
      <c r="BZ59" s="251">
        <f t="shared" si="49"/>
        <v>0.2985067977236911</v>
      </c>
      <c r="CA59" s="251">
        <f t="shared" si="49"/>
        <v>0.33654561762100976</v>
      </c>
      <c r="CB59" s="251">
        <f t="shared" si="49"/>
        <v>0.33728312294038815</v>
      </c>
      <c r="CC59" s="251">
        <f t="shared" si="49"/>
        <v>0.29877509102619587</v>
      </c>
      <c r="CD59" s="251">
        <f t="shared" si="49"/>
        <v>0.32415593494734685</v>
      </c>
      <c r="CE59" s="251">
        <f t="shared" si="49"/>
        <v>0.44070343620011909</v>
      </c>
      <c r="CF59" s="251">
        <f t="shared" si="49"/>
        <v>0.47664106872877238</v>
      </c>
      <c r="CG59" s="251">
        <f t="shared" si="49"/>
        <v>0.47594247876949769</v>
      </c>
      <c r="CH59" s="251">
        <f t="shared" si="49"/>
        <v>0.43388734294701042</v>
      </c>
      <c r="CI59" s="251">
        <f t="shared" si="49"/>
        <v>0.44706801442931005</v>
      </c>
      <c r="CJ59" s="251">
        <f t="shared" si="49"/>
        <v>0.40301402870057718</v>
      </c>
      <c r="CL59" s="91" t="s">
        <v>43</v>
      </c>
      <c r="CM59" s="93">
        <f>INDEX($2:$2,COUNTA($2:$2)-9)</f>
        <v>42064</v>
      </c>
      <c r="CN59" s="95" t="s">
        <v>137</v>
      </c>
      <c r="CO59" s="94">
        <f>INDEX($27:$27,COUNTA($2:$2)-9)</f>
        <v>1</v>
      </c>
      <c r="CP59" s="94">
        <f>INDEX($29:$29,COUNTA($2:$2)-9)</f>
        <v>0.86905986118120582</v>
      </c>
      <c r="CQ59" s="83" t="str">
        <f t="shared" si="10"/>
        <v>March</v>
      </c>
      <c r="CR59" s="91">
        <f t="shared" si="11"/>
        <v>2015</v>
      </c>
      <c r="CS59" s="91"/>
      <c r="CT59" s="91"/>
      <c r="CU59" s="91"/>
      <c r="CV59" s="91"/>
      <c r="CW59" s="91"/>
      <c r="CX59" s="91"/>
      <c r="CY59" s="91"/>
      <c r="CZ59" s="91"/>
      <c r="DC59" s="73">
        <v>41699</v>
      </c>
      <c r="DD59" s="47">
        <v>18</v>
      </c>
      <c r="DE59" s="47">
        <v>11.958582326209354</v>
      </c>
      <c r="DG59" s="73">
        <v>41699</v>
      </c>
      <c r="DH59" s="47">
        <v>8</v>
      </c>
      <c r="DI59" s="47">
        <v>2.6317558891745327</v>
      </c>
    </row>
    <row r="60" spans="1:113" ht="15" x14ac:dyDescent="0.25">
      <c r="A60" s="266" t="s">
        <v>66</v>
      </c>
      <c r="B60" s="274"/>
      <c r="C60" s="274"/>
      <c r="D60" s="274"/>
      <c r="E60" s="274"/>
      <c r="F60" s="274"/>
      <c r="G60" s="274"/>
      <c r="H60" s="274"/>
      <c r="I60" s="274"/>
      <c r="J60" s="274"/>
      <c r="K60" s="274"/>
      <c r="L60" s="274"/>
      <c r="M60" s="274"/>
      <c r="N60" s="258"/>
      <c r="O60" s="259"/>
      <c r="P60" s="259"/>
      <c r="Q60" s="259"/>
      <c r="R60" s="259"/>
      <c r="S60" s="259"/>
      <c r="T60" s="259"/>
      <c r="U60" s="259"/>
      <c r="V60" s="259"/>
      <c r="W60" s="259"/>
      <c r="X60" s="259"/>
      <c r="Y60" s="259"/>
      <c r="Z60" s="259"/>
      <c r="AA60" s="259"/>
      <c r="AB60" s="259"/>
      <c r="AC60" s="259"/>
      <c r="AD60" s="259"/>
      <c r="AE60" s="259"/>
      <c r="AF60" s="259"/>
      <c r="AG60" s="259"/>
      <c r="AH60" s="259"/>
      <c r="AI60" s="259"/>
      <c r="AJ60" s="259"/>
      <c r="AK60" s="259"/>
      <c r="AL60" s="259"/>
      <c r="AM60" s="259"/>
      <c r="AN60" s="259"/>
      <c r="AO60" s="259"/>
      <c r="AP60" s="259"/>
      <c r="AQ60" s="259"/>
      <c r="AR60" s="259"/>
      <c r="AS60" s="259"/>
      <c r="AT60" s="259"/>
      <c r="AU60" s="259"/>
      <c r="AV60" s="259"/>
      <c r="AW60" s="259"/>
      <c r="AX60" s="259"/>
      <c r="AY60" s="259"/>
      <c r="AZ60" s="259"/>
      <c r="BA60" s="259"/>
      <c r="BB60" s="259"/>
      <c r="BC60" s="259"/>
      <c r="BD60" s="259"/>
      <c r="BE60" s="259"/>
      <c r="BF60" s="259"/>
      <c r="BG60" s="259"/>
      <c r="BH60" s="259"/>
      <c r="BI60" s="259"/>
      <c r="BJ60" s="259"/>
      <c r="BK60" s="259"/>
      <c r="BL60" s="259"/>
      <c r="BM60" s="259"/>
      <c r="BN60" s="259"/>
      <c r="BO60" s="259"/>
      <c r="BP60" s="259"/>
      <c r="BQ60" s="259"/>
      <c r="BR60" s="259"/>
      <c r="BS60" s="259"/>
      <c r="BT60" s="259"/>
      <c r="BU60" s="259"/>
      <c r="BV60" s="259"/>
      <c r="BW60" s="259"/>
      <c r="BX60" s="259"/>
      <c r="BY60" s="259"/>
      <c r="BZ60" s="259"/>
      <c r="CA60" s="259"/>
      <c r="CB60" s="259"/>
      <c r="CC60" s="259"/>
      <c r="CD60" s="259"/>
      <c r="CE60" s="259"/>
      <c r="CF60" s="259"/>
      <c r="CG60" s="259"/>
      <c r="CH60" s="259"/>
      <c r="CI60" s="259"/>
      <c r="CJ60" s="259"/>
      <c r="CL60" s="91" t="s">
        <v>43</v>
      </c>
      <c r="CM60" s="93">
        <f>INDEX($2:$2,COUNTA($2:$2)-8)</f>
        <v>42095</v>
      </c>
      <c r="CN60" s="95" t="s">
        <v>137</v>
      </c>
      <c r="CO60" s="94">
        <f>INDEX($27:$27,COUNTA($2:$2)-8)</f>
        <v>1</v>
      </c>
      <c r="CP60" s="94">
        <f>INDEX($29:$29,COUNTA($2:$2)-8)</f>
        <v>0.96913033504856316</v>
      </c>
      <c r="CQ60" s="83" t="str">
        <f t="shared" si="10"/>
        <v>April</v>
      </c>
      <c r="CR60" s="91">
        <f t="shared" si="11"/>
        <v>2015</v>
      </c>
      <c r="CS60" s="91"/>
      <c r="CT60" s="91"/>
      <c r="CU60" s="91"/>
      <c r="CV60" s="91"/>
      <c r="CW60" s="91"/>
      <c r="CX60" s="91"/>
      <c r="CY60" s="91"/>
      <c r="CZ60" s="91"/>
      <c r="DC60" s="73">
        <v>41730</v>
      </c>
      <c r="DD60" s="47">
        <v>14</v>
      </c>
      <c r="DE60" s="47">
        <v>10.764220381883531</v>
      </c>
      <c r="DG60" s="73">
        <v>41730</v>
      </c>
      <c r="DH60" s="47">
        <v>2</v>
      </c>
      <c r="DI60" s="47">
        <v>0.46126008043545547</v>
      </c>
    </row>
    <row r="61" spans="1:113" ht="15" x14ac:dyDescent="0.25">
      <c r="A61" s="266" t="s">
        <v>131</v>
      </c>
      <c r="B61" s="251">
        <v>848885</v>
      </c>
      <c r="C61" s="276">
        <f t="shared" ref="C61:AQ61" si="50">SUM(C41,C21,C4)</f>
        <v>780937</v>
      </c>
      <c r="D61" s="276">
        <f t="shared" si="50"/>
        <v>901053</v>
      </c>
      <c r="E61" s="276">
        <f t="shared" si="50"/>
        <v>855963</v>
      </c>
      <c r="F61" s="276">
        <f t="shared" si="50"/>
        <v>956179</v>
      </c>
      <c r="G61" s="276">
        <f t="shared" si="50"/>
        <v>939586</v>
      </c>
      <c r="H61" s="276">
        <f t="shared" si="50"/>
        <v>903551</v>
      </c>
      <c r="I61" s="276">
        <f t="shared" si="50"/>
        <v>967820</v>
      </c>
      <c r="J61" s="276">
        <f t="shared" si="50"/>
        <v>918915</v>
      </c>
      <c r="K61" s="276">
        <f t="shared" si="50"/>
        <v>858663</v>
      </c>
      <c r="L61" s="276">
        <f t="shared" si="50"/>
        <v>947873</v>
      </c>
      <c r="M61" s="276">
        <f t="shared" si="50"/>
        <v>957507</v>
      </c>
      <c r="N61" s="279">
        <f t="shared" si="50"/>
        <v>904587</v>
      </c>
      <c r="O61" s="276">
        <f t="shared" si="50"/>
        <v>808965</v>
      </c>
      <c r="P61" s="276">
        <f t="shared" si="50"/>
        <v>901198</v>
      </c>
      <c r="Q61" s="276">
        <f t="shared" si="50"/>
        <v>818197</v>
      </c>
      <c r="R61" s="276">
        <f t="shared" si="50"/>
        <v>1011613</v>
      </c>
      <c r="S61" s="276">
        <f t="shared" si="50"/>
        <v>943556</v>
      </c>
      <c r="T61" s="276">
        <f t="shared" si="50"/>
        <v>911214</v>
      </c>
      <c r="U61" s="276">
        <f t="shared" si="50"/>
        <v>963580</v>
      </c>
      <c r="V61" s="276">
        <f t="shared" si="50"/>
        <v>868159</v>
      </c>
      <c r="W61" s="276">
        <f t="shared" si="50"/>
        <v>877315</v>
      </c>
      <c r="X61" s="276">
        <f t="shared" si="50"/>
        <v>911557</v>
      </c>
      <c r="Y61" s="276">
        <f t="shared" si="50"/>
        <v>895067</v>
      </c>
      <c r="Z61" s="279">
        <f t="shared" si="50"/>
        <v>966894</v>
      </c>
      <c r="AA61" s="276">
        <f t="shared" si="50"/>
        <v>814687</v>
      </c>
      <c r="AB61" s="276">
        <f t="shared" si="50"/>
        <v>900156</v>
      </c>
      <c r="AC61" s="276">
        <f t="shared" si="50"/>
        <v>828941</v>
      </c>
      <c r="AD61" s="276">
        <f t="shared" si="50"/>
        <v>990152</v>
      </c>
      <c r="AE61" s="276">
        <f t="shared" si="50"/>
        <v>888420</v>
      </c>
      <c r="AF61" s="276">
        <f t="shared" si="50"/>
        <v>945414</v>
      </c>
      <c r="AG61" s="276">
        <f t="shared" si="50"/>
        <v>969743</v>
      </c>
      <c r="AH61" s="276">
        <f t="shared" si="50"/>
        <v>866315</v>
      </c>
      <c r="AI61" s="276">
        <f t="shared" si="50"/>
        <v>894514</v>
      </c>
      <c r="AJ61" s="276">
        <f t="shared" si="50"/>
        <v>962852</v>
      </c>
      <c r="AK61" s="276">
        <f t="shared" si="50"/>
        <v>950343</v>
      </c>
      <c r="AL61" s="276">
        <f t="shared" si="50"/>
        <v>997840</v>
      </c>
      <c r="AM61" s="276">
        <f t="shared" si="50"/>
        <v>841823</v>
      </c>
      <c r="AN61" s="276">
        <f t="shared" si="50"/>
        <v>965305</v>
      </c>
      <c r="AO61" s="276">
        <f t="shared" si="50"/>
        <v>936652</v>
      </c>
      <c r="AP61" s="276">
        <f t="shared" si="50"/>
        <v>995058</v>
      </c>
      <c r="AQ61" s="276">
        <f t="shared" si="50"/>
        <v>939762</v>
      </c>
      <c r="AR61" s="276">
        <f t="shared" ref="AR61:CJ61" si="51">SUM(AR41,AR21)</f>
        <v>1010390</v>
      </c>
      <c r="AS61" s="276">
        <f t="shared" si="51"/>
        <v>936662</v>
      </c>
      <c r="AT61" s="276">
        <f t="shared" si="51"/>
        <v>898444</v>
      </c>
      <c r="AU61" s="276">
        <f t="shared" si="51"/>
        <v>917790</v>
      </c>
      <c r="AV61" s="276">
        <f t="shared" si="51"/>
        <v>884496</v>
      </c>
      <c r="AW61" s="276">
        <f t="shared" si="51"/>
        <v>1002509</v>
      </c>
      <c r="AX61" s="276">
        <f t="shared" si="51"/>
        <v>970235</v>
      </c>
      <c r="AY61" s="276">
        <f t="shared" si="51"/>
        <v>760366</v>
      </c>
      <c r="AZ61" s="276">
        <f t="shared" si="51"/>
        <v>958209</v>
      </c>
      <c r="BA61" s="276">
        <f t="shared" si="51"/>
        <v>835312</v>
      </c>
      <c r="BB61" s="276">
        <f t="shared" si="51"/>
        <v>887538</v>
      </c>
      <c r="BC61" s="276">
        <f t="shared" si="51"/>
        <v>1203142</v>
      </c>
      <c r="BD61" s="276">
        <f t="shared" si="51"/>
        <v>1183730</v>
      </c>
      <c r="BE61" s="276">
        <f t="shared" si="51"/>
        <v>1089053</v>
      </c>
      <c r="BF61" s="276">
        <f t="shared" si="51"/>
        <v>1122120</v>
      </c>
      <c r="BG61" s="276">
        <f t="shared" si="51"/>
        <v>1070228</v>
      </c>
      <c r="BH61" s="276">
        <f t="shared" si="51"/>
        <v>1103828</v>
      </c>
      <c r="BI61" s="276">
        <f t="shared" si="51"/>
        <v>1205291</v>
      </c>
      <c r="BJ61" s="276">
        <f t="shared" si="51"/>
        <v>1120119</v>
      </c>
      <c r="BK61" s="276">
        <f t="shared" si="51"/>
        <v>941467</v>
      </c>
      <c r="BL61" s="276">
        <f t="shared" si="51"/>
        <v>1560127</v>
      </c>
      <c r="BM61" s="276">
        <f t="shared" si="51"/>
        <v>1358416</v>
      </c>
      <c r="BN61" s="276">
        <f t="shared" si="51"/>
        <v>1516365</v>
      </c>
      <c r="BO61" s="276">
        <f t="shared" si="51"/>
        <v>1573966</v>
      </c>
      <c r="BP61" s="276">
        <f t="shared" si="51"/>
        <v>1606804</v>
      </c>
      <c r="BQ61" s="276">
        <f t="shared" si="51"/>
        <v>1565271</v>
      </c>
      <c r="BR61" s="276">
        <f t="shared" si="51"/>
        <v>1604741</v>
      </c>
      <c r="BS61" s="276">
        <f t="shared" si="51"/>
        <v>1436522</v>
      </c>
      <c r="BT61" s="276">
        <f t="shared" si="51"/>
        <v>1606200</v>
      </c>
      <c r="BU61" s="276">
        <f t="shared" si="51"/>
        <v>1662716</v>
      </c>
      <c r="BV61" s="276">
        <f t="shared" si="51"/>
        <v>1528264</v>
      </c>
      <c r="BW61" s="276">
        <f t="shared" si="51"/>
        <v>1431976</v>
      </c>
      <c r="BX61" s="276">
        <f t="shared" si="51"/>
        <v>1611813</v>
      </c>
      <c r="BY61" s="276">
        <f t="shared" si="51"/>
        <v>1437147</v>
      </c>
      <c r="BZ61" s="276">
        <f t="shared" si="51"/>
        <v>1697900</v>
      </c>
      <c r="CA61" s="276">
        <f t="shared" si="51"/>
        <v>1674558.6666666665</v>
      </c>
      <c r="CB61" s="251">
        <f t="shared" si="51"/>
        <v>1605432</v>
      </c>
      <c r="CC61" s="251">
        <f t="shared" si="51"/>
        <v>1718028</v>
      </c>
      <c r="CD61" s="251">
        <f t="shared" si="51"/>
        <v>1615257</v>
      </c>
      <c r="CE61" s="251">
        <f t="shared" si="51"/>
        <v>1499593</v>
      </c>
      <c r="CF61" s="251">
        <f t="shared" si="51"/>
        <v>1643586</v>
      </c>
      <c r="CG61" s="251">
        <f t="shared" si="51"/>
        <v>1690561</v>
      </c>
      <c r="CH61" s="251">
        <f t="shared" si="51"/>
        <v>1642926</v>
      </c>
      <c r="CI61" s="251">
        <f t="shared" si="51"/>
        <v>1488667</v>
      </c>
      <c r="CJ61" s="251">
        <f t="shared" si="51"/>
        <v>1488667</v>
      </c>
      <c r="CL61" s="91" t="s">
        <v>43</v>
      </c>
      <c r="CM61" s="93">
        <f>INDEX($2:$2,COUNTA($2:$2)-7)</f>
        <v>42125</v>
      </c>
      <c r="CN61" s="95" t="s">
        <v>137</v>
      </c>
      <c r="CO61" s="94">
        <f>INDEX($27:$27,COUNTA($2:$2)-7)</f>
        <v>0</v>
      </c>
      <c r="CP61" s="94">
        <f>INDEX($29:$29,COUNTA($2:$2)-7)</f>
        <v>0.87117570141126544</v>
      </c>
      <c r="CQ61" s="83" t="str">
        <f t="shared" si="10"/>
        <v>May</v>
      </c>
      <c r="CR61" s="91">
        <f t="shared" si="11"/>
        <v>2015</v>
      </c>
      <c r="CS61" s="91"/>
      <c r="CT61" s="91"/>
      <c r="CU61" s="91"/>
      <c r="CV61" s="91"/>
      <c r="CW61" s="91"/>
      <c r="CX61" s="91"/>
      <c r="CY61" s="91"/>
      <c r="CZ61" s="91"/>
      <c r="DC61" s="73">
        <v>41760</v>
      </c>
      <c r="DD61" s="47">
        <v>18</v>
      </c>
      <c r="DE61" s="47">
        <v>10.647949930693322</v>
      </c>
      <c r="DG61" s="73">
        <v>41760</v>
      </c>
      <c r="DH61" s="47">
        <v>2</v>
      </c>
      <c r="DI61" s="47">
        <v>1.1912495099497327</v>
      </c>
    </row>
    <row r="62" spans="1:113" ht="15" x14ac:dyDescent="0.25">
      <c r="A62" s="266" t="s">
        <v>132</v>
      </c>
      <c r="B62" s="276">
        <f t="shared" ref="B62:AQ62" si="52">SUM(B5,B22,B42)</f>
        <v>322661.41000000003</v>
      </c>
      <c r="C62" s="276">
        <f t="shared" si="52"/>
        <v>321185.91000000003</v>
      </c>
      <c r="D62" s="276">
        <f t="shared" si="52"/>
        <v>277137.02</v>
      </c>
      <c r="E62" s="276">
        <f t="shared" si="52"/>
        <v>321674.13</v>
      </c>
      <c r="F62" s="276">
        <f t="shared" si="52"/>
        <v>309688.34999999998</v>
      </c>
      <c r="G62" s="276">
        <f t="shared" si="52"/>
        <v>318648.64</v>
      </c>
      <c r="H62" s="276">
        <f t="shared" si="52"/>
        <v>430963.12</v>
      </c>
      <c r="I62" s="276">
        <f t="shared" si="52"/>
        <v>314938</v>
      </c>
      <c r="J62" s="276">
        <f t="shared" si="52"/>
        <v>306082.59999999998</v>
      </c>
      <c r="K62" s="276">
        <f t="shared" si="52"/>
        <v>304710</v>
      </c>
      <c r="L62" s="276">
        <f t="shared" si="52"/>
        <v>310846.5</v>
      </c>
      <c r="M62" s="276">
        <f t="shared" si="52"/>
        <v>469183.86</v>
      </c>
      <c r="N62" s="279">
        <f t="shared" si="52"/>
        <v>325987.59999999998</v>
      </c>
      <c r="O62" s="276">
        <f t="shared" si="52"/>
        <v>326108.55</v>
      </c>
      <c r="P62" s="276">
        <f t="shared" si="52"/>
        <v>270406.75</v>
      </c>
      <c r="Q62" s="276">
        <f t="shared" si="52"/>
        <v>333412.09999999998</v>
      </c>
      <c r="R62" s="276">
        <f t="shared" si="52"/>
        <v>306395.06</v>
      </c>
      <c r="S62" s="276">
        <f t="shared" si="52"/>
        <v>465867.85</v>
      </c>
      <c r="T62" s="276">
        <f t="shared" si="52"/>
        <v>324331.62</v>
      </c>
      <c r="U62" s="276">
        <f t="shared" si="52"/>
        <v>324345.67</v>
      </c>
      <c r="V62" s="276">
        <f t="shared" si="52"/>
        <v>300212.19</v>
      </c>
      <c r="W62" s="276">
        <f t="shared" si="52"/>
        <v>298728.21000000002</v>
      </c>
      <c r="X62" s="276">
        <f t="shared" si="52"/>
        <v>307735.83999999997</v>
      </c>
      <c r="Y62" s="276">
        <f t="shared" si="52"/>
        <v>449089.46</v>
      </c>
      <c r="Z62" s="279">
        <f t="shared" si="52"/>
        <v>309997.99</v>
      </c>
      <c r="AA62" s="280">
        <f t="shared" si="52"/>
        <v>311035.15999999997</v>
      </c>
      <c r="AB62" s="280">
        <f t="shared" si="52"/>
        <v>258700.29000000004</v>
      </c>
      <c r="AC62" s="280">
        <f t="shared" si="52"/>
        <v>308276.92</v>
      </c>
      <c r="AD62" s="280">
        <f t="shared" si="52"/>
        <v>298772.96999999997</v>
      </c>
      <c r="AE62" s="280">
        <f t="shared" si="52"/>
        <v>452492.20999999996</v>
      </c>
      <c r="AF62" s="280">
        <f t="shared" si="52"/>
        <v>294755.45999999996</v>
      </c>
      <c r="AG62" s="280">
        <f t="shared" si="52"/>
        <v>301433.99000000005</v>
      </c>
      <c r="AH62" s="280">
        <f t="shared" si="52"/>
        <v>300439.17000000004</v>
      </c>
      <c r="AI62" s="280">
        <f t="shared" si="52"/>
        <v>296175.23</v>
      </c>
      <c r="AJ62" s="280">
        <f t="shared" si="52"/>
        <v>456457.82</v>
      </c>
      <c r="AK62" s="280">
        <f t="shared" si="52"/>
        <v>309444.09000000003</v>
      </c>
      <c r="AL62" s="280">
        <f t="shared" si="52"/>
        <v>321536.04000000004</v>
      </c>
      <c r="AM62" s="280">
        <f t="shared" si="52"/>
        <v>324857.31999999995</v>
      </c>
      <c r="AN62" s="280">
        <f t="shared" si="52"/>
        <v>272297.32999999996</v>
      </c>
      <c r="AO62" s="280">
        <f t="shared" si="52"/>
        <v>325008.05</v>
      </c>
      <c r="AP62" s="280">
        <f t="shared" si="52"/>
        <v>473631.92</v>
      </c>
      <c r="AQ62" s="280">
        <f t="shared" si="52"/>
        <v>309215.45</v>
      </c>
      <c r="AR62" s="280">
        <f t="shared" ref="AR62:CJ64" si="53">SUM(AR22,AR42)</f>
        <v>323180.58999999997</v>
      </c>
      <c r="AS62" s="280">
        <f t="shared" si="53"/>
        <v>309349.55</v>
      </c>
      <c r="AT62" s="280">
        <f t="shared" si="53"/>
        <v>304713.28000000003</v>
      </c>
      <c r="AU62" s="280">
        <f t="shared" si="53"/>
        <v>459704.42</v>
      </c>
      <c r="AV62" s="280">
        <f t="shared" si="53"/>
        <v>304359.67</v>
      </c>
      <c r="AW62" s="280">
        <f t="shared" si="53"/>
        <v>311838.90000000002</v>
      </c>
      <c r="AX62" s="280">
        <f t="shared" si="53"/>
        <v>322680.97000000003</v>
      </c>
      <c r="AY62" s="280">
        <f t="shared" si="53"/>
        <v>324979.85000000003</v>
      </c>
      <c r="AZ62" s="280">
        <f t="shared" si="53"/>
        <v>265127.08</v>
      </c>
      <c r="BA62" s="280">
        <f t="shared" si="53"/>
        <v>320050.03999999998</v>
      </c>
      <c r="BB62" s="280">
        <f t="shared" si="53"/>
        <v>465697.67000000004</v>
      </c>
      <c r="BC62" s="280">
        <f t="shared" si="53"/>
        <v>389475.57999999996</v>
      </c>
      <c r="BD62" s="280">
        <f t="shared" si="53"/>
        <v>411245.5</v>
      </c>
      <c r="BE62" s="280">
        <f t="shared" si="53"/>
        <v>388832.23</v>
      </c>
      <c r="BF62" s="280">
        <f t="shared" si="53"/>
        <v>385949.27</v>
      </c>
      <c r="BG62" s="280">
        <f t="shared" si="53"/>
        <v>536482.47</v>
      </c>
      <c r="BH62" s="280">
        <f t="shared" si="53"/>
        <v>380389.19999999995</v>
      </c>
      <c r="BI62" s="280">
        <f t="shared" si="53"/>
        <v>406485.54000000004</v>
      </c>
      <c r="BJ62" s="280">
        <f t="shared" si="53"/>
        <v>391826.22000000003</v>
      </c>
      <c r="BK62" s="280">
        <f t="shared" si="53"/>
        <v>401085.07999999996</v>
      </c>
      <c r="BL62" s="280">
        <f t="shared" si="53"/>
        <v>723621.27</v>
      </c>
      <c r="BM62" s="280">
        <f t="shared" si="53"/>
        <v>565329.27999999991</v>
      </c>
      <c r="BN62" s="280">
        <f t="shared" si="53"/>
        <v>581797.18999999994</v>
      </c>
      <c r="BO62" s="280">
        <f t="shared" si="53"/>
        <v>598808.68999999994</v>
      </c>
      <c r="BP62" s="280">
        <f t="shared" si="53"/>
        <v>614968.8899999999</v>
      </c>
      <c r="BQ62" s="280">
        <f t="shared" si="53"/>
        <v>579179.27</v>
      </c>
      <c r="BR62" s="280">
        <f t="shared" si="53"/>
        <v>608573.64</v>
      </c>
      <c r="BS62" s="280">
        <f t="shared" si="53"/>
        <v>738442.89000000013</v>
      </c>
      <c r="BT62" s="280">
        <f t="shared" si="53"/>
        <v>584947.10000000009</v>
      </c>
      <c r="BU62" s="280">
        <f t="shared" si="53"/>
        <v>608509.32000000007</v>
      </c>
      <c r="BV62" s="280">
        <f t="shared" si="53"/>
        <v>575514.70000000007</v>
      </c>
      <c r="BW62" s="280">
        <f t="shared" si="53"/>
        <v>608508.88000000012</v>
      </c>
      <c r="BX62" s="280">
        <f t="shared" si="53"/>
        <v>736973.31009999989</v>
      </c>
      <c r="BY62" s="280">
        <f t="shared" si="53"/>
        <v>578934.31000000006</v>
      </c>
      <c r="BZ62" s="280">
        <f t="shared" si="53"/>
        <v>597854.6399999999</v>
      </c>
      <c r="CA62" s="280">
        <f t="shared" si="53"/>
        <v>579756.65999999992</v>
      </c>
      <c r="CB62" s="251">
        <f t="shared" si="53"/>
        <v>605741.34</v>
      </c>
      <c r="CC62" s="251">
        <f t="shared" si="53"/>
        <v>599645.5</v>
      </c>
      <c r="CD62" s="251">
        <f t="shared" si="53"/>
        <v>897353.70000000007</v>
      </c>
      <c r="CE62" s="251">
        <f t="shared" si="53"/>
        <v>600547.6</v>
      </c>
      <c r="CF62" s="251">
        <f t="shared" si="53"/>
        <v>649317.37</v>
      </c>
      <c r="CG62" s="251">
        <f t="shared" si="53"/>
        <v>667326.38</v>
      </c>
      <c r="CH62" s="251">
        <f t="shared" si="53"/>
        <v>746322.58310000005</v>
      </c>
      <c r="CI62" s="251">
        <f t="shared" si="53"/>
        <v>1141057.8899999999</v>
      </c>
      <c r="CJ62" s="251">
        <f t="shared" si="53"/>
        <v>1051975.6370000001</v>
      </c>
      <c r="CL62" s="91" t="s">
        <v>43</v>
      </c>
      <c r="CM62" s="93">
        <f>INDEX($2:$2,COUNTA($2:$2)-6)</f>
        <v>42156</v>
      </c>
      <c r="CN62" s="95" t="s">
        <v>137</v>
      </c>
      <c r="CO62" s="94">
        <f>INDEX($27:$27,COUNTA($2:$2)-6)</f>
        <v>1</v>
      </c>
      <c r="CP62" s="94">
        <f>INDEX($29:$29,COUNTA($2:$2)-6)</f>
        <v>0.96702281988186545</v>
      </c>
      <c r="CQ62" s="83" t="str">
        <f t="shared" si="10"/>
        <v>June</v>
      </c>
      <c r="CR62" s="91">
        <f t="shared" si="11"/>
        <v>2015</v>
      </c>
      <c r="CS62" s="91"/>
      <c r="CT62" s="91"/>
      <c r="CU62" s="91"/>
      <c r="CV62" s="91"/>
      <c r="CW62" s="91"/>
      <c r="CX62" s="91"/>
      <c r="CY62" s="91"/>
      <c r="CZ62" s="91"/>
      <c r="DC62" s="73">
        <v>41791</v>
      </c>
      <c r="DD62" s="47">
        <v>14</v>
      </c>
      <c r="DE62" s="47">
        <v>10.553867597244258</v>
      </c>
      <c r="DG62" s="73">
        <v>41791</v>
      </c>
      <c r="DH62" s="47">
        <v>4</v>
      </c>
      <c r="DI62" s="47">
        <v>0.96628193024285136</v>
      </c>
    </row>
    <row r="63" spans="1:113" ht="15" x14ac:dyDescent="0.25">
      <c r="A63" s="266" t="s">
        <v>133</v>
      </c>
      <c r="B63" s="251">
        <v>2</v>
      </c>
      <c r="C63" s="251">
        <v>1</v>
      </c>
      <c r="D63" s="251">
        <v>0</v>
      </c>
      <c r="E63" s="251">
        <v>0</v>
      </c>
      <c r="F63" s="251">
        <v>2</v>
      </c>
      <c r="G63" s="251">
        <v>0</v>
      </c>
      <c r="H63" s="251">
        <v>2</v>
      </c>
      <c r="I63" s="251">
        <v>1</v>
      </c>
      <c r="J63" s="251">
        <v>2</v>
      </c>
      <c r="K63" s="251">
        <v>0</v>
      </c>
      <c r="L63" s="251">
        <v>2</v>
      </c>
      <c r="M63" s="251">
        <v>2</v>
      </c>
      <c r="N63" s="262">
        <f t="shared" ref="N63:AQ64" si="54">SUM(N23,N43)</f>
        <v>0</v>
      </c>
      <c r="O63" s="251">
        <f t="shared" si="54"/>
        <v>2</v>
      </c>
      <c r="P63" s="251">
        <f t="shared" si="54"/>
        <v>0</v>
      </c>
      <c r="Q63" s="251">
        <f t="shared" si="54"/>
        <v>0</v>
      </c>
      <c r="R63" s="251">
        <f t="shared" si="54"/>
        <v>0</v>
      </c>
      <c r="S63" s="251">
        <f t="shared" si="54"/>
        <v>3</v>
      </c>
      <c r="T63" s="251">
        <f t="shared" si="54"/>
        <v>1</v>
      </c>
      <c r="U63" s="251">
        <f t="shared" si="54"/>
        <v>2</v>
      </c>
      <c r="V63" s="251">
        <f t="shared" si="54"/>
        <v>4</v>
      </c>
      <c r="W63" s="251">
        <f t="shared" si="54"/>
        <v>3</v>
      </c>
      <c r="X63" s="251">
        <f t="shared" si="54"/>
        <v>3</v>
      </c>
      <c r="Y63" s="251">
        <f t="shared" si="54"/>
        <v>1</v>
      </c>
      <c r="Z63" s="262">
        <f t="shared" si="54"/>
        <v>1</v>
      </c>
      <c r="AA63" s="251">
        <f t="shared" si="54"/>
        <v>1</v>
      </c>
      <c r="AB63" s="251">
        <f t="shared" si="54"/>
        <v>0</v>
      </c>
      <c r="AC63" s="251">
        <f t="shared" si="54"/>
        <v>0</v>
      </c>
      <c r="AD63" s="251">
        <f t="shared" si="54"/>
        <v>0</v>
      </c>
      <c r="AE63" s="251">
        <f t="shared" si="54"/>
        <v>0</v>
      </c>
      <c r="AF63" s="251">
        <f t="shared" si="54"/>
        <v>1</v>
      </c>
      <c r="AG63" s="251">
        <f t="shared" si="54"/>
        <v>0</v>
      </c>
      <c r="AH63" s="251">
        <f t="shared" si="54"/>
        <v>1</v>
      </c>
      <c r="AI63" s="251">
        <f t="shared" si="54"/>
        <v>1</v>
      </c>
      <c r="AJ63" s="251">
        <f t="shared" si="54"/>
        <v>2</v>
      </c>
      <c r="AK63" s="251">
        <f t="shared" si="54"/>
        <v>1</v>
      </c>
      <c r="AL63" s="251">
        <f t="shared" si="54"/>
        <v>0</v>
      </c>
      <c r="AM63" s="251">
        <f t="shared" si="54"/>
        <v>1</v>
      </c>
      <c r="AN63" s="251">
        <f t="shared" si="54"/>
        <v>0</v>
      </c>
      <c r="AO63" s="251">
        <f t="shared" si="54"/>
        <v>0</v>
      </c>
      <c r="AP63" s="251">
        <f t="shared" si="54"/>
        <v>0</v>
      </c>
      <c r="AQ63" s="251">
        <f t="shared" si="54"/>
        <v>0</v>
      </c>
      <c r="AR63" s="251">
        <f t="shared" si="53"/>
        <v>1</v>
      </c>
      <c r="AS63" s="251">
        <f t="shared" si="53"/>
        <v>2</v>
      </c>
      <c r="AT63" s="251">
        <f t="shared" si="53"/>
        <v>2</v>
      </c>
      <c r="AU63" s="251">
        <f t="shared" si="53"/>
        <v>3</v>
      </c>
      <c r="AV63" s="251">
        <f t="shared" si="53"/>
        <v>2</v>
      </c>
      <c r="AW63" s="251">
        <f t="shared" si="53"/>
        <v>4</v>
      </c>
      <c r="AX63" s="251">
        <f t="shared" si="53"/>
        <v>0</v>
      </c>
      <c r="AY63" s="251">
        <f t="shared" si="53"/>
        <v>0</v>
      </c>
      <c r="AZ63" s="251">
        <f t="shared" si="53"/>
        <v>3</v>
      </c>
      <c r="BA63" s="251">
        <f t="shared" si="53"/>
        <v>1</v>
      </c>
      <c r="BB63" s="251">
        <f t="shared" si="53"/>
        <v>1</v>
      </c>
      <c r="BC63" s="251">
        <f t="shared" si="53"/>
        <v>1</v>
      </c>
      <c r="BD63" s="251">
        <f t="shared" si="53"/>
        <v>0</v>
      </c>
      <c r="BE63" s="251">
        <f t="shared" si="53"/>
        <v>1</v>
      </c>
      <c r="BF63" s="251">
        <f t="shared" si="53"/>
        <v>1</v>
      </c>
      <c r="BG63" s="251">
        <f t="shared" si="53"/>
        <v>0</v>
      </c>
      <c r="BH63" s="251">
        <f t="shared" si="53"/>
        <v>4</v>
      </c>
      <c r="BI63" s="251">
        <f t="shared" si="53"/>
        <v>4</v>
      </c>
      <c r="BJ63" s="251">
        <f t="shared" si="53"/>
        <v>1</v>
      </c>
      <c r="BK63" s="251">
        <f t="shared" si="53"/>
        <v>4</v>
      </c>
      <c r="BL63" s="251">
        <f t="shared" si="53"/>
        <v>2</v>
      </c>
      <c r="BM63" s="251">
        <f t="shared" si="53"/>
        <v>2</v>
      </c>
      <c r="BN63" s="251">
        <f t="shared" si="53"/>
        <v>1</v>
      </c>
      <c r="BO63" s="251">
        <f t="shared" si="53"/>
        <v>3</v>
      </c>
      <c r="BP63" s="251">
        <f t="shared" si="53"/>
        <v>1</v>
      </c>
      <c r="BQ63" s="251">
        <f t="shared" si="53"/>
        <v>0</v>
      </c>
      <c r="BR63" s="251">
        <f t="shared" si="53"/>
        <v>1</v>
      </c>
      <c r="BS63" s="251">
        <f t="shared" si="53"/>
        <v>0</v>
      </c>
      <c r="BT63" s="251">
        <f t="shared" si="53"/>
        <v>1</v>
      </c>
      <c r="BU63" s="251">
        <f t="shared" si="53"/>
        <v>3</v>
      </c>
      <c r="BV63" s="251">
        <f t="shared" si="53"/>
        <v>2</v>
      </c>
      <c r="BW63" s="251">
        <f t="shared" si="53"/>
        <v>1</v>
      </c>
      <c r="BX63" s="251">
        <f t="shared" si="53"/>
        <v>0</v>
      </c>
      <c r="BY63" s="251">
        <f t="shared" si="53"/>
        <v>0</v>
      </c>
      <c r="BZ63" s="251">
        <f t="shared" si="53"/>
        <v>2</v>
      </c>
      <c r="CA63" s="251">
        <f t="shared" si="53"/>
        <v>1</v>
      </c>
      <c r="CB63" s="251">
        <f t="shared" si="53"/>
        <v>0</v>
      </c>
      <c r="CC63" s="251">
        <f t="shared" si="53"/>
        <v>1</v>
      </c>
      <c r="CD63" s="251">
        <f t="shared" si="53"/>
        <v>4</v>
      </c>
      <c r="CE63" s="251">
        <f t="shared" si="53"/>
        <v>1</v>
      </c>
      <c r="CF63" s="251">
        <f t="shared" si="53"/>
        <v>1</v>
      </c>
      <c r="CG63" s="251">
        <f t="shared" si="53"/>
        <v>1</v>
      </c>
      <c r="CH63" s="251">
        <f t="shared" si="53"/>
        <v>0</v>
      </c>
      <c r="CI63" s="251">
        <f t="shared" si="53"/>
        <v>0</v>
      </c>
      <c r="CJ63" s="251">
        <f t="shared" si="53"/>
        <v>0</v>
      </c>
      <c r="CL63" s="91" t="s">
        <v>43</v>
      </c>
      <c r="CM63" s="93">
        <f>INDEX($2:$2,COUNTA($2:$2)-5)</f>
        <v>42186</v>
      </c>
      <c r="CN63" s="95" t="s">
        <v>137</v>
      </c>
      <c r="CO63" s="94">
        <f>INDEX($27:$27,COUNTA($2:$2)-5)</f>
        <v>0</v>
      </c>
      <c r="CP63" s="94">
        <f>INDEX($29:$29,COUNTA($2:$2)-5)</f>
        <v>0.9262263963417503</v>
      </c>
      <c r="CQ63" s="83" t="str">
        <f t="shared" si="10"/>
        <v>July</v>
      </c>
      <c r="CR63" s="91">
        <f t="shared" si="11"/>
        <v>2015</v>
      </c>
      <c r="CS63" s="91"/>
      <c r="CT63" s="91"/>
      <c r="CU63" s="91"/>
      <c r="CV63" s="91"/>
      <c r="CW63" s="91"/>
      <c r="CX63" s="91"/>
      <c r="CY63" s="91"/>
      <c r="CZ63" s="91"/>
      <c r="DC63" s="73">
        <v>41821</v>
      </c>
      <c r="DD63" s="47">
        <v>16</v>
      </c>
      <c r="DE63" s="47">
        <v>10.457252577967486</v>
      </c>
      <c r="DG63" s="73">
        <v>41821</v>
      </c>
      <c r="DH63" s="47">
        <v>6</v>
      </c>
      <c r="DI63" s="47">
        <v>2.1104800139041013</v>
      </c>
    </row>
    <row r="64" spans="1:113" ht="15" x14ac:dyDescent="0.25">
      <c r="A64" s="266" t="s">
        <v>134</v>
      </c>
      <c r="B64" s="251">
        <v>0</v>
      </c>
      <c r="C64" s="251">
        <v>1</v>
      </c>
      <c r="D64" s="251">
        <v>2</v>
      </c>
      <c r="E64" s="251">
        <v>2</v>
      </c>
      <c r="F64" s="251">
        <v>3</v>
      </c>
      <c r="G64" s="251">
        <v>2</v>
      </c>
      <c r="H64" s="251">
        <v>3</v>
      </c>
      <c r="I64" s="251">
        <v>0</v>
      </c>
      <c r="J64" s="251">
        <v>3</v>
      </c>
      <c r="K64" s="251">
        <v>0</v>
      </c>
      <c r="L64" s="251">
        <v>1</v>
      </c>
      <c r="M64" s="251">
        <v>1</v>
      </c>
      <c r="N64" s="262">
        <f t="shared" si="54"/>
        <v>2</v>
      </c>
      <c r="O64" s="251">
        <f t="shared" si="54"/>
        <v>0</v>
      </c>
      <c r="P64" s="251">
        <f t="shared" si="54"/>
        <v>0</v>
      </c>
      <c r="Q64" s="251">
        <f t="shared" si="54"/>
        <v>0</v>
      </c>
      <c r="R64" s="251">
        <f t="shared" si="54"/>
        <v>1</v>
      </c>
      <c r="S64" s="251">
        <f t="shared" si="54"/>
        <v>0</v>
      </c>
      <c r="T64" s="251">
        <f t="shared" si="54"/>
        <v>0</v>
      </c>
      <c r="U64" s="251">
        <f t="shared" si="54"/>
        <v>0</v>
      </c>
      <c r="V64" s="251">
        <f t="shared" si="54"/>
        <v>0</v>
      </c>
      <c r="W64" s="251">
        <f t="shared" si="54"/>
        <v>0</v>
      </c>
      <c r="X64" s="251">
        <f t="shared" si="54"/>
        <v>0</v>
      </c>
      <c r="Y64" s="251">
        <f t="shared" si="54"/>
        <v>0</v>
      </c>
      <c r="Z64" s="262">
        <f t="shared" si="54"/>
        <v>1</v>
      </c>
      <c r="AA64" s="251">
        <f t="shared" si="54"/>
        <v>0</v>
      </c>
      <c r="AB64" s="251">
        <f t="shared" si="54"/>
        <v>0</v>
      </c>
      <c r="AC64" s="251">
        <f t="shared" si="54"/>
        <v>0</v>
      </c>
      <c r="AD64" s="251">
        <f t="shared" si="54"/>
        <v>1</v>
      </c>
      <c r="AE64" s="251">
        <f t="shared" si="54"/>
        <v>0</v>
      </c>
      <c r="AF64" s="251">
        <f t="shared" si="54"/>
        <v>2</v>
      </c>
      <c r="AG64" s="251">
        <f t="shared" si="54"/>
        <v>3</v>
      </c>
      <c r="AH64" s="251">
        <f t="shared" si="54"/>
        <v>0</v>
      </c>
      <c r="AI64" s="251">
        <f t="shared" si="54"/>
        <v>0</v>
      </c>
      <c r="AJ64" s="251">
        <f t="shared" si="54"/>
        <v>0</v>
      </c>
      <c r="AK64" s="251">
        <f t="shared" si="54"/>
        <v>1</v>
      </c>
      <c r="AL64" s="251">
        <f t="shared" si="54"/>
        <v>0</v>
      </c>
      <c r="AM64" s="251">
        <f t="shared" si="54"/>
        <v>0</v>
      </c>
      <c r="AN64" s="251">
        <f t="shared" si="54"/>
        <v>1</v>
      </c>
      <c r="AO64" s="251">
        <f t="shared" si="54"/>
        <v>2</v>
      </c>
      <c r="AP64" s="251">
        <f t="shared" si="54"/>
        <v>2</v>
      </c>
      <c r="AQ64" s="251">
        <f t="shared" si="54"/>
        <v>1</v>
      </c>
      <c r="AR64" s="251">
        <f t="shared" si="53"/>
        <v>0</v>
      </c>
      <c r="AS64" s="251">
        <f t="shared" si="53"/>
        <v>0</v>
      </c>
      <c r="AT64" s="251">
        <f t="shared" si="53"/>
        <v>1</v>
      </c>
      <c r="AU64" s="251">
        <f t="shared" si="53"/>
        <v>1</v>
      </c>
      <c r="AV64" s="251">
        <f t="shared" si="53"/>
        <v>1</v>
      </c>
      <c r="AW64" s="251">
        <f t="shared" si="53"/>
        <v>1</v>
      </c>
      <c r="AX64" s="251">
        <f t="shared" si="53"/>
        <v>2</v>
      </c>
      <c r="AY64" s="251">
        <f t="shared" si="53"/>
        <v>0</v>
      </c>
      <c r="AZ64" s="251">
        <f t="shared" si="53"/>
        <v>2</v>
      </c>
      <c r="BA64" s="251">
        <f t="shared" si="53"/>
        <v>0</v>
      </c>
      <c r="BB64" s="251">
        <f t="shared" si="53"/>
        <v>1</v>
      </c>
      <c r="BC64" s="251">
        <f t="shared" si="53"/>
        <v>4</v>
      </c>
      <c r="BD64" s="251">
        <f t="shared" si="53"/>
        <v>0</v>
      </c>
      <c r="BE64" s="251">
        <f t="shared" si="53"/>
        <v>1</v>
      </c>
      <c r="BF64" s="251">
        <f t="shared" si="53"/>
        <v>0</v>
      </c>
      <c r="BG64" s="251">
        <f t="shared" si="53"/>
        <v>1</v>
      </c>
      <c r="BH64" s="251">
        <f t="shared" si="53"/>
        <v>2</v>
      </c>
      <c r="BI64" s="251">
        <f t="shared" si="53"/>
        <v>0</v>
      </c>
      <c r="BJ64" s="251">
        <f t="shared" si="53"/>
        <v>0</v>
      </c>
      <c r="BK64" s="251">
        <f t="shared" si="53"/>
        <v>1</v>
      </c>
      <c r="BL64" s="251">
        <f t="shared" si="53"/>
        <v>0</v>
      </c>
      <c r="BM64" s="251">
        <f t="shared" si="53"/>
        <v>2</v>
      </c>
      <c r="BN64" s="251">
        <f t="shared" si="53"/>
        <v>1</v>
      </c>
      <c r="BO64" s="251">
        <f t="shared" si="53"/>
        <v>1</v>
      </c>
      <c r="BP64" s="251">
        <f t="shared" si="53"/>
        <v>2</v>
      </c>
      <c r="BQ64" s="251">
        <f t="shared" si="53"/>
        <v>2</v>
      </c>
      <c r="BR64" s="251">
        <f t="shared" si="53"/>
        <v>1</v>
      </c>
      <c r="BS64" s="251">
        <f t="shared" si="53"/>
        <v>3</v>
      </c>
      <c r="BT64" s="251">
        <f t="shared" si="53"/>
        <v>2</v>
      </c>
      <c r="BU64" s="251">
        <f t="shared" si="53"/>
        <v>4</v>
      </c>
      <c r="BV64" s="251">
        <f t="shared" si="53"/>
        <v>1</v>
      </c>
      <c r="BW64" s="251">
        <f t="shared" si="53"/>
        <v>3</v>
      </c>
      <c r="BX64" s="251">
        <f t="shared" si="53"/>
        <v>2</v>
      </c>
      <c r="BY64" s="251">
        <f t="shared" si="53"/>
        <v>2</v>
      </c>
      <c r="BZ64" s="251">
        <f t="shared" si="53"/>
        <v>2</v>
      </c>
      <c r="CA64" s="251">
        <f t="shared" si="53"/>
        <v>4</v>
      </c>
      <c r="CB64" s="251">
        <f t="shared" si="53"/>
        <v>2</v>
      </c>
      <c r="CC64" s="251">
        <f t="shared" si="53"/>
        <v>2</v>
      </c>
      <c r="CD64" s="251">
        <f t="shared" si="53"/>
        <v>3</v>
      </c>
      <c r="CE64" s="251">
        <f t="shared" si="53"/>
        <v>2</v>
      </c>
      <c r="CF64" s="251">
        <f t="shared" si="53"/>
        <v>1</v>
      </c>
      <c r="CG64" s="251">
        <f t="shared" si="53"/>
        <v>3</v>
      </c>
      <c r="CH64" s="251">
        <f t="shared" si="53"/>
        <v>1</v>
      </c>
      <c r="CI64" s="251">
        <f t="shared" si="53"/>
        <v>2</v>
      </c>
      <c r="CJ64" s="251">
        <f t="shared" si="53"/>
        <v>4</v>
      </c>
      <c r="CL64" s="91" t="s">
        <v>43</v>
      </c>
      <c r="CM64" s="93">
        <f>INDEX($2:$2,COUNTA($2:$2)-4)</f>
        <v>42217</v>
      </c>
      <c r="CN64" s="95" t="s">
        <v>137</v>
      </c>
      <c r="CO64" s="94">
        <f>INDEX($27:$27,COUNTA($2:$2)-4)</f>
        <v>2</v>
      </c>
      <c r="CP64" s="94">
        <f>INDEX($29:$29,COUNTA($2:$2)-4)</f>
        <v>1.1275821790466414</v>
      </c>
      <c r="CQ64" s="83" t="str">
        <f t="shared" si="10"/>
        <v>August</v>
      </c>
      <c r="CR64" s="91">
        <f t="shared" si="11"/>
        <v>2015</v>
      </c>
      <c r="CS64" s="91"/>
      <c r="CT64" s="91"/>
      <c r="CU64" s="91"/>
      <c r="CV64" s="91"/>
      <c r="CW64" s="91"/>
      <c r="CX64" s="91"/>
      <c r="CY64" s="91"/>
      <c r="CZ64" s="91"/>
      <c r="DC64" s="73">
        <v>41852</v>
      </c>
      <c r="DD64" s="47">
        <v>8</v>
      </c>
      <c r="DE64" s="47">
        <v>10.128320606084824</v>
      </c>
      <c r="DG64" s="73">
        <v>41852</v>
      </c>
      <c r="DH64" s="47">
        <v>0</v>
      </c>
      <c r="DI64" s="47">
        <v>0</v>
      </c>
    </row>
    <row r="65" spans="1:113" ht="15" x14ac:dyDescent="0.25">
      <c r="A65" s="266" t="s">
        <v>135</v>
      </c>
      <c r="B65" s="251">
        <v>2.3560317357474805</v>
      </c>
      <c r="C65" s="251">
        <v>2.5912206851964856</v>
      </c>
      <c r="D65" s="265">
        <v>2.2446563150599603</v>
      </c>
      <c r="E65" s="265">
        <v>2.3633426645979543</v>
      </c>
      <c r="F65" s="265">
        <v>5.2826592484043724</v>
      </c>
      <c r="G65" s="265">
        <v>2.1515393726326342</v>
      </c>
      <c r="H65" s="265">
        <v>5.5978817615414327</v>
      </c>
      <c r="I65" s="265">
        <v>1.0440854646597952</v>
      </c>
      <c r="J65" s="265">
        <v>5.4972903855689532</v>
      </c>
      <c r="K65" s="265">
        <v>0</v>
      </c>
      <c r="L65" s="265">
        <v>3.196733364732359</v>
      </c>
      <c r="M65" s="265">
        <v>3.1666346484718879</v>
      </c>
      <c r="N65" s="272">
        <f t="shared" ref="N65:AS65" si="55">SUM(N63:N64)/N61*1000000</f>
        <v>2.2109537280549025</v>
      </c>
      <c r="O65" s="265">
        <f t="shared" si="55"/>
        <v>2.47229484588332</v>
      </c>
      <c r="P65" s="265">
        <f t="shared" si="55"/>
        <v>0</v>
      </c>
      <c r="Q65" s="265">
        <f t="shared" si="55"/>
        <v>0</v>
      </c>
      <c r="R65" s="265">
        <f t="shared" si="55"/>
        <v>0.98852031359818426</v>
      </c>
      <c r="S65" s="265">
        <f t="shared" si="55"/>
        <v>3.1794615263958894</v>
      </c>
      <c r="T65" s="265">
        <f t="shared" si="55"/>
        <v>1.0974370455238835</v>
      </c>
      <c r="U65" s="265">
        <f t="shared" si="55"/>
        <v>2.0755931007285331</v>
      </c>
      <c r="V65" s="265">
        <f t="shared" si="55"/>
        <v>4.6074509392864673</v>
      </c>
      <c r="W65" s="265">
        <f t="shared" si="55"/>
        <v>3.4195243441637269</v>
      </c>
      <c r="X65" s="265">
        <f t="shared" si="55"/>
        <v>3.291072308149682</v>
      </c>
      <c r="Y65" s="265">
        <f t="shared" si="55"/>
        <v>1.117234799182631</v>
      </c>
      <c r="Z65" s="272">
        <f t="shared" si="55"/>
        <v>2.0684790680260714</v>
      </c>
      <c r="AA65" s="265">
        <f t="shared" si="55"/>
        <v>1.2274652719387937</v>
      </c>
      <c r="AB65" s="265">
        <f t="shared" si="55"/>
        <v>0</v>
      </c>
      <c r="AC65" s="265">
        <f t="shared" si="55"/>
        <v>0</v>
      </c>
      <c r="AD65" s="265">
        <f t="shared" si="55"/>
        <v>1.0099459476928796</v>
      </c>
      <c r="AE65" s="265">
        <f t="shared" si="55"/>
        <v>0</v>
      </c>
      <c r="AF65" s="265">
        <f t="shared" si="55"/>
        <v>3.17321300509618</v>
      </c>
      <c r="AG65" s="265">
        <f t="shared" si="55"/>
        <v>3.0936031505254484</v>
      </c>
      <c r="AH65" s="265">
        <f t="shared" si="55"/>
        <v>1.1543145391687781</v>
      </c>
      <c r="AI65" s="265">
        <f t="shared" si="55"/>
        <v>1.1179254880303719</v>
      </c>
      <c r="AJ65" s="265">
        <f t="shared" si="55"/>
        <v>2.077162429947697</v>
      </c>
      <c r="AK65" s="265">
        <f t="shared" si="55"/>
        <v>2.1045033214323672</v>
      </c>
      <c r="AL65" s="265">
        <f t="shared" si="55"/>
        <v>0</v>
      </c>
      <c r="AM65" s="265">
        <f t="shared" si="55"/>
        <v>1.1878981686173935</v>
      </c>
      <c r="AN65" s="265">
        <f t="shared" si="55"/>
        <v>1.0359420079663939</v>
      </c>
      <c r="AO65" s="265">
        <f t="shared" si="55"/>
        <v>2.1352647514765355</v>
      </c>
      <c r="AP65" s="265">
        <f t="shared" si="55"/>
        <v>2.0099330893274563</v>
      </c>
      <c r="AQ65" s="265">
        <f t="shared" si="55"/>
        <v>1.0640992080973695</v>
      </c>
      <c r="AR65" s="265">
        <f t="shared" si="55"/>
        <v>0.98971684201150056</v>
      </c>
      <c r="AS65" s="265">
        <f t="shared" si="55"/>
        <v>2.1352419549421242</v>
      </c>
      <c r="AT65" s="265">
        <f t="shared" ref="AT65:BY65" si="56">SUM(AT63:AT64)/AT61*1000000</f>
        <v>3.339106277074587</v>
      </c>
      <c r="AU65" s="265">
        <f t="shared" si="56"/>
        <v>4.3582954706414316</v>
      </c>
      <c r="AV65" s="265">
        <f t="shared" si="56"/>
        <v>3.3917620882400827</v>
      </c>
      <c r="AW65" s="265">
        <f t="shared" si="56"/>
        <v>4.9874863966308531</v>
      </c>
      <c r="AX65" s="265">
        <f t="shared" si="56"/>
        <v>2.0613562693574239</v>
      </c>
      <c r="AY65" s="265">
        <f t="shared" si="56"/>
        <v>0</v>
      </c>
      <c r="AZ65" s="265">
        <f t="shared" si="56"/>
        <v>5.2180682919905781</v>
      </c>
      <c r="BA65" s="265">
        <f t="shared" si="56"/>
        <v>1.1971574693048825</v>
      </c>
      <c r="BB65" s="265">
        <f t="shared" si="56"/>
        <v>2.253424642099831</v>
      </c>
      <c r="BC65" s="265">
        <f t="shared" si="56"/>
        <v>4.1557854351356696</v>
      </c>
      <c r="BD65" s="265">
        <f t="shared" si="56"/>
        <v>0</v>
      </c>
      <c r="BE65" s="265">
        <f t="shared" si="56"/>
        <v>1.8364579134348833</v>
      </c>
      <c r="BF65" s="265">
        <f t="shared" si="56"/>
        <v>0.89117028481802307</v>
      </c>
      <c r="BG65" s="265">
        <f t="shared" si="56"/>
        <v>0.9343803376476788</v>
      </c>
      <c r="BH65" s="265">
        <f t="shared" si="56"/>
        <v>5.435629464010697</v>
      </c>
      <c r="BI65" s="265">
        <f t="shared" si="56"/>
        <v>3.3187006291426719</v>
      </c>
      <c r="BJ65" s="265">
        <f t="shared" si="56"/>
        <v>0.89276228686416348</v>
      </c>
      <c r="BK65" s="265">
        <f t="shared" si="56"/>
        <v>5.3108606037173898</v>
      </c>
      <c r="BL65" s="265">
        <f t="shared" si="56"/>
        <v>1.2819469184239487</v>
      </c>
      <c r="BM65" s="265">
        <f t="shared" si="56"/>
        <v>2.9446060705998751</v>
      </c>
      <c r="BN65" s="265">
        <f t="shared" si="56"/>
        <v>1.3189436580242884</v>
      </c>
      <c r="BO65" s="265">
        <f t="shared" si="56"/>
        <v>2.5413509567551014</v>
      </c>
      <c r="BP65" s="265">
        <f t="shared" si="56"/>
        <v>1.8670603259638388</v>
      </c>
      <c r="BQ65" s="265">
        <f t="shared" si="56"/>
        <v>1.2777340153877508</v>
      </c>
      <c r="BR65" s="265">
        <f t="shared" si="56"/>
        <v>1.2463070364625817</v>
      </c>
      <c r="BS65" s="265">
        <f t="shared" si="56"/>
        <v>2.0883773447256639</v>
      </c>
      <c r="BT65" s="265">
        <f t="shared" si="56"/>
        <v>1.8677624206200971</v>
      </c>
      <c r="BU65" s="265">
        <f t="shared" si="56"/>
        <v>4.2099793350157215</v>
      </c>
      <c r="BV65" s="265">
        <f t="shared" si="56"/>
        <v>1.9630116262635251</v>
      </c>
      <c r="BW65" s="265">
        <f t="shared" si="56"/>
        <v>2.7933429051883554</v>
      </c>
      <c r="BX65" s="265">
        <f t="shared" si="56"/>
        <v>1.2408387325328685</v>
      </c>
      <c r="BY65" s="265">
        <f t="shared" si="56"/>
        <v>1.3916460877001449</v>
      </c>
      <c r="BZ65" s="265">
        <f t="shared" ref="BZ65:CF65" si="57">SUM(BZ63:BZ64)/BZ61*1000000</f>
        <v>2.3558513457800809</v>
      </c>
      <c r="CA65" s="265">
        <f t="shared" si="57"/>
        <v>2.9858613493386121</v>
      </c>
      <c r="CB65" s="251">
        <f t="shared" si="57"/>
        <v>1.2457706087831812</v>
      </c>
      <c r="CC65" s="251">
        <f t="shared" si="57"/>
        <v>1.7461880714400464</v>
      </c>
      <c r="CD65" s="251">
        <f t="shared" si="57"/>
        <v>4.3336756937131371</v>
      </c>
      <c r="CE65" s="251">
        <f t="shared" si="57"/>
        <v>2.0005428139501849</v>
      </c>
      <c r="CF65" s="251">
        <f t="shared" si="57"/>
        <v>1.2168514455586747</v>
      </c>
      <c r="CG65" s="251">
        <f>SUM(CG63:CG64)/CG61*1000000</f>
        <v>2.3660784792740399</v>
      </c>
      <c r="CH65" s="251">
        <f t="shared" ref="CH65:CI65" si="58">SUM(CH63:CH64)/CH61*1000000</f>
        <v>0.60867014095583127</v>
      </c>
      <c r="CI65" s="251">
        <f t="shared" si="58"/>
        <v>1.3434838012799371</v>
      </c>
      <c r="CJ65" s="251">
        <f t="shared" ref="CJ65" si="59">SUM(CJ63:CJ64)/CJ61*1000000</f>
        <v>2.6869676025598741</v>
      </c>
      <c r="CL65" s="91" t="s">
        <v>43</v>
      </c>
      <c r="CM65" s="93">
        <f>INDEX($2:$2,COUNTA($2:$2)-3)</f>
        <v>42262</v>
      </c>
      <c r="CN65" s="95" t="s">
        <v>137</v>
      </c>
      <c r="CO65" s="94">
        <f>INDEX($27:$27,COUNTA($2:$2)-3)</f>
        <v>4</v>
      </c>
      <c r="CP65" s="94">
        <f>INDEX($29:$29,COUNTA($2:$2)-3)</f>
        <v>1.2821575766716264</v>
      </c>
      <c r="CQ65" s="83" t="str">
        <f t="shared" si="10"/>
        <v>September</v>
      </c>
      <c r="CR65" s="91">
        <f t="shared" si="11"/>
        <v>2015</v>
      </c>
      <c r="CS65" s="91"/>
      <c r="CT65" s="91"/>
      <c r="CU65" s="91"/>
      <c r="CV65" s="91"/>
      <c r="CW65" s="91"/>
      <c r="CX65" s="91"/>
      <c r="CY65" s="91"/>
      <c r="CZ65" s="91"/>
      <c r="DC65" s="73">
        <v>41883</v>
      </c>
      <c r="DD65" s="47">
        <v>24</v>
      </c>
      <c r="DE65" s="47">
        <v>9.722788147506007</v>
      </c>
      <c r="DG65" s="73">
        <v>41883</v>
      </c>
      <c r="DH65" s="47">
        <v>6</v>
      </c>
      <c r="DI65" s="47">
        <v>2.9176997720574591</v>
      </c>
    </row>
    <row r="66" spans="1:113" ht="15" x14ac:dyDescent="0.25">
      <c r="A66" s="266" t="s">
        <v>145</v>
      </c>
      <c r="B66" s="251">
        <v>2.3560317357474805</v>
      </c>
      <c r="C66" s="265" t="e">
        <f>SUM(#REF!)/SUM(#REF!)*1000000</f>
        <v>#REF!</v>
      </c>
      <c r="D66" s="265" t="e">
        <f>SUM(#REF!)/SUM(#REF!)*1000000</f>
        <v>#REF!</v>
      </c>
      <c r="E66" s="265" t="e">
        <f>SUM(#REF!)/SUM(#REF!)*1000000</f>
        <v>#REF!</v>
      </c>
      <c r="F66" s="265" t="e">
        <f>SUM(#REF!)/SUM(#REF!)*1000000</f>
        <v>#REF!</v>
      </c>
      <c r="G66" s="265" t="e">
        <f>SUM(#REF!)/SUM(A61:G61)*1000000</f>
        <v>#REF!</v>
      </c>
      <c r="H66" s="265" t="e">
        <f>SUM(#REF!)/SUM(B61:H61)*1000000</f>
        <v>#REF!</v>
      </c>
      <c r="I66" s="265" t="e">
        <f>SUM(#REF!)/SUM(C61:I61)*1000000</f>
        <v>#REF!</v>
      </c>
      <c r="J66" s="265" t="e">
        <f>SUM(#REF!)/SUM(D61:J61)*1000000</f>
        <v>#REF!</v>
      </c>
      <c r="K66" s="265" t="e">
        <f>SUM(#REF!)/SUM(#REF!)*1000000</f>
        <v>#REF!</v>
      </c>
      <c r="L66" s="265">
        <f t="shared" ref="L66:AQ66" si="60">SUM(A63:L64)/SUM(A61:L61)*1000000</f>
        <v>2.9353935072132233</v>
      </c>
      <c r="M66" s="265">
        <f t="shared" si="60"/>
        <v>2.9528652574363297</v>
      </c>
      <c r="N66" s="272">
        <f t="shared" si="60"/>
        <v>2.9377650988732387</v>
      </c>
      <c r="O66" s="265">
        <f t="shared" si="60"/>
        <v>2.9302252922029819</v>
      </c>
      <c r="P66" s="265">
        <f t="shared" si="60"/>
        <v>2.7470497372584282</v>
      </c>
      <c r="Q66" s="265">
        <f t="shared" si="60"/>
        <v>2.5728103018264843</v>
      </c>
      <c r="R66" s="265">
        <f t="shared" si="60"/>
        <v>2.1940901268229807</v>
      </c>
      <c r="S66" s="265">
        <f t="shared" si="60"/>
        <v>2.2846813486382613</v>
      </c>
      <c r="T66" s="265">
        <f t="shared" si="60"/>
        <v>1.9177893039959057</v>
      </c>
      <c r="U66" s="265">
        <f t="shared" si="60"/>
        <v>2.0098908556178459</v>
      </c>
      <c r="V66" s="265">
        <f t="shared" si="60"/>
        <v>1.9274698598784483</v>
      </c>
      <c r="W66" s="265">
        <f t="shared" si="60"/>
        <v>2.1990579968560802</v>
      </c>
      <c r="X66" s="265">
        <f t="shared" si="60"/>
        <v>2.2063998835020864</v>
      </c>
      <c r="Y66" s="265">
        <f t="shared" si="60"/>
        <v>2.0342102382171143</v>
      </c>
      <c r="Z66" s="265">
        <f t="shared" si="60"/>
        <v>2.0225579566280834</v>
      </c>
      <c r="AA66" s="265">
        <f t="shared" si="60"/>
        <v>1.9296084355865004</v>
      </c>
      <c r="AB66" s="265">
        <f t="shared" si="60"/>
        <v>1.9297932042791788</v>
      </c>
      <c r="AC66" s="265">
        <f t="shared" si="60"/>
        <v>1.9278897621617483</v>
      </c>
      <c r="AD66" s="265">
        <f t="shared" si="60"/>
        <v>1.9316956111323802</v>
      </c>
      <c r="AE66" s="265">
        <f t="shared" si="60"/>
        <v>1.6641793349236724</v>
      </c>
      <c r="AF66" s="265">
        <f t="shared" si="60"/>
        <v>1.843259871439997</v>
      </c>
      <c r="AG66" s="265">
        <f t="shared" si="60"/>
        <v>1.9343241678606515</v>
      </c>
      <c r="AH66" s="265">
        <f t="shared" si="60"/>
        <v>1.6582738051423256</v>
      </c>
      <c r="AI66" s="265">
        <f t="shared" si="60"/>
        <v>1.4716892969556268</v>
      </c>
      <c r="AJ66" s="265">
        <f t="shared" si="60"/>
        <v>1.3732296209291179</v>
      </c>
      <c r="AK66" s="265">
        <f t="shared" si="60"/>
        <v>1.4574031571542418</v>
      </c>
      <c r="AL66" s="265">
        <f t="shared" si="60"/>
        <v>1.2716432546546457</v>
      </c>
      <c r="AM66" s="265">
        <f t="shared" si="60"/>
        <v>1.2685166048370531</v>
      </c>
      <c r="AN66" s="265">
        <f t="shared" si="60"/>
        <v>1.3511490441701433</v>
      </c>
      <c r="AO66" s="265">
        <f t="shared" si="60"/>
        <v>1.5165879483178943</v>
      </c>
      <c r="AP66" s="265">
        <f t="shared" si="60"/>
        <v>1.6050965024144666</v>
      </c>
      <c r="AQ66" s="265">
        <f t="shared" si="60"/>
        <v>1.6865470620749623</v>
      </c>
      <c r="AR66" s="265">
        <f t="shared" ref="AR66:BW66" si="61">SUM(AG63:AR64)/SUM(AG61:AR61)*1000000</f>
        <v>1.5003622492265853</v>
      </c>
      <c r="AS66" s="265">
        <f t="shared" si="61"/>
        <v>1.4162405257934576</v>
      </c>
      <c r="AT66" s="265">
        <f t="shared" si="61"/>
        <v>1.58875233954815</v>
      </c>
      <c r="AU66" s="265">
        <f t="shared" si="61"/>
        <v>1.8497442200117484</v>
      </c>
      <c r="AV66" s="265">
        <f t="shared" si="61"/>
        <v>1.9512947949654817</v>
      </c>
      <c r="AW66" s="265">
        <f t="shared" si="61"/>
        <v>2.2071681582267648</v>
      </c>
      <c r="AX66" s="265">
        <f t="shared" si="61"/>
        <v>2.3895653522228182</v>
      </c>
      <c r="AY66" s="265">
        <f t="shared" si="61"/>
        <v>2.3177720790299658</v>
      </c>
      <c r="AZ66" s="265">
        <f t="shared" si="61"/>
        <v>2.6760451941216563</v>
      </c>
      <c r="BA66" s="265">
        <f t="shared" si="61"/>
        <v>2.6104412428832848</v>
      </c>
      <c r="BB66" s="265">
        <f t="shared" si="61"/>
        <v>2.6359531465690842</v>
      </c>
      <c r="BC66" s="265">
        <f t="shared" si="61"/>
        <v>2.9294032459385821</v>
      </c>
      <c r="BD66" s="265">
        <f t="shared" si="61"/>
        <v>2.7975859980121403</v>
      </c>
      <c r="BE66" s="265">
        <f t="shared" si="61"/>
        <v>2.7608045812791224</v>
      </c>
      <c r="BF66" s="265">
        <f t="shared" si="61"/>
        <v>2.5392526133141478</v>
      </c>
      <c r="BG66" s="265">
        <f t="shared" si="61"/>
        <v>2.2562162518097777</v>
      </c>
      <c r="BH66" s="265">
        <f t="shared" si="61"/>
        <v>2.4617869126484151</v>
      </c>
      <c r="BI66" s="265">
        <f t="shared" si="61"/>
        <v>2.3407763564153257</v>
      </c>
      <c r="BJ66" s="265">
        <f t="shared" si="61"/>
        <v>2.2330443348622242</v>
      </c>
      <c r="BK66" s="265">
        <f t="shared" si="61"/>
        <v>2.5943320762353128</v>
      </c>
      <c r="BL66" s="265">
        <f t="shared" si="61"/>
        <v>2.2519217337095045</v>
      </c>
      <c r="BM66" s="265">
        <f t="shared" si="61"/>
        <v>2.3835218036990669</v>
      </c>
      <c r="BN66" s="265">
        <f t="shared" si="61"/>
        <v>2.279968213097713</v>
      </c>
      <c r="BO66" s="265">
        <f t="shared" si="61"/>
        <v>2.1556500598529711</v>
      </c>
      <c r="BP66" s="265">
        <f t="shared" si="61"/>
        <v>2.292408642930762</v>
      </c>
      <c r="BQ66" s="265">
        <f t="shared" si="61"/>
        <v>2.2230688232890214</v>
      </c>
      <c r="BR66" s="265">
        <f t="shared" si="61"/>
        <v>2.218576225009973</v>
      </c>
      <c r="BS66" s="265">
        <f t="shared" si="61"/>
        <v>2.2901337962457111</v>
      </c>
      <c r="BT66" s="265">
        <f t="shared" si="61"/>
        <v>2.0473476640260366</v>
      </c>
      <c r="BU66" s="265">
        <f t="shared" si="61"/>
        <v>2.1649073755773611</v>
      </c>
      <c r="BV66" s="265">
        <f t="shared" si="61"/>
        <v>2.2270649750103826</v>
      </c>
      <c r="BW66" s="265">
        <f t="shared" si="61"/>
        <v>2.1136644177277262</v>
      </c>
      <c r="BX66" s="265">
        <f t="shared" ref="BX66:CJ66" si="62">SUM(BM63:BX64)/SUM(BM61:BX61)*1000000</f>
        <v>2.1077601567827666</v>
      </c>
      <c r="BY66" s="265">
        <f t="shared" si="62"/>
        <v>1.9911972934785329</v>
      </c>
      <c r="BZ66" s="265">
        <f t="shared" si="62"/>
        <v>2.0785234169645883</v>
      </c>
      <c r="CA66" s="265">
        <f t="shared" si="62"/>
        <v>2.1204508686409311</v>
      </c>
      <c r="CB66" s="251">
        <f t="shared" si="62"/>
        <v>2.0675899757724401</v>
      </c>
      <c r="CC66" s="251">
        <f t="shared" si="62"/>
        <v>2.1035694892180934</v>
      </c>
      <c r="CD66" s="251">
        <f t="shared" si="62"/>
        <v>2.3652076483246685</v>
      </c>
      <c r="CE66" s="251">
        <f t="shared" si="62"/>
        <v>2.3573928380729212</v>
      </c>
      <c r="CF66" s="251">
        <f t="shared" si="62"/>
        <v>2.300500749300979</v>
      </c>
      <c r="CG66" s="251">
        <f t="shared" si="62"/>
        <v>2.1405321296744111</v>
      </c>
      <c r="CH66" s="251">
        <f t="shared" si="62"/>
        <v>2.0239996887538259</v>
      </c>
      <c r="CI66" s="251">
        <f t="shared" si="62"/>
        <v>1.9145719381087543</v>
      </c>
      <c r="CJ66" s="251">
        <f t="shared" si="62"/>
        <v>2.0310043048958941</v>
      </c>
      <c r="CL66" s="91" t="s">
        <v>43</v>
      </c>
      <c r="CM66" s="93">
        <f>INDEX($2:$2,COUNTA($2:$2)-2)</f>
        <v>42292</v>
      </c>
      <c r="CN66" s="95" t="s">
        <v>137</v>
      </c>
      <c r="CO66" s="94">
        <f>INDEX($27:$27,COUNTA($2:$2)-2)</f>
        <v>4</v>
      </c>
      <c r="CP66" s="94">
        <f>INDEX($29:$29,COUNTA($2:$2)-2)</f>
        <v>1.5215051075785335</v>
      </c>
      <c r="CQ66" s="83" t="str">
        <f t="shared" si="10"/>
        <v>October</v>
      </c>
      <c r="CR66" s="91">
        <f t="shared" si="11"/>
        <v>2015</v>
      </c>
      <c r="CS66" s="91"/>
      <c r="CT66" s="91"/>
      <c r="CU66" s="91"/>
      <c r="CV66" s="91"/>
      <c r="CW66" s="91"/>
      <c r="CX66" s="91"/>
      <c r="CY66" s="91"/>
      <c r="CZ66" s="91"/>
      <c r="DC66" s="73">
        <v>41913</v>
      </c>
      <c r="DD66" s="47">
        <v>26</v>
      </c>
      <c r="DE66" s="47">
        <v>9.9416904968078779</v>
      </c>
      <c r="DG66" s="73">
        <v>41913</v>
      </c>
      <c r="DH66" s="47">
        <v>4</v>
      </c>
      <c r="DI66" s="47">
        <v>2.339277456845156</v>
      </c>
    </row>
    <row r="67" spans="1:113" ht="15" x14ac:dyDescent="0.25">
      <c r="A67" s="266" t="s">
        <v>153</v>
      </c>
      <c r="C67" s="265"/>
      <c r="D67" s="265"/>
      <c r="E67" s="265"/>
      <c r="F67" s="265"/>
      <c r="G67" s="265"/>
      <c r="H67" s="265"/>
      <c r="I67" s="265"/>
      <c r="J67" s="265"/>
      <c r="K67" s="265"/>
      <c r="L67" s="265"/>
      <c r="M67" s="265"/>
      <c r="N67" s="272"/>
      <c r="O67" s="265"/>
      <c r="P67" s="265"/>
      <c r="Q67" s="265"/>
      <c r="R67" s="265"/>
      <c r="S67" s="265"/>
      <c r="T67" s="265"/>
      <c r="U67" s="265"/>
      <c r="V67" s="265"/>
      <c r="W67" s="265"/>
      <c r="X67" s="265"/>
      <c r="Y67" s="265"/>
      <c r="Z67" s="265"/>
      <c r="AA67" s="265">
        <f t="shared" ref="AA67:BF67" si="63">SUM(AA63:AA64)/AA62*200000</f>
        <v>0.64301412097590516</v>
      </c>
      <c r="AB67" s="265">
        <f t="shared" si="63"/>
        <v>0</v>
      </c>
      <c r="AC67" s="265">
        <f t="shared" si="63"/>
        <v>0</v>
      </c>
      <c r="AD67" s="265">
        <f t="shared" si="63"/>
        <v>0.6694045984146425</v>
      </c>
      <c r="AE67" s="265">
        <f t="shared" si="63"/>
        <v>0</v>
      </c>
      <c r="AF67" s="265">
        <f t="shared" si="63"/>
        <v>2.0355857021274519</v>
      </c>
      <c r="AG67" s="265">
        <f t="shared" si="63"/>
        <v>1.9904855454423036</v>
      </c>
      <c r="AH67" s="265">
        <f t="shared" si="63"/>
        <v>0.66569215991376884</v>
      </c>
      <c r="AI67" s="265">
        <f t="shared" si="63"/>
        <v>0.67527591689554867</v>
      </c>
      <c r="AJ67" s="265">
        <f t="shared" si="63"/>
        <v>0.87631317171869239</v>
      </c>
      <c r="AK67" s="265">
        <f t="shared" si="63"/>
        <v>1.2926406188594519</v>
      </c>
      <c r="AL67" s="265">
        <f t="shared" si="63"/>
        <v>0</v>
      </c>
      <c r="AM67" s="265">
        <f t="shared" si="63"/>
        <v>0.61565489735616863</v>
      </c>
      <c r="AN67" s="265">
        <f t="shared" si="63"/>
        <v>0.73449122692462698</v>
      </c>
      <c r="AO67" s="265">
        <f t="shared" si="63"/>
        <v>1.2307387463172068</v>
      </c>
      <c r="AP67" s="265">
        <f t="shared" si="63"/>
        <v>0.84453767389664114</v>
      </c>
      <c r="AQ67" s="265">
        <f t="shared" si="63"/>
        <v>0.64679821140890592</v>
      </c>
      <c r="AR67" s="265">
        <f t="shared" si="63"/>
        <v>0.61884904659651752</v>
      </c>
      <c r="AS67" s="265">
        <f t="shared" si="63"/>
        <v>1.2930356614386542</v>
      </c>
      <c r="AT67" s="265">
        <f t="shared" si="63"/>
        <v>1.969064164187396</v>
      </c>
      <c r="AU67" s="265">
        <f t="shared" si="63"/>
        <v>1.740248658039877</v>
      </c>
      <c r="AV67" s="265">
        <f t="shared" si="63"/>
        <v>1.9713518548630311</v>
      </c>
      <c r="AW67" s="265">
        <f t="shared" si="63"/>
        <v>3.2067840157209377</v>
      </c>
      <c r="AX67" s="265">
        <f t="shared" si="63"/>
        <v>1.2396144712221486</v>
      </c>
      <c r="AY67" s="265">
        <f t="shared" si="63"/>
        <v>0</v>
      </c>
      <c r="AZ67" s="265">
        <f t="shared" si="63"/>
        <v>3.7717761610771707</v>
      </c>
      <c r="BA67" s="265">
        <f t="shared" si="63"/>
        <v>0.62490228090582345</v>
      </c>
      <c r="BB67" s="265">
        <f t="shared" si="63"/>
        <v>0.85892635022202268</v>
      </c>
      <c r="BC67" s="265">
        <f t="shared" si="63"/>
        <v>2.567555069819782</v>
      </c>
      <c r="BD67" s="265">
        <f t="shared" si="63"/>
        <v>0</v>
      </c>
      <c r="BE67" s="265">
        <f t="shared" si="63"/>
        <v>1.0287213073875074</v>
      </c>
      <c r="BF67" s="265">
        <f t="shared" si="63"/>
        <v>0.51820281976436955</v>
      </c>
      <c r="BG67" s="265">
        <f t="shared" ref="BG67:CG67" si="64">SUM(BG63:BG64)/BG62*200000</f>
        <v>0.37279876078709523</v>
      </c>
      <c r="BH67" s="265">
        <f t="shared" si="64"/>
        <v>3.1546636970765736</v>
      </c>
      <c r="BI67" s="265">
        <f t="shared" si="64"/>
        <v>1.9680896889960708</v>
      </c>
      <c r="BJ67" s="265">
        <f t="shared" si="64"/>
        <v>0.51043036374645878</v>
      </c>
      <c r="BK67" s="265">
        <f t="shared" si="64"/>
        <v>2.4932365970830928</v>
      </c>
      <c r="BL67" s="265">
        <f t="shared" si="64"/>
        <v>0.55277534890592694</v>
      </c>
      <c r="BM67" s="265">
        <f t="shared" si="64"/>
        <v>1.415104485654803</v>
      </c>
      <c r="BN67" s="265">
        <f t="shared" si="64"/>
        <v>0.68752480568013752</v>
      </c>
      <c r="BO67" s="265">
        <f t="shared" si="64"/>
        <v>1.3359859557148379</v>
      </c>
      <c r="BP67" s="265">
        <f t="shared" si="64"/>
        <v>0.97565911017059759</v>
      </c>
      <c r="BQ67" s="265">
        <f t="shared" si="64"/>
        <v>0.69063245305723731</v>
      </c>
      <c r="BR67" s="265">
        <f t="shared" si="64"/>
        <v>0.6572746068988462</v>
      </c>
      <c r="BS67" s="265">
        <f t="shared" si="64"/>
        <v>0.81252051868222319</v>
      </c>
      <c r="BT67" s="265">
        <f t="shared" si="64"/>
        <v>1.0257337800289974</v>
      </c>
      <c r="BU67" s="265">
        <f t="shared" si="64"/>
        <v>2.3007042850222899</v>
      </c>
      <c r="BV67" s="265">
        <f t="shared" si="64"/>
        <v>1.0425450470683024</v>
      </c>
      <c r="BW67" s="265">
        <f t="shared" si="64"/>
        <v>1.3146891134932983</v>
      </c>
      <c r="BX67" s="265">
        <f t="shared" si="64"/>
        <v>0.54276049691097228</v>
      </c>
      <c r="BY67" s="265">
        <f t="shared" si="64"/>
        <v>0.69092467502919275</v>
      </c>
      <c r="BZ67" s="265">
        <f t="shared" si="64"/>
        <v>1.338117907724192</v>
      </c>
      <c r="CA67" s="265">
        <f t="shared" si="64"/>
        <v>1.7248615996925334</v>
      </c>
      <c r="CB67" s="251">
        <f t="shared" si="64"/>
        <v>0.66034786399092393</v>
      </c>
      <c r="CC67" s="251">
        <f t="shared" si="64"/>
        <v>1.0005911826237335</v>
      </c>
      <c r="CD67" s="251">
        <f t="shared" si="64"/>
        <v>1.5601428957165941</v>
      </c>
      <c r="CE67" s="251">
        <f t="shared" si="64"/>
        <v>0.99908816553425583</v>
      </c>
      <c r="CF67" s="251">
        <f t="shared" si="64"/>
        <v>0.61603157174125811</v>
      </c>
      <c r="CG67" s="251">
        <f t="shared" si="64"/>
        <v>1.1988136899368491</v>
      </c>
      <c r="CH67" s="251">
        <f t="shared" ref="CH67:CJ67" si="65">SUM(CH63:CH64)/CH62*200000</f>
        <v>0.26798063535644334</v>
      </c>
      <c r="CI67" s="251">
        <f t="shared" si="65"/>
        <v>0.35055189005353621</v>
      </c>
      <c r="CJ67" s="251">
        <f t="shared" si="65"/>
        <v>0.76047388538523719</v>
      </c>
      <c r="CL67" s="91" t="s">
        <v>43</v>
      </c>
      <c r="CM67" s="93">
        <f>INDEX($2:$2,COUNTA($2:$2)-1)</f>
        <v>42323</v>
      </c>
      <c r="CN67" s="95" t="s">
        <v>137</v>
      </c>
      <c r="CO67" s="94">
        <f>INDEX($27:$27,COUNTA($2:$2)-1)</f>
        <v>1</v>
      </c>
      <c r="CP67" s="94">
        <f>INDEX($29:$29,COUNTA($2:$2)-1)</f>
        <v>1.5405073015453457</v>
      </c>
      <c r="CQ67" s="83" t="str">
        <f t="shared" si="10"/>
        <v>November</v>
      </c>
      <c r="CR67" s="91">
        <f t="shared" si="11"/>
        <v>2015</v>
      </c>
      <c r="CS67" s="91"/>
      <c r="CT67" s="91"/>
      <c r="CU67" s="91"/>
      <c r="CV67" s="91"/>
      <c r="CW67" s="91"/>
      <c r="CX67" s="91"/>
      <c r="CY67" s="91"/>
      <c r="CZ67" s="91"/>
      <c r="DC67" s="73">
        <v>41944</v>
      </c>
      <c r="DD67" s="47">
        <v>20</v>
      </c>
      <c r="DE67" s="47">
        <v>10.272796455653786</v>
      </c>
      <c r="DG67" s="73">
        <v>41944</v>
      </c>
      <c r="DH67" s="47">
        <v>6</v>
      </c>
      <c r="DI67" s="47">
        <v>2.9520862683576006</v>
      </c>
    </row>
    <row r="68" spans="1:113" ht="15" x14ac:dyDescent="0.25">
      <c r="A68" s="266" t="s">
        <v>154</v>
      </c>
      <c r="C68" s="265"/>
      <c r="D68" s="265"/>
      <c r="E68" s="265"/>
      <c r="F68" s="265"/>
      <c r="G68" s="265"/>
      <c r="H68" s="265"/>
      <c r="I68" s="265"/>
      <c r="J68" s="265"/>
      <c r="K68" s="265"/>
      <c r="L68" s="265"/>
      <c r="M68" s="265"/>
      <c r="N68" s="272"/>
      <c r="O68" s="265"/>
      <c r="P68" s="265"/>
      <c r="Q68" s="265"/>
      <c r="R68" s="265"/>
      <c r="S68" s="265"/>
      <c r="T68" s="265"/>
      <c r="U68" s="265"/>
      <c r="V68" s="265"/>
      <c r="W68" s="265"/>
      <c r="X68" s="265"/>
      <c r="Y68" s="265"/>
      <c r="Z68" s="265"/>
      <c r="AA68" s="265">
        <f t="shared" ref="AA68:BF68" si="66">SUM(P63:AA64)/SUM(P62:AA62)*200000</f>
        <v>1.0495912104633049</v>
      </c>
      <c r="AB68" s="265">
        <f t="shared" si="66"/>
        <v>1.0526707731253273</v>
      </c>
      <c r="AC68" s="265">
        <f t="shared" si="66"/>
        <v>1.0593444081670551</v>
      </c>
      <c r="AD68" s="265">
        <f t="shared" si="66"/>
        <v>1.0613849000212194</v>
      </c>
      <c r="AE68" s="265">
        <f t="shared" si="66"/>
        <v>0.91284405127158008</v>
      </c>
      <c r="AF68" s="265">
        <f t="shared" si="66"/>
        <v>1.0219352343077903</v>
      </c>
      <c r="AG68" s="265">
        <f t="shared" si="66"/>
        <v>1.0793500397685238</v>
      </c>
      <c r="AH68" s="265">
        <f t="shared" si="66"/>
        <v>0.92510321460081568</v>
      </c>
      <c r="AI68" s="265">
        <f t="shared" si="66"/>
        <v>0.82285379948460502</v>
      </c>
      <c r="AJ68" s="265">
        <f t="shared" si="66"/>
        <v>0.7430107449731107</v>
      </c>
      <c r="AK68" s="265">
        <f t="shared" si="66"/>
        <v>0.82093775052230256</v>
      </c>
      <c r="AL68" s="265">
        <f t="shared" si="66"/>
        <v>0.7162005733518112</v>
      </c>
      <c r="AM68" s="265">
        <f t="shared" si="66"/>
        <v>0.7136773571363153</v>
      </c>
      <c r="AN68" s="265">
        <f t="shared" si="66"/>
        <v>0.76201341776086406</v>
      </c>
      <c r="AO68" s="265">
        <f t="shared" si="66"/>
        <v>0.8599605620062829</v>
      </c>
      <c r="AP68" s="265">
        <f t="shared" si="66"/>
        <v>0.87198135767802598</v>
      </c>
      <c r="AQ68" s="265">
        <f t="shared" si="66"/>
        <v>0.95351564316561011</v>
      </c>
      <c r="AR68" s="265">
        <f t="shared" si="66"/>
        <v>0.84710354121669484</v>
      </c>
      <c r="AS68" s="265">
        <f t="shared" si="66"/>
        <v>0.79570467476695361</v>
      </c>
      <c r="AT68" s="265">
        <f t="shared" si="66"/>
        <v>0.89421739344388174</v>
      </c>
      <c r="AU68" s="265">
        <f t="shared" si="66"/>
        <v>1.0025311859643646</v>
      </c>
      <c r="AV68" s="265">
        <f t="shared" si="66"/>
        <v>1.0898378856485171</v>
      </c>
      <c r="AW68" s="265">
        <f t="shared" si="66"/>
        <v>1.2377179637424487</v>
      </c>
      <c r="AX68" s="265">
        <f t="shared" si="66"/>
        <v>1.3363566505254996</v>
      </c>
      <c r="AY68" s="265">
        <f t="shared" si="66"/>
        <v>1.2868229395332937</v>
      </c>
      <c r="AZ68" s="265">
        <f t="shared" si="66"/>
        <v>1.4874349932959943</v>
      </c>
      <c r="BA68" s="265">
        <f t="shared" si="66"/>
        <v>1.4396232960556614</v>
      </c>
      <c r="BB68" s="265">
        <f t="shared" si="66"/>
        <v>1.4424640377612015</v>
      </c>
      <c r="BC68" s="265">
        <f t="shared" si="66"/>
        <v>1.6093017249568753</v>
      </c>
      <c r="BD68" s="265">
        <f t="shared" si="66"/>
        <v>1.5277297839211699</v>
      </c>
      <c r="BE68" s="265">
        <f t="shared" si="66"/>
        <v>1.4992836738861324</v>
      </c>
      <c r="BF68" s="265">
        <f t="shared" si="66"/>
        <v>1.3793289958923078</v>
      </c>
      <c r="BG68" s="265">
        <f t="shared" ref="BG68:CJ68" si="67">SUM(AV63:BG64)/SUM(AV62:BG62)*200000</f>
        <v>1.2198650330935941</v>
      </c>
      <c r="BH68" s="265">
        <f t="shared" si="67"/>
        <v>1.3325193831156592</v>
      </c>
      <c r="BI68" s="265">
        <f t="shared" si="67"/>
        <v>1.2615838959598731</v>
      </c>
      <c r="BJ68" s="265">
        <f t="shared" si="67"/>
        <v>1.2000324051607694</v>
      </c>
      <c r="BK68" s="265">
        <f t="shared" si="67"/>
        <v>1.3916282528772737</v>
      </c>
      <c r="BL68" s="265">
        <f t="shared" si="67"/>
        <v>1.1535932351846852</v>
      </c>
      <c r="BM68" s="265">
        <f t="shared" si="67"/>
        <v>1.2118053393138397</v>
      </c>
      <c r="BN68" s="265">
        <f t="shared" si="67"/>
        <v>1.1865128373866556</v>
      </c>
      <c r="BO68" s="265">
        <f t="shared" si="67"/>
        <v>1.1088295518543743</v>
      </c>
      <c r="BP68" s="265">
        <f t="shared" si="67"/>
        <v>1.1714353201869854</v>
      </c>
      <c r="BQ68" s="265">
        <f t="shared" si="67"/>
        <v>1.135272158802739</v>
      </c>
      <c r="BR68" s="265">
        <f t="shared" si="67"/>
        <v>1.1270168777069949</v>
      </c>
      <c r="BS68" s="265">
        <f t="shared" si="67"/>
        <v>1.1531737718345794</v>
      </c>
      <c r="BT68" s="265">
        <f t="shared" si="67"/>
        <v>1.0301593786358834</v>
      </c>
      <c r="BU68" s="265">
        <f t="shared" si="67"/>
        <v>1.0861660004305449</v>
      </c>
      <c r="BV68" s="265">
        <f t="shared" si="67"/>
        <v>1.1140855151876512</v>
      </c>
      <c r="BW68" s="265">
        <f t="shared" si="67"/>
        <v>1.0557373673660904</v>
      </c>
      <c r="BX68" s="265">
        <f t="shared" si="67"/>
        <v>1.0538328687616447</v>
      </c>
      <c r="BY68" s="265">
        <f t="shared" si="67"/>
        <v>0.99795578331420653</v>
      </c>
      <c r="BZ68" s="265">
        <f t="shared" si="67"/>
        <v>1.0496263838597257</v>
      </c>
      <c r="CA68" s="265">
        <f t="shared" si="67"/>
        <v>1.0793069906199857</v>
      </c>
      <c r="CB68" s="251">
        <f t="shared" si="67"/>
        <v>1.0536360082913689</v>
      </c>
      <c r="CC68" s="251">
        <f t="shared" si="67"/>
        <v>1.0776729708787254</v>
      </c>
      <c r="CD68" s="251">
        <f t="shared" si="67"/>
        <v>1.1669848547970731</v>
      </c>
      <c r="CE68" s="251">
        <f t="shared" si="67"/>
        <v>1.1882306451534435</v>
      </c>
      <c r="CF68" s="251">
        <f t="shared" si="67"/>
        <v>1.1520349218080184</v>
      </c>
      <c r="CG68" s="251">
        <f t="shared" si="67"/>
        <v>1.0652844796140299</v>
      </c>
      <c r="CH68" s="251">
        <f t="shared" si="67"/>
        <v>0.99132183228446502</v>
      </c>
      <c r="CI68" s="251">
        <f t="shared" si="67"/>
        <v>0.88086520851793992</v>
      </c>
      <c r="CJ68" s="251">
        <f t="shared" si="67"/>
        <v>0.89492300437691663</v>
      </c>
      <c r="CL68" s="91" t="s">
        <v>43</v>
      </c>
      <c r="CM68" s="93">
        <f>INDEX($2:$2,COUNTA($2:$2))</f>
        <v>42353</v>
      </c>
      <c r="CN68" s="95" t="s">
        <v>137</v>
      </c>
      <c r="CO68" s="94">
        <f>INDEX($27:$27,COUNTA($2:$2))</f>
        <v>1</v>
      </c>
      <c r="CP68" s="94">
        <f>INDEX($29:$29,COUNTA($2:$2))</f>
        <v>1.469927580495723</v>
      </c>
      <c r="CQ68" s="83" t="str">
        <f t="shared" si="10"/>
        <v>December</v>
      </c>
      <c r="CR68" s="91">
        <f t="shared" si="11"/>
        <v>2015</v>
      </c>
      <c r="CS68" s="91"/>
      <c r="CT68" s="91"/>
      <c r="CU68" s="91"/>
      <c r="CV68" s="91"/>
      <c r="CW68" s="91"/>
      <c r="CX68" s="91"/>
      <c r="CY68" s="91"/>
      <c r="CZ68" s="91"/>
      <c r="DC68" s="73">
        <v>41974</v>
      </c>
      <c r="DD68" s="47">
        <v>18</v>
      </c>
      <c r="DE68" s="47">
        <v>9.8698951173079159</v>
      </c>
      <c r="DG68" s="73">
        <v>41974</v>
      </c>
      <c r="DH68" s="47">
        <v>4</v>
      </c>
      <c r="DI68" s="47">
        <v>0.90407601995539866</v>
      </c>
    </row>
    <row r="69" spans="1:113" ht="15" x14ac:dyDescent="0.25">
      <c r="A69" s="266" t="s">
        <v>137</v>
      </c>
      <c r="B69" s="251">
        <v>0</v>
      </c>
      <c r="C69" s="251">
        <v>1</v>
      </c>
      <c r="D69" s="251">
        <v>3</v>
      </c>
      <c r="E69" s="251">
        <v>4</v>
      </c>
      <c r="F69" s="251">
        <v>2</v>
      </c>
      <c r="G69" s="251">
        <v>3</v>
      </c>
      <c r="H69" s="251">
        <v>2</v>
      </c>
      <c r="I69" s="251">
        <v>0</v>
      </c>
      <c r="J69" s="251">
        <v>2</v>
      </c>
      <c r="K69" s="251">
        <v>3</v>
      </c>
      <c r="L69" s="251">
        <v>6</v>
      </c>
      <c r="M69" s="251">
        <v>3</v>
      </c>
      <c r="N69" s="262">
        <f t="shared" ref="N69:BY69" si="68">SUM(N27,N47)</f>
        <v>0</v>
      </c>
      <c r="O69" s="251">
        <f t="shared" si="68"/>
        <v>0</v>
      </c>
      <c r="P69" s="251">
        <f t="shared" si="68"/>
        <v>2</v>
      </c>
      <c r="Q69" s="251">
        <f t="shared" si="68"/>
        <v>4</v>
      </c>
      <c r="R69" s="251">
        <f t="shared" si="68"/>
        <v>4</v>
      </c>
      <c r="S69" s="251">
        <f t="shared" si="68"/>
        <v>2</v>
      </c>
      <c r="T69" s="251">
        <f t="shared" si="68"/>
        <v>2</v>
      </c>
      <c r="U69" s="251">
        <f t="shared" si="68"/>
        <v>4</v>
      </c>
      <c r="V69" s="251">
        <f t="shared" si="68"/>
        <v>3</v>
      </c>
      <c r="W69" s="251">
        <f t="shared" si="68"/>
        <v>0</v>
      </c>
      <c r="X69" s="251">
        <f t="shared" si="68"/>
        <v>2</v>
      </c>
      <c r="Y69" s="251">
        <f t="shared" si="68"/>
        <v>0</v>
      </c>
      <c r="Z69" s="262">
        <f t="shared" si="68"/>
        <v>2</v>
      </c>
      <c r="AA69" s="251">
        <f t="shared" si="68"/>
        <v>0</v>
      </c>
      <c r="AB69" s="251">
        <f t="shared" si="68"/>
        <v>0</v>
      </c>
      <c r="AC69" s="251">
        <f t="shared" si="68"/>
        <v>4</v>
      </c>
      <c r="AD69" s="251">
        <f t="shared" si="68"/>
        <v>4</v>
      </c>
      <c r="AE69" s="251">
        <f t="shared" si="68"/>
        <v>1</v>
      </c>
      <c r="AF69" s="251">
        <f t="shared" si="68"/>
        <v>5</v>
      </c>
      <c r="AG69" s="251">
        <f t="shared" si="68"/>
        <v>2</v>
      </c>
      <c r="AH69" s="251">
        <f t="shared" si="68"/>
        <v>0</v>
      </c>
      <c r="AI69" s="251">
        <f t="shared" si="68"/>
        <v>1</v>
      </c>
      <c r="AJ69" s="251">
        <f t="shared" si="68"/>
        <v>2</v>
      </c>
      <c r="AK69" s="251">
        <f t="shared" si="68"/>
        <v>3</v>
      </c>
      <c r="AL69" s="251">
        <f t="shared" si="68"/>
        <v>3</v>
      </c>
      <c r="AM69" s="251">
        <f t="shared" si="68"/>
        <v>6</v>
      </c>
      <c r="AN69" s="251">
        <f t="shared" si="68"/>
        <v>4</v>
      </c>
      <c r="AO69" s="251">
        <f t="shared" si="68"/>
        <v>3</v>
      </c>
      <c r="AP69" s="251">
        <f t="shared" si="68"/>
        <v>6</v>
      </c>
      <c r="AQ69" s="251">
        <f t="shared" si="68"/>
        <v>5</v>
      </c>
      <c r="AR69" s="251">
        <f t="shared" si="68"/>
        <v>2</v>
      </c>
      <c r="AS69" s="251">
        <f t="shared" si="68"/>
        <v>2</v>
      </c>
      <c r="AT69" s="251">
        <f t="shared" si="68"/>
        <v>1</v>
      </c>
      <c r="AU69" s="251">
        <f t="shared" si="68"/>
        <v>3</v>
      </c>
      <c r="AV69" s="251">
        <f t="shared" si="68"/>
        <v>0</v>
      </c>
      <c r="AW69" s="251">
        <f t="shared" si="68"/>
        <v>1</v>
      </c>
      <c r="AX69" s="251">
        <f t="shared" si="68"/>
        <v>0</v>
      </c>
      <c r="AY69" s="251">
        <f t="shared" si="68"/>
        <v>3</v>
      </c>
      <c r="AZ69" s="251">
        <f t="shared" si="68"/>
        <v>2</v>
      </c>
      <c r="BA69" s="251">
        <f t="shared" si="68"/>
        <v>1</v>
      </c>
      <c r="BB69" s="251">
        <f t="shared" si="68"/>
        <v>1</v>
      </c>
      <c r="BC69" s="251">
        <f t="shared" si="68"/>
        <v>2</v>
      </c>
      <c r="BD69" s="251">
        <f t="shared" si="68"/>
        <v>5</v>
      </c>
      <c r="BE69" s="251">
        <f t="shared" si="68"/>
        <v>2</v>
      </c>
      <c r="BF69" s="251">
        <f t="shared" si="68"/>
        <v>2</v>
      </c>
      <c r="BG69" s="251">
        <f t="shared" si="68"/>
        <v>0</v>
      </c>
      <c r="BH69" s="251">
        <f t="shared" si="68"/>
        <v>4</v>
      </c>
      <c r="BI69" s="251">
        <f t="shared" si="68"/>
        <v>2</v>
      </c>
      <c r="BJ69" s="251">
        <f t="shared" si="68"/>
        <v>1</v>
      </c>
      <c r="BK69" s="251">
        <f t="shared" si="68"/>
        <v>1</v>
      </c>
      <c r="BL69" s="251">
        <f t="shared" si="68"/>
        <v>1</v>
      </c>
      <c r="BM69" s="251">
        <f t="shared" si="68"/>
        <v>1</v>
      </c>
      <c r="BN69" s="251">
        <f t="shared" si="68"/>
        <v>2</v>
      </c>
      <c r="BO69" s="251">
        <f t="shared" si="68"/>
        <v>0</v>
      </c>
      <c r="BP69" s="251">
        <f t="shared" si="68"/>
        <v>4</v>
      </c>
      <c r="BQ69" s="251">
        <f t="shared" si="68"/>
        <v>1</v>
      </c>
      <c r="BR69" s="251">
        <f t="shared" si="68"/>
        <v>0</v>
      </c>
      <c r="BS69" s="251">
        <f t="shared" si="68"/>
        <v>1</v>
      </c>
      <c r="BT69" s="251">
        <f t="shared" si="68"/>
        <v>3</v>
      </c>
      <c r="BU69" s="251">
        <f t="shared" si="68"/>
        <v>1</v>
      </c>
      <c r="BV69" s="251">
        <f t="shared" si="68"/>
        <v>0</v>
      </c>
      <c r="BW69" s="251">
        <f t="shared" si="68"/>
        <v>2</v>
      </c>
      <c r="BX69" s="251">
        <f t="shared" si="68"/>
        <v>3</v>
      </c>
      <c r="BY69" s="251">
        <f t="shared" si="68"/>
        <v>3</v>
      </c>
      <c r="BZ69" s="251">
        <f t="shared" ref="BZ69:CJ69" si="69">SUM(BZ27,BZ47)</f>
        <v>1</v>
      </c>
      <c r="CA69" s="251">
        <f t="shared" si="69"/>
        <v>3</v>
      </c>
      <c r="CB69" s="251">
        <f t="shared" si="69"/>
        <v>0</v>
      </c>
      <c r="CC69" s="251">
        <f t="shared" si="69"/>
        <v>1</v>
      </c>
      <c r="CD69" s="251">
        <f t="shared" si="69"/>
        <v>1</v>
      </c>
      <c r="CE69" s="251">
        <f t="shared" si="69"/>
        <v>4</v>
      </c>
      <c r="CF69" s="251">
        <f t="shared" si="69"/>
        <v>4</v>
      </c>
      <c r="CG69" s="251">
        <f t="shared" si="69"/>
        <v>5</v>
      </c>
      <c r="CH69" s="251">
        <f t="shared" si="69"/>
        <v>2</v>
      </c>
      <c r="CI69" s="251">
        <f t="shared" si="69"/>
        <v>1</v>
      </c>
      <c r="CJ69" s="251">
        <f t="shared" si="69"/>
        <v>1</v>
      </c>
      <c r="CL69" s="91" t="s">
        <v>43</v>
      </c>
      <c r="CM69" s="93">
        <f>INDEX($2:$2,COUNTA($2:$2)+1)</f>
        <v>42370</v>
      </c>
      <c r="CN69" s="95" t="s">
        <v>137</v>
      </c>
      <c r="CO69" s="94">
        <f>INDEX($27:$27,COUNTA($2:$2)+1)</f>
        <v>1</v>
      </c>
      <c r="CP69" s="94">
        <f>INDEX($29:$29,COUNTA($2:$2)+1)</f>
        <v>1.3764595374960953</v>
      </c>
      <c r="CQ69" s="83" t="str">
        <f t="shared" si="10"/>
        <v>January</v>
      </c>
      <c r="CR69" s="91">
        <f t="shared" si="11"/>
        <v>2016</v>
      </c>
      <c r="CS69" s="91"/>
      <c r="CT69" s="91"/>
      <c r="CU69" s="91"/>
      <c r="CV69" s="91"/>
      <c r="CW69" s="91"/>
      <c r="CX69" s="91"/>
      <c r="CY69" s="91"/>
      <c r="CZ69" s="91"/>
      <c r="DC69" s="73">
        <v>42005</v>
      </c>
      <c r="DD69" s="47">
        <v>20</v>
      </c>
      <c r="DE69" s="47">
        <v>9.8201272242327935</v>
      </c>
      <c r="DG69" s="73">
        <v>42005</v>
      </c>
      <c r="DH69" s="47">
        <v>6</v>
      </c>
      <c r="DI69" s="47">
        <v>2.329672237921983</v>
      </c>
    </row>
    <row r="70" spans="1:113" ht="15" x14ac:dyDescent="0.25">
      <c r="A70" s="266" t="s">
        <v>138</v>
      </c>
      <c r="B70" s="251">
        <v>0</v>
      </c>
      <c r="C70" s="251">
        <v>0.63514150285785087</v>
      </c>
      <c r="D70" s="251">
        <v>2.202402476058325</v>
      </c>
      <c r="E70" s="251">
        <v>2.534134554879107</v>
      </c>
      <c r="F70" s="251">
        <v>1.3163239704964411</v>
      </c>
      <c r="G70" s="251">
        <v>1.9159312364615508</v>
      </c>
      <c r="H70" s="251">
        <v>0.94616527728603472</v>
      </c>
      <c r="I70" s="251">
        <v>0</v>
      </c>
      <c r="J70" s="251">
        <v>1.3300565174265668</v>
      </c>
      <c r="K70" s="251">
        <v>2.0053174333942168</v>
      </c>
      <c r="L70" s="251">
        <v>3.9303605614520061</v>
      </c>
      <c r="M70" s="251">
        <v>1.3012522318915625</v>
      </c>
      <c r="N70" s="262">
        <f t="shared" ref="N70:BY70" si="70">N69/N62*200000</f>
        <v>0</v>
      </c>
      <c r="O70" s="251">
        <f t="shared" si="70"/>
        <v>0</v>
      </c>
      <c r="P70" s="251">
        <f t="shared" si="70"/>
        <v>1.4792530142091498</v>
      </c>
      <c r="Q70" s="251">
        <f t="shared" si="70"/>
        <v>2.3994330139787969</v>
      </c>
      <c r="R70" s="251">
        <f t="shared" si="70"/>
        <v>2.6110081539826395</v>
      </c>
      <c r="S70" s="251">
        <f t="shared" si="70"/>
        <v>0.85861258723906364</v>
      </c>
      <c r="T70" s="251">
        <f t="shared" si="70"/>
        <v>1.2333055901240835</v>
      </c>
      <c r="U70" s="251">
        <f t="shared" si="70"/>
        <v>2.4665043316286606</v>
      </c>
      <c r="V70" s="251">
        <f t="shared" si="70"/>
        <v>1.9985863998393938</v>
      </c>
      <c r="W70" s="251">
        <f t="shared" si="70"/>
        <v>0</v>
      </c>
      <c r="X70" s="251">
        <f t="shared" si="70"/>
        <v>1.2998161020178867</v>
      </c>
      <c r="Y70" s="251">
        <f t="shared" si="70"/>
        <v>0</v>
      </c>
      <c r="Z70" s="262">
        <f t="shared" si="70"/>
        <v>1.2903309469845272</v>
      </c>
      <c r="AA70" s="251">
        <f t="shared" si="70"/>
        <v>0</v>
      </c>
      <c r="AB70" s="251">
        <f t="shared" si="70"/>
        <v>0</v>
      </c>
      <c r="AC70" s="251">
        <f t="shared" si="70"/>
        <v>2.5950693941019005</v>
      </c>
      <c r="AD70" s="251">
        <f t="shared" si="70"/>
        <v>2.67761839365857</v>
      </c>
      <c r="AE70" s="251">
        <f t="shared" si="70"/>
        <v>0.44199655945458155</v>
      </c>
      <c r="AF70" s="251">
        <f t="shared" si="70"/>
        <v>3.3926428368790864</v>
      </c>
      <c r="AG70" s="251">
        <f t="shared" si="70"/>
        <v>1.3269903636282023</v>
      </c>
      <c r="AH70" s="251">
        <f t="shared" si="70"/>
        <v>0</v>
      </c>
      <c r="AI70" s="251">
        <f t="shared" si="70"/>
        <v>0.67527591689554867</v>
      </c>
      <c r="AJ70" s="251">
        <f t="shared" si="70"/>
        <v>0.87631317171869239</v>
      </c>
      <c r="AK70" s="251">
        <f t="shared" si="70"/>
        <v>1.9389609282891778</v>
      </c>
      <c r="AL70" s="251">
        <f t="shared" si="70"/>
        <v>1.866042761489505</v>
      </c>
      <c r="AM70" s="251">
        <f t="shared" si="70"/>
        <v>3.6939293841370122</v>
      </c>
      <c r="AN70" s="251">
        <f t="shared" si="70"/>
        <v>2.9379649076985079</v>
      </c>
      <c r="AO70" s="251">
        <f t="shared" si="70"/>
        <v>1.84610811947581</v>
      </c>
      <c r="AP70" s="251">
        <f t="shared" si="70"/>
        <v>2.5336130216899235</v>
      </c>
      <c r="AQ70" s="251">
        <f t="shared" si="70"/>
        <v>3.23399105704453</v>
      </c>
      <c r="AR70" s="251">
        <f t="shared" si="70"/>
        <v>1.237698093193035</v>
      </c>
      <c r="AS70" s="251">
        <f t="shared" si="70"/>
        <v>1.2930356614386542</v>
      </c>
      <c r="AT70" s="251">
        <f t="shared" si="70"/>
        <v>0.65635472139579865</v>
      </c>
      <c r="AU70" s="251">
        <f t="shared" si="70"/>
        <v>1.3051864935299078</v>
      </c>
      <c r="AV70" s="251">
        <f t="shared" si="70"/>
        <v>0</v>
      </c>
      <c r="AW70" s="251">
        <f t="shared" si="70"/>
        <v>0.64135680314418753</v>
      </c>
      <c r="AX70" s="251">
        <f t="shared" si="70"/>
        <v>0</v>
      </c>
      <c r="AY70" s="251">
        <f t="shared" si="70"/>
        <v>1.8462683147893628</v>
      </c>
      <c r="AZ70" s="251">
        <f t="shared" si="70"/>
        <v>1.5087104644308684</v>
      </c>
      <c r="BA70" s="251">
        <f t="shared" si="70"/>
        <v>0.62490228090582345</v>
      </c>
      <c r="BB70" s="251">
        <f t="shared" si="70"/>
        <v>0.42946317511101134</v>
      </c>
      <c r="BC70" s="251">
        <f t="shared" si="70"/>
        <v>1.0270220279279128</v>
      </c>
      <c r="BD70" s="251">
        <f t="shared" si="70"/>
        <v>2.431637549833372</v>
      </c>
      <c r="BE70" s="251">
        <f t="shared" si="70"/>
        <v>1.0287213073875074</v>
      </c>
      <c r="BF70" s="251">
        <f t="shared" si="70"/>
        <v>1.0364056395287391</v>
      </c>
      <c r="BG70" s="251">
        <f t="shared" si="70"/>
        <v>0</v>
      </c>
      <c r="BH70" s="251">
        <f t="shared" si="70"/>
        <v>2.1031091313843824</v>
      </c>
      <c r="BI70" s="251">
        <f t="shared" si="70"/>
        <v>0.98404484449803542</v>
      </c>
      <c r="BJ70" s="251">
        <f t="shared" si="70"/>
        <v>0.51043036374645878</v>
      </c>
      <c r="BK70" s="251">
        <f t="shared" si="70"/>
        <v>0.49864731941661855</v>
      </c>
      <c r="BL70" s="251">
        <f t="shared" si="70"/>
        <v>0.27638767445296347</v>
      </c>
      <c r="BM70" s="251">
        <f t="shared" si="70"/>
        <v>0.35377612141370074</v>
      </c>
      <c r="BN70" s="251">
        <f t="shared" si="70"/>
        <v>0.68752480568013752</v>
      </c>
      <c r="BO70" s="251">
        <f t="shared" si="70"/>
        <v>0</v>
      </c>
      <c r="BP70" s="251">
        <f t="shared" si="70"/>
        <v>1.3008788135607967</v>
      </c>
      <c r="BQ70" s="251">
        <f t="shared" si="70"/>
        <v>0.34531622652861865</v>
      </c>
      <c r="BR70" s="251">
        <f t="shared" si="70"/>
        <v>0</v>
      </c>
      <c r="BS70" s="251">
        <f t="shared" si="70"/>
        <v>0.27084017289407442</v>
      </c>
      <c r="BT70" s="251">
        <f t="shared" si="70"/>
        <v>1.0257337800289974</v>
      </c>
      <c r="BU70" s="251">
        <f t="shared" si="70"/>
        <v>0.32867204071746997</v>
      </c>
      <c r="BV70" s="251">
        <f t="shared" si="70"/>
        <v>0</v>
      </c>
      <c r="BW70" s="251">
        <f t="shared" si="70"/>
        <v>0.65734455674664916</v>
      </c>
      <c r="BX70" s="251">
        <f t="shared" si="70"/>
        <v>0.81414074536645842</v>
      </c>
      <c r="BY70" s="251">
        <f t="shared" si="70"/>
        <v>1.0363870125437893</v>
      </c>
      <c r="BZ70" s="251">
        <f t="shared" ref="BZ70:CJ70" si="71">BZ69/BZ62*200000</f>
        <v>0.33452947693104801</v>
      </c>
      <c r="CA70" s="251">
        <f t="shared" si="71"/>
        <v>1.0349169598155201</v>
      </c>
      <c r="CB70" s="251">
        <f t="shared" si="71"/>
        <v>0</v>
      </c>
      <c r="CC70" s="251">
        <f t="shared" si="71"/>
        <v>0.3335303942079112</v>
      </c>
      <c r="CD70" s="251">
        <f t="shared" si="71"/>
        <v>0.22287755653094202</v>
      </c>
      <c r="CE70" s="251">
        <f t="shared" si="71"/>
        <v>1.3321175540456742</v>
      </c>
      <c r="CF70" s="251">
        <f t="shared" si="71"/>
        <v>1.2320631434825162</v>
      </c>
      <c r="CG70" s="251">
        <f t="shared" si="71"/>
        <v>1.4985171124210614</v>
      </c>
      <c r="CH70" s="251">
        <f t="shared" si="71"/>
        <v>0.53596127071288668</v>
      </c>
      <c r="CI70" s="251">
        <f t="shared" si="71"/>
        <v>0.1752759450267681</v>
      </c>
      <c r="CJ70" s="251">
        <f t="shared" si="71"/>
        <v>0.1901184713463093</v>
      </c>
      <c r="CL70" s="91" t="s">
        <v>43</v>
      </c>
      <c r="CM70" s="93">
        <f>INDEX($2:$2,COUNTA($2:$2)-22)</f>
        <v>41671</v>
      </c>
      <c r="CN70" s="95" t="s">
        <v>302</v>
      </c>
      <c r="CO70" s="94">
        <f>INDEX($30:$30,COUNTA($2:$2)-22)</f>
        <v>1</v>
      </c>
      <c r="CP70" s="94">
        <f>INDEX($32:$32,COUNTA($2:$2)-22)</f>
        <v>0.38841890578917887</v>
      </c>
      <c r="CQ70" s="83" t="str">
        <f t="shared" si="10"/>
        <v>February</v>
      </c>
      <c r="CR70" s="91">
        <f t="shared" si="11"/>
        <v>2014</v>
      </c>
      <c r="CS70" s="91"/>
      <c r="CT70" s="91"/>
      <c r="CU70" s="91"/>
      <c r="CV70" s="91"/>
      <c r="CW70" s="91"/>
      <c r="CX70" s="91"/>
      <c r="CY70" s="91"/>
      <c r="CZ70" s="91"/>
      <c r="DC70" s="73">
        <v>42036</v>
      </c>
      <c r="DD70" s="47">
        <v>26</v>
      </c>
      <c r="DE70" s="47">
        <v>10.107550762622605</v>
      </c>
      <c r="DG70" s="73">
        <v>42036</v>
      </c>
      <c r="DH70" s="47">
        <v>10</v>
      </c>
      <c r="DI70" s="47">
        <v>5.4537378639261602</v>
      </c>
    </row>
    <row r="71" spans="1:113" ht="15" x14ac:dyDescent="0.25">
      <c r="A71" s="266" t="s">
        <v>147</v>
      </c>
      <c r="B71" s="251" t="e">
        <f>SUM(#REF!)/SUM(#REF!)*200000</f>
        <v>#REF!</v>
      </c>
      <c r="C71" s="251" t="e">
        <f>SUM(#REF!)/SUM(#REF!)*200000</f>
        <v>#REF!</v>
      </c>
      <c r="D71" s="251" t="e">
        <f>SUM(#REF!)/SUM(#REF!)*200000</f>
        <v>#REF!</v>
      </c>
      <c r="E71" s="251" t="e">
        <f>SUM(#REF!)/SUM(#REF!)*200000</f>
        <v>#REF!</v>
      </c>
      <c r="F71" s="251" t="e">
        <f>SUM(#REF!)/SUM(#REF!)*200000</f>
        <v>#REF!</v>
      </c>
      <c r="G71" s="251" t="e">
        <f>SUM(#REF!)/SUM(#REF!)*200000</f>
        <v>#REF!</v>
      </c>
      <c r="H71" s="251" t="e">
        <f>SUM(#REF!)/SUM(#REF!)*200000</f>
        <v>#REF!</v>
      </c>
      <c r="I71" s="251" t="e">
        <f>SUM(#REF!)/SUM(#REF!)*200000</f>
        <v>#REF!</v>
      </c>
      <c r="J71" s="251" t="e">
        <f>SUM(#REF!)/SUM(#REF!)*200000</f>
        <v>#REF!</v>
      </c>
      <c r="K71" s="251" t="e">
        <f>SUM(#REF!)/SUM(#REF!)*200000</f>
        <v>#REF!</v>
      </c>
      <c r="L71" s="251" t="e">
        <f>SUM(#REF!)/SUM(#REF!)*200000</f>
        <v>#REF!</v>
      </c>
      <c r="M71" s="251" t="e">
        <f>SUM(#REF!)/SUM(#REF!)*200000</f>
        <v>#REF!</v>
      </c>
      <c r="N71" s="251">
        <f t="shared" ref="N71:AS71" si="72">SUM(C69:N69)/SUM(C62:N62)*200000</f>
        <v>1.4460069494146603</v>
      </c>
      <c r="O71" s="251">
        <f t="shared" si="72"/>
        <v>1.3944332933080346</v>
      </c>
      <c r="P71" s="251">
        <f t="shared" si="72"/>
        <v>1.3468893254306848</v>
      </c>
      <c r="Q71" s="251">
        <f t="shared" si="72"/>
        <v>1.3429575073298061</v>
      </c>
      <c r="R71" s="251">
        <f t="shared" si="72"/>
        <v>1.4436182042226839</v>
      </c>
      <c r="S71" s="251">
        <f t="shared" si="72"/>
        <v>1.3445694552826679</v>
      </c>
      <c r="T71" s="251">
        <f t="shared" si="72"/>
        <v>1.3798981644518227</v>
      </c>
      <c r="U71" s="251">
        <f t="shared" si="72"/>
        <v>1.57337914856076</v>
      </c>
      <c r="V71" s="251">
        <f t="shared" si="72"/>
        <v>1.6248922662575547</v>
      </c>
      <c r="W71" s="251">
        <f t="shared" si="72"/>
        <v>1.4793534188039963</v>
      </c>
      <c r="X71" s="251">
        <f t="shared" si="72"/>
        <v>1.2830903764693267</v>
      </c>
      <c r="Y71" s="251">
        <f t="shared" si="72"/>
        <v>1.1406973564016394</v>
      </c>
      <c r="Z71" s="251">
        <f t="shared" si="72"/>
        <v>1.2448242417590687</v>
      </c>
      <c r="AA71" s="251">
        <f t="shared" si="72"/>
        <v>1.2495133457896488</v>
      </c>
      <c r="AB71" s="251">
        <f t="shared" si="72"/>
        <v>1.1529251324705967</v>
      </c>
      <c r="AC71" s="251">
        <f t="shared" si="72"/>
        <v>1.1602343518020128</v>
      </c>
      <c r="AD71" s="251">
        <f t="shared" si="72"/>
        <v>1.1624691762137165</v>
      </c>
      <c r="AE71" s="251">
        <f t="shared" si="72"/>
        <v>1.1156982848874868</v>
      </c>
      <c r="AF71" s="251">
        <f t="shared" si="72"/>
        <v>1.2774190428847381</v>
      </c>
      <c r="AG71" s="251">
        <f t="shared" si="72"/>
        <v>1.1821452816512403</v>
      </c>
      <c r="AH71" s="251">
        <f t="shared" si="72"/>
        <v>1.027892460667573</v>
      </c>
      <c r="AI71" s="251">
        <f t="shared" si="72"/>
        <v>1.0799956118235441</v>
      </c>
      <c r="AJ71" s="251">
        <f t="shared" si="72"/>
        <v>1.0402150429623549</v>
      </c>
      <c r="AK71" s="251">
        <f t="shared" si="72"/>
        <v>1.2314066257834537</v>
      </c>
      <c r="AL71" s="251">
        <f t="shared" si="72"/>
        <v>1.2789295952710915</v>
      </c>
      <c r="AM71" s="251">
        <f t="shared" si="72"/>
        <v>1.5802855765161268</v>
      </c>
      <c r="AN71" s="251">
        <f t="shared" si="72"/>
        <v>1.7780313081086829</v>
      </c>
      <c r="AO71" s="251">
        <f t="shared" si="72"/>
        <v>1.7199211240125658</v>
      </c>
      <c r="AP71" s="251">
        <f t="shared" si="72"/>
        <v>1.743962715356052</v>
      </c>
      <c r="AQ71" s="251">
        <f t="shared" si="72"/>
        <v>2.0074013540328632</v>
      </c>
      <c r="AR71" s="251">
        <f t="shared" si="72"/>
        <v>1.8436959426481005</v>
      </c>
      <c r="AS71" s="251">
        <f t="shared" si="72"/>
        <v>1.84006706039858</v>
      </c>
      <c r="AT71" s="251">
        <f t="shared" ref="AT71:BY71" si="73">SUM(AI69:AT69)/SUM(AI62:AT62)*200000</f>
        <v>1.887792275048195</v>
      </c>
      <c r="AU71" s="251">
        <f t="shared" si="73"/>
        <v>1.9095832113606948</v>
      </c>
      <c r="AV71" s="251">
        <f t="shared" si="73"/>
        <v>1.8824472570292567</v>
      </c>
      <c r="AW71" s="251">
        <f t="shared" si="73"/>
        <v>1.7823138677891261</v>
      </c>
      <c r="AX71" s="251">
        <f t="shared" si="73"/>
        <v>1.6333247950867216</v>
      </c>
      <c r="AY71" s="251">
        <f t="shared" si="73"/>
        <v>1.4847956994614928</v>
      </c>
      <c r="AZ71" s="251">
        <f t="shared" si="73"/>
        <v>1.3882726604095945</v>
      </c>
      <c r="BA71" s="251">
        <f t="shared" si="73"/>
        <v>1.2906967481878344</v>
      </c>
      <c r="BB71" s="251">
        <f t="shared" si="73"/>
        <v>1.0445429238960424</v>
      </c>
      <c r="BC71" s="251">
        <f t="shared" si="73"/>
        <v>0.87780094088556848</v>
      </c>
      <c r="BD71" s="251">
        <f t="shared" si="73"/>
        <v>1.0025726706982676</v>
      </c>
      <c r="BE71" s="251">
        <f t="shared" si="73"/>
        <v>0.98390491098777433</v>
      </c>
      <c r="BF71" s="251">
        <f t="shared" si="73"/>
        <v>1.0115079303210257</v>
      </c>
      <c r="BG71" s="251">
        <f t="shared" si="73"/>
        <v>0.8584235418066033</v>
      </c>
      <c r="BH71" s="251">
        <f t="shared" si="73"/>
        <v>1.0215981937220053</v>
      </c>
      <c r="BI71" s="251">
        <f t="shared" si="73"/>
        <v>1.0440694311392054</v>
      </c>
      <c r="BJ71" s="251">
        <f t="shared" si="73"/>
        <v>1.0714575046078296</v>
      </c>
      <c r="BK71" s="251">
        <f t="shared" si="73"/>
        <v>0.96992272170234228</v>
      </c>
      <c r="BL71" s="251">
        <f t="shared" si="73"/>
        <v>0.8459683724687691</v>
      </c>
      <c r="BM71" s="251">
        <f t="shared" si="73"/>
        <v>0.80787022620922655</v>
      </c>
      <c r="BN71" s="251">
        <f t="shared" si="73"/>
        <v>0.8269634927240328</v>
      </c>
      <c r="BO71" s="251">
        <f t="shared" si="73"/>
        <v>0.72766939340443304</v>
      </c>
      <c r="BP71" s="251">
        <f t="shared" si="73"/>
        <v>0.66939161153542026</v>
      </c>
      <c r="BQ71" s="251">
        <f t="shared" si="73"/>
        <v>0.61629060049291551</v>
      </c>
      <c r="BR71" s="251">
        <f t="shared" si="73"/>
        <v>0.53220241447274752</v>
      </c>
      <c r="BS71" s="251">
        <f t="shared" si="73"/>
        <v>0.54624020771111659</v>
      </c>
      <c r="BT71" s="251">
        <f t="shared" si="73"/>
        <v>0.50036312676600048</v>
      </c>
      <c r="BU71" s="251">
        <f t="shared" si="73"/>
        <v>0.45733305281286096</v>
      </c>
      <c r="BV71" s="251">
        <f t="shared" si="73"/>
        <v>0.41778206819536912</v>
      </c>
      <c r="BW71" s="251">
        <f t="shared" si="73"/>
        <v>0.43312302250916535</v>
      </c>
      <c r="BX71" s="251">
        <f t="shared" si="73"/>
        <v>0.48638440096691293</v>
      </c>
      <c r="BY71" s="251">
        <f t="shared" si="73"/>
        <v>0.53943555854821967</v>
      </c>
      <c r="BZ71" s="251">
        <f t="shared" ref="BZ71:CJ71" si="74">SUM(BO69:BZ69)/SUM(BO62:BZ62)*200000</f>
        <v>0.51135644341884079</v>
      </c>
      <c r="CA71" s="251">
        <f t="shared" si="74"/>
        <v>0.59361884484099214</v>
      </c>
      <c r="CB71" s="251">
        <f t="shared" si="74"/>
        <v>0.48629354228832417</v>
      </c>
      <c r="CC71" s="251">
        <f t="shared" si="74"/>
        <v>0.4849528368954264</v>
      </c>
      <c r="CD71" s="251">
        <f t="shared" si="74"/>
        <v>0.49272693869209755</v>
      </c>
      <c r="CE71" s="251">
        <f t="shared" si="74"/>
        <v>0.58091275985279445</v>
      </c>
      <c r="CF71" s="251">
        <f t="shared" si="74"/>
        <v>0.60220007276328236</v>
      </c>
      <c r="CG71" s="251">
        <f t="shared" si="74"/>
        <v>0.70152880364826353</v>
      </c>
      <c r="CH71" s="251">
        <f t="shared" si="74"/>
        <v>0.73713674708332022</v>
      </c>
      <c r="CI71" s="251">
        <f t="shared" si="74"/>
        <v>0.66660069833790048</v>
      </c>
      <c r="CJ71" s="251">
        <f t="shared" si="74"/>
        <v>0.59661533625127772</v>
      </c>
      <c r="CL71" s="91" t="s">
        <v>43</v>
      </c>
      <c r="CM71" s="93">
        <f>INDEX($2:$2,COUNTA($2:$2)-21)</f>
        <v>41699</v>
      </c>
      <c r="CN71" s="95" t="s">
        <v>302</v>
      </c>
      <c r="CO71" s="94">
        <f>INDEX($30:$30,COUNTA($2:$2)-21)</f>
        <v>0</v>
      </c>
      <c r="CP71" s="94">
        <f>INDEX($32:$32,COUNTA($2:$2)-21)</f>
        <v>0.3811164588472758</v>
      </c>
      <c r="CQ71" s="83" t="str">
        <f t="shared" si="10"/>
        <v>March</v>
      </c>
      <c r="CR71" s="91">
        <f t="shared" si="11"/>
        <v>2014</v>
      </c>
      <c r="CS71" s="91"/>
      <c r="CT71" s="91"/>
      <c r="CU71" s="91"/>
      <c r="CV71" s="91"/>
      <c r="CW71" s="91"/>
      <c r="CX71" s="91"/>
      <c r="CY71" s="91"/>
      <c r="CZ71" s="91"/>
      <c r="DC71" s="73">
        <v>42064</v>
      </c>
      <c r="DD71" s="47">
        <v>12</v>
      </c>
      <c r="DE71" s="47">
        <v>9.8396934446906776</v>
      </c>
      <c r="DG71" s="73">
        <v>42064</v>
      </c>
      <c r="DH71" s="47">
        <v>4</v>
      </c>
      <c r="DI71" s="47">
        <v>1.6330355995009236</v>
      </c>
    </row>
    <row r="72" spans="1:113" ht="15" x14ac:dyDescent="0.25">
      <c r="A72" s="266" t="s">
        <v>139</v>
      </c>
      <c r="B72" s="251">
        <v>1</v>
      </c>
      <c r="C72" s="251">
        <v>3</v>
      </c>
      <c r="D72" s="251">
        <v>2</v>
      </c>
      <c r="E72" s="251">
        <v>3</v>
      </c>
      <c r="F72" s="251">
        <v>3</v>
      </c>
      <c r="G72" s="251">
        <v>0</v>
      </c>
      <c r="H72" s="251">
        <v>0</v>
      </c>
      <c r="I72" s="251">
        <v>0</v>
      </c>
      <c r="J72" s="251">
        <v>0</v>
      </c>
      <c r="K72" s="251">
        <v>1</v>
      </c>
      <c r="L72" s="251">
        <v>0</v>
      </c>
      <c r="M72" s="251">
        <v>0</v>
      </c>
      <c r="N72" s="262">
        <f t="shared" ref="N72:BY72" si="75">SUM(N50,N30)</f>
        <v>1</v>
      </c>
      <c r="O72" s="251">
        <f t="shared" si="75"/>
        <v>1</v>
      </c>
      <c r="P72" s="251">
        <f t="shared" si="75"/>
        <v>1</v>
      </c>
      <c r="Q72" s="251">
        <f t="shared" si="75"/>
        <v>2</v>
      </c>
      <c r="R72" s="251">
        <f t="shared" si="75"/>
        <v>1</v>
      </c>
      <c r="S72" s="251">
        <f t="shared" si="75"/>
        <v>0</v>
      </c>
      <c r="T72" s="251">
        <f t="shared" si="75"/>
        <v>2</v>
      </c>
      <c r="U72" s="251">
        <f t="shared" si="75"/>
        <v>1</v>
      </c>
      <c r="V72" s="251">
        <f t="shared" si="75"/>
        <v>1</v>
      </c>
      <c r="W72" s="251">
        <f t="shared" si="75"/>
        <v>0</v>
      </c>
      <c r="X72" s="251">
        <f t="shared" si="75"/>
        <v>1</v>
      </c>
      <c r="Y72" s="251">
        <f t="shared" si="75"/>
        <v>3</v>
      </c>
      <c r="Z72" s="262">
        <f t="shared" si="75"/>
        <v>4</v>
      </c>
      <c r="AA72" s="251">
        <f t="shared" si="75"/>
        <v>3</v>
      </c>
      <c r="AB72" s="251">
        <f t="shared" si="75"/>
        <v>5</v>
      </c>
      <c r="AC72" s="251">
        <f t="shared" si="75"/>
        <v>1</v>
      </c>
      <c r="AD72" s="251">
        <f t="shared" si="75"/>
        <v>3</v>
      </c>
      <c r="AE72" s="251">
        <f t="shared" si="75"/>
        <v>0</v>
      </c>
      <c r="AF72" s="251">
        <f t="shared" si="75"/>
        <v>3</v>
      </c>
      <c r="AG72" s="251">
        <f t="shared" si="75"/>
        <v>4</v>
      </c>
      <c r="AH72" s="251">
        <f t="shared" si="75"/>
        <v>2</v>
      </c>
      <c r="AI72" s="251">
        <f t="shared" si="75"/>
        <v>2</v>
      </c>
      <c r="AJ72" s="251">
        <f t="shared" si="75"/>
        <v>2</v>
      </c>
      <c r="AK72" s="251">
        <f t="shared" si="75"/>
        <v>0</v>
      </c>
      <c r="AL72" s="251">
        <f t="shared" si="75"/>
        <v>0</v>
      </c>
      <c r="AM72" s="251">
        <f t="shared" si="75"/>
        <v>3</v>
      </c>
      <c r="AN72" s="251">
        <f t="shared" si="75"/>
        <v>3</v>
      </c>
      <c r="AO72" s="251">
        <f t="shared" si="75"/>
        <v>3</v>
      </c>
      <c r="AP72" s="251">
        <f t="shared" si="75"/>
        <v>4</v>
      </c>
      <c r="AQ72" s="251">
        <f t="shared" si="75"/>
        <v>1</v>
      </c>
      <c r="AR72" s="251">
        <f t="shared" si="75"/>
        <v>1</v>
      </c>
      <c r="AS72" s="251">
        <f t="shared" si="75"/>
        <v>3</v>
      </c>
      <c r="AT72" s="251">
        <f t="shared" si="75"/>
        <v>0</v>
      </c>
      <c r="AU72" s="251">
        <f t="shared" si="75"/>
        <v>0</v>
      </c>
      <c r="AV72" s="251">
        <f t="shared" si="75"/>
        <v>1</v>
      </c>
      <c r="AW72" s="251">
        <f t="shared" si="75"/>
        <v>2</v>
      </c>
      <c r="AX72" s="251">
        <f t="shared" si="75"/>
        <v>0</v>
      </c>
      <c r="AY72" s="251">
        <f t="shared" si="75"/>
        <v>1</v>
      </c>
      <c r="AZ72" s="251">
        <f t="shared" si="75"/>
        <v>5</v>
      </c>
      <c r="BA72" s="251">
        <f t="shared" si="75"/>
        <v>0</v>
      </c>
      <c r="BB72" s="251">
        <f t="shared" si="75"/>
        <v>0</v>
      </c>
      <c r="BC72" s="251">
        <f t="shared" si="75"/>
        <v>2</v>
      </c>
      <c r="BD72" s="251">
        <f t="shared" si="75"/>
        <v>0</v>
      </c>
      <c r="BE72" s="251">
        <f t="shared" si="75"/>
        <v>0</v>
      </c>
      <c r="BF72" s="251">
        <f t="shared" si="75"/>
        <v>1</v>
      </c>
      <c r="BG72" s="251">
        <f t="shared" si="75"/>
        <v>0</v>
      </c>
      <c r="BH72" s="251">
        <f t="shared" si="75"/>
        <v>3</v>
      </c>
      <c r="BI72" s="251">
        <f t="shared" si="75"/>
        <v>0</v>
      </c>
      <c r="BJ72" s="251">
        <f t="shared" si="75"/>
        <v>0</v>
      </c>
      <c r="BK72" s="251">
        <f t="shared" si="75"/>
        <v>3</v>
      </c>
      <c r="BL72" s="251">
        <f t="shared" si="75"/>
        <v>3</v>
      </c>
      <c r="BM72" s="251">
        <f t="shared" si="75"/>
        <v>4</v>
      </c>
      <c r="BN72" s="251">
        <f t="shared" si="75"/>
        <v>2</v>
      </c>
      <c r="BO72" s="251">
        <f t="shared" si="75"/>
        <v>1</v>
      </c>
      <c r="BP72" s="251">
        <f t="shared" si="75"/>
        <v>0</v>
      </c>
      <c r="BQ72" s="251">
        <f t="shared" si="75"/>
        <v>1</v>
      </c>
      <c r="BR72" s="251">
        <f t="shared" si="75"/>
        <v>3</v>
      </c>
      <c r="BS72" s="251">
        <f t="shared" si="75"/>
        <v>0</v>
      </c>
      <c r="BT72" s="251">
        <f t="shared" si="75"/>
        <v>1</v>
      </c>
      <c r="BU72" s="251">
        <f t="shared" si="75"/>
        <v>0</v>
      </c>
      <c r="BV72" s="251">
        <f t="shared" si="75"/>
        <v>0</v>
      </c>
      <c r="BW72" s="251">
        <f t="shared" si="75"/>
        <v>1</v>
      </c>
      <c r="BX72" s="251">
        <f t="shared" si="75"/>
        <v>4</v>
      </c>
      <c r="BY72" s="251">
        <f t="shared" si="75"/>
        <v>1</v>
      </c>
      <c r="BZ72" s="251">
        <f t="shared" ref="BZ72:CJ72" si="76">SUM(BZ50,BZ30)</f>
        <v>0</v>
      </c>
      <c r="CA72" s="251">
        <f t="shared" si="76"/>
        <v>1</v>
      </c>
      <c r="CB72" s="251">
        <f t="shared" si="76"/>
        <v>3</v>
      </c>
      <c r="CC72" s="251">
        <f t="shared" si="76"/>
        <v>4</v>
      </c>
      <c r="CD72" s="251">
        <f t="shared" si="76"/>
        <v>2</v>
      </c>
      <c r="CE72" s="251">
        <f t="shared" si="76"/>
        <v>0</v>
      </c>
      <c r="CF72" s="251">
        <f t="shared" si="76"/>
        <v>3</v>
      </c>
      <c r="CG72" s="251">
        <f t="shared" si="76"/>
        <v>2</v>
      </c>
      <c r="CH72" s="251">
        <f t="shared" si="76"/>
        <v>0</v>
      </c>
      <c r="CI72" s="251">
        <f t="shared" si="76"/>
        <v>3</v>
      </c>
      <c r="CJ72" s="251">
        <f t="shared" si="76"/>
        <v>2</v>
      </c>
      <c r="CL72" s="91" t="s">
        <v>43</v>
      </c>
      <c r="CM72" s="93">
        <f>INDEX($2:$2,COUNTA($2:$2)-20)</f>
        <v>41730</v>
      </c>
      <c r="CN72" s="95" t="s">
        <v>302</v>
      </c>
      <c r="CO72" s="94">
        <f>INDEX($30:$30,COUNTA($2:$2)-20)</f>
        <v>0</v>
      </c>
      <c r="CP72" s="94">
        <f>INDEX($32:$32,COUNTA($2:$2)-20)</f>
        <v>0.28606857619698045</v>
      </c>
      <c r="CQ72" s="83" t="str">
        <f t="shared" si="10"/>
        <v>April</v>
      </c>
      <c r="CR72" s="91">
        <f t="shared" si="11"/>
        <v>2014</v>
      </c>
      <c r="CS72" s="91"/>
      <c r="CT72" s="91"/>
      <c r="CU72" s="91"/>
      <c r="CV72" s="91"/>
      <c r="CW72" s="91"/>
      <c r="CX72" s="91"/>
      <c r="CY72" s="91"/>
      <c r="CZ72" s="91"/>
      <c r="DC72" s="73">
        <v>42095</v>
      </c>
      <c r="DD72" s="47">
        <v>22</v>
      </c>
      <c r="DE72" s="47">
        <v>10.186136614812398</v>
      </c>
      <c r="DG72" s="73">
        <v>42095</v>
      </c>
      <c r="DH72" s="47">
        <v>8</v>
      </c>
      <c r="DI72" s="47">
        <v>3.4839797429033981</v>
      </c>
    </row>
    <row r="73" spans="1:113" ht="15" x14ac:dyDescent="0.25">
      <c r="A73" s="266" t="s">
        <v>140</v>
      </c>
      <c r="B73" s="251">
        <v>0.63094685152946717</v>
      </c>
      <c r="C73" s="251">
        <v>1.9054245085735528</v>
      </c>
      <c r="D73" s="251">
        <v>1.4682683173722166</v>
      </c>
      <c r="E73" s="251">
        <v>1.9006009161593302</v>
      </c>
      <c r="F73" s="251">
        <v>1.9744859557446615</v>
      </c>
      <c r="G73" s="251">
        <v>1E-8</v>
      </c>
      <c r="H73" s="251">
        <v>1E-8</v>
      </c>
      <c r="I73" s="251">
        <v>1E-8</v>
      </c>
      <c r="J73" s="251">
        <v>1E-8</v>
      </c>
      <c r="K73" s="251">
        <v>0.66843914446473895</v>
      </c>
      <c r="L73" s="251">
        <v>1E-8</v>
      </c>
      <c r="M73" s="251">
        <v>1E-8</v>
      </c>
      <c r="N73" s="262">
        <f>N72/N62*200000</f>
        <v>0.6135202688691227</v>
      </c>
      <c r="O73" s="251">
        <f>O72/O62*200000</f>
        <v>0.61329272108934274</v>
      </c>
      <c r="P73" s="251">
        <f>P72/P62*200000</f>
        <v>0.73962650710457489</v>
      </c>
      <c r="Q73" s="251">
        <f>Q72/Q62*200000</f>
        <v>1.1997165069893985</v>
      </c>
      <c r="R73" s="251">
        <f>R72/R62*200000</f>
        <v>0.65275203849565988</v>
      </c>
      <c r="S73" s="251">
        <v>1E-8</v>
      </c>
      <c r="T73" s="251">
        <f>T72/T62*200000</f>
        <v>1.2333055901240835</v>
      </c>
      <c r="U73" s="251">
        <f>U72/U62*200000</f>
        <v>0.61662608290716514</v>
      </c>
      <c r="V73" s="251">
        <f>V72/V62*200000</f>
        <v>0.66619546661313112</v>
      </c>
      <c r="W73" s="251">
        <v>1E-8</v>
      </c>
      <c r="X73" s="251">
        <f t="shared" ref="X73:CI73" si="77">X72/X62*200000</f>
        <v>0.64990805100894333</v>
      </c>
      <c r="Y73" s="251">
        <f t="shared" si="77"/>
        <v>1.3360366996811726</v>
      </c>
      <c r="Z73" s="262">
        <f t="shared" si="77"/>
        <v>2.5806618939690544</v>
      </c>
      <c r="AA73" s="251">
        <f t="shared" si="77"/>
        <v>1.9290423629277156</v>
      </c>
      <c r="AB73" s="251">
        <f t="shared" si="77"/>
        <v>3.8654769192566416</v>
      </c>
      <c r="AC73" s="251">
        <f t="shared" si="77"/>
        <v>0.64876734852547513</v>
      </c>
      <c r="AD73" s="251">
        <f t="shared" si="77"/>
        <v>2.0082137952439272</v>
      </c>
      <c r="AE73" s="251">
        <f t="shared" si="77"/>
        <v>0</v>
      </c>
      <c r="AF73" s="251">
        <f t="shared" si="77"/>
        <v>2.0355857021274519</v>
      </c>
      <c r="AG73" s="251">
        <f t="shared" si="77"/>
        <v>2.6539807272564047</v>
      </c>
      <c r="AH73" s="251">
        <f t="shared" si="77"/>
        <v>1.3313843198275377</v>
      </c>
      <c r="AI73" s="251">
        <f t="shared" si="77"/>
        <v>1.3505518337910973</v>
      </c>
      <c r="AJ73" s="251">
        <f t="shared" si="77"/>
        <v>0.87631317171869239</v>
      </c>
      <c r="AK73" s="251">
        <f t="shared" si="77"/>
        <v>0</v>
      </c>
      <c r="AL73" s="251">
        <f t="shared" si="77"/>
        <v>0</v>
      </c>
      <c r="AM73" s="251">
        <f t="shared" si="77"/>
        <v>1.8469646920685061</v>
      </c>
      <c r="AN73" s="251">
        <f t="shared" si="77"/>
        <v>2.2034736807738806</v>
      </c>
      <c r="AO73" s="251">
        <f t="shared" si="77"/>
        <v>1.84610811947581</v>
      </c>
      <c r="AP73" s="251">
        <f t="shared" si="77"/>
        <v>1.6890753477932823</v>
      </c>
      <c r="AQ73" s="251">
        <f t="shared" si="77"/>
        <v>0.64679821140890592</v>
      </c>
      <c r="AR73" s="251">
        <f t="shared" si="77"/>
        <v>0.61884904659651752</v>
      </c>
      <c r="AS73" s="251">
        <f t="shared" si="77"/>
        <v>1.9395534921579813</v>
      </c>
      <c r="AT73" s="251">
        <f t="shared" si="77"/>
        <v>0</v>
      </c>
      <c r="AU73" s="251">
        <f t="shared" si="77"/>
        <v>0</v>
      </c>
      <c r="AV73" s="251">
        <f t="shared" si="77"/>
        <v>0.65711728495434363</v>
      </c>
      <c r="AW73" s="251">
        <f t="shared" si="77"/>
        <v>1.2827136062883751</v>
      </c>
      <c r="AX73" s="251">
        <f t="shared" si="77"/>
        <v>0</v>
      </c>
      <c r="AY73" s="251">
        <f t="shared" si="77"/>
        <v>0.61542277159645431</v>
      </c>
      <c r="AZ73" s="251">
        <f t="shared" si="77"/>
        <v>3.7717761610771707</v>
      </c>
      <c r="BA73" s="251">
        <f t="shared" si="77"/>
        <v>0</v>
      </c>
      <c r="BB73" s="251">
        <f t="shared" si="77"/>
        <v>0</v>
      </c>
      <c r="BC73" s="251">
        <f t="shared" si="77"/>
        <v>1.0270220279279128</v>
      </c>
      <c r="BD73" s="251">
        <f t="shared" si="77"/>
        <v>0</v>
      </c>
      <c r="BE73" s="251">
        <f t="shared" si="77"/>
        <v>0</v>
      </c>
      <c r="BF73" s="251">
        <f t="shared" si="77"/>
        <v>0.51820281976436955</v>
      </c>
      <c r="BG73" s="251">
        <f t="shared" si="77"/>
        <v>0</v>
      </c>
      <c r="BH73" s="251">
        <f t="shared" si="77"/>
        <v>1.5773318485382868</v>
      </c>
      <c r="BI73" s="251">
        <f t="shared" si="77"/>
        <v>0</v>
      </c>
      <c r="BJ73" s="251">
        <f t="shared" si="77"/>
        <v>0</v>
      </c>
      <c r="BK73" s="251">
        <f t="shared" si="77"/>
        <v>1.4959419582498557</v>
      </c>
      <c r="BL73" s="251">
        <f t="shared" si="77"/>
        <v>0.82916302335889036</v>
      </c>
      <c r="BM73" s="251">
        <f t="shared" si="77"/>
        <v>1.415104485654803</v>
      </c>
      <c r="BN73" s="251">
        <f t="shared" si="77"/>
        <v>0.68752480568013752</v>
      </c>
      <c r="BO73" s="251">
        <f t="shared" si="77"/>
        <v>0.33399648892870948</v>
      </c>
      <c r="BP73" s="251">
        <f t="shared" si="77"/>
        <v>0</v>
      </c>
      <c r="BQ73" s="251">
        <f t="shared" si="77"/>
        <v>0.34531622652861865</v>
      </c>
      <c r="BR73" s="251">
        <f t="shared" si="77"/>
        <v>0.98591191034826953</v>
      </c>
      <c r="BS73" s="251">
        <f t="shared" si="77"/>
        <v>0</v>
      </c>
      <c r="BT73" s="251">
        <f t="shared" si="77"/>
        <v>0.34191126000966576</v>
      </c>
      <c r="BU73" s="251">
        <f t="shared" si="77"/>
        <v>0</v>
      </c>
      <c r="BV73" s="251">
        <f t="shared" si="77"/>
        <v>0</v>
      </c>
      <c r="BW73" s="251">
        <f t="shared" si="77"/>
        <v>0.32867227837332458</v>
      </c>
      <c r="BX73" s="251">
        <f t="shared" si="77"/>
        <v>1.0855209938219446</v>
      </c>
      <c r="BY73" s="251">
        <f t="shared" si="77"/>
        <v>0.34546233751459637</v>
      </c>
      <c r="BZ73" s="251">
        <f t="shared" si="77"/>
        <v>0</v>
      </c>
      <c r="CA73" s="251">
        <f t="shared" si="77"/>
        <v>0.34497231993850663</v>
      </c>
      <c r="CB73" s="251">
        <f t="shared" si="77"/>
        <v>0.9905217959863859</v>
      </c>
      <c r="CC73" s="251">
        <f t="shared" si="77"/>
        <v>1.3341215768316448</v>
      </c>
      <c r="CD73" s="251">
        <f t="shared" si="77"/>
        <v>0.44575511306188403</v>
      </c>
      <c r="CE73" s="251">
        <f t="shared" si="77"/>
        <v>0</v>
      </c>
      <c r="CF73" s="251">
        <f t="shared" si="77"/>
        <v>0.92404735761188717</v>
      </c>
      <c r="CG73" s="251">
        <f t="shared" si="77"/>
        <v>0.59940684496842456</v>
      </c>
      <c r="CH73" s="251">
        <f t="shared" si="77"/>
        <v>0</v>
      </c>
      <c r="CI73" s="251">
        <f t="shared" si="77"/>
        <v>0.5258278350803044</v>
      </c>
      <c r="CJ73" s="251">
        <f t="shared" ref="CJ73" si="78">CJ72/CJ62*200000</f>
        <v>0.3802369426926186</v>
      </c>
      <c r="CL73" s="91" t="s">
        <v>43</v>
      </c>
      <c r="CM73" s="93">
        <f>INDEX($2:$2,COUNTA($2:$2)-19)</f>
        <v>41760</v>
      </c>
      <c r="CN73" s="95" t="s">
        <v>302</v>
      </c>
      <c r="CO73" s="94">
        <f>INDEX($30:$30,COUNTA($2:$2)-19)</f>
        <v>0</v>
      </c>
      <c r="CP73" s="94">
        <f>INDEX($32:$32,COUNTA($2:$2)-19)</f>
        <v>0.2872005732982964</v>
      </c>
      <c r="CQ73" s="83" t="str">
        <f t="shared" si="10"/>
        <v>May</v>
      </c>
      <c r="CR73" s="91">
        <f t="shared" si="11"/>
        <v>2014</v>
      </c>
      <c r="CS73" s="91"/>
      <c r="CT73" s="91"/>
      <c r="CU73" s="91"/>
      <c r="CV73" s="91"/>
      <c r="CW73" s="91"/>
      <c r="CX73" s="91"/>
      <c r="CY73" s="91"/>
      <c r="CZ73" s="91"/>
      <c r="DC73" s="73">
        <v>42125</v>
      </c>
      <c r="DD73" s="47">
        <v>24</v>
      </c>
      <c r="DE73" s="47">
        <v>10.382674082585236</v>
      </c>
      <c r="DG73" s="73">
        <v>42125</v>
      </c>
      <c r="DH73" s="47">
        <v>8</v>
      </c>
      <c r="DI73" s="47">
        <v>3.2667229762745493</v>
      </c>
    </row>
    <row r="74" spans="1:113" ht="15" x14ac:dyDescent="0.25">
      <c r="A74" s="266" t="s">
        <v>148</v>
      </c>
      <c r="B74" s="262" t="e">
        <f>SUM(#REF!)/SUM(#REF!)*200000</f>
        <v>#REF!</v>
      </c>
      <c r="C74" s="262" t="e">
        <f>SUM(#REF!)/SUM(#REF!)*200000</f>
        <v>#REF!</v>
      </c>
      <c r="D74" s="262" t="e">
        <f>SUM(#REF!)/SUM(#REF!)*200000</f>
        <v>#REF!</v>
      </c>
      <c r="E74" s="262" t="e">
        <f>SUM(#REF!)/SUM(#REF!)*200000</f>
        <v>#REF!</v>
      </c>
      <c r="F74" s="262" t="e">
        <f>SUM(#REF!)/SUM(#REF!)*200000</f>
        <v>#REF!</v>
      </c>
      <c r="G74" s="262" t="e">
        <f>SUM(#REF!)/SUM(#REF!)*200000</f>
        <v>#REF!</v>
      </c>
      <c r="H74" s="262" t="e">
        <f>SUM(#REF!)/SUM(#REF!)*200000</f>
        <v>#REF!</v>
      </c>
      <c r="I74" s="262" t="e">
        <f>SUM(#REF!)/SUM(#REF!)*200000</f>
        <v>#REF!</v>
      </c>
      <c r="J74" s="262" t="e">
        <f>SUM(#REF!)/SUM(#REF!)*200000</f>
        <v>#REF!</v>
      </c>
      <c r="K74" s="262" t="e">
        <f>SUM(#REF!)/SUM(#REF!)*200000</f>
        <v>#REF!</v>
      </c>
      <c r="L74" s="262">
        <f t="shared" ref="L74:AQ74" si="79">SUM(A72:L72)/SUM(A62:L62)*200000</f>
        <v>0.73476721308628978</v>
      </c>
      <c r="M74" s="262">
        <f t="shared" si="79"/>
        <v>0.64874799098342084</v>
      </c>
      <c r="N74" s="262">
        <f t="shared" si="79"/>
        <v>0.6482100118065719</v>
      </c>
      <c r="O74" s="262">
        <f t="shared" si="79"/>
        <v>0.54781307951387082</v>
      </c>
      <c r="P74" s="262">
        <f t="shared" si="79"/>
        <v>0.49884789830766102</v>
      </c>
      <c r="Q74" s="262">
        <f t="shared" si="79"/>
        <v>0.44765250244326871</v>
      </c>
      <c r="R74" s="262">
        <f t="shared" si="79"/>
        <v>0.34845956653650989</v>
      </c>
      <c r="S74" s="262">
        <f t="shared" si="79"/>
        <v>0.33614236382066698</v>
      </c>
      <c r="T74" s="262">
        <f t="shared" si="79"/>
        <v>0.44353869571665733</v>
      </c>
      <c r="U74" s="262">
        <f t="shared" si="79"/>
        <v>0.49168098392523751</v>
      </c>
      <c r="V74" s="262">
        <f t="shared" si="79"/>
        <v>0.54163075541918493</v>
      </c>
      <c r="W74" s="262">
        <f t="shared" si="79"/>
        <v>0.49311780626799878</v>
      </c>
      <c r="X74" s="262">
        <f t="shared" si="79"/>
        <v>0.54284592850625357</v>
      </c>
      <c r="Y74" s="262">
        <f t="shared" si="79"/>
        <v>0.69433752128795445</v>
      </c>
      <c r="Z74" s="262">
        <f t="shared" si="79"/>
        <v>0.84648048439616663</v>
      </c>
      <c r="AA74" s="262">
        <f t="shared" si="79"/>
        <v>0.94963014280013303</v>
      </c>
      <c r="AB74" s="262">
        <f t="shared" si="79"/>
        <v>1.1529251324705967</v>
      </c>
      <c r="AC74" s="262">
        <f t="shared" si="79"/>
        <v>1.109789379984534</v>
      </c>
      <c r="AD74" s="262">
        <f t="shared" si="79"/>
        <v>1.213011314309965</v>
      </c>
      <c r="AE74" s="262">
        <f t="shared" si="79"/>
        <v>1.2171254016954403</v>
      </c>
      <c r="AF74" s="262">
        <f t="shared" si="79"/>
        <v>1.2774190428847381</v>
      </c>
      <c r="AG74" s="262">
        <f t="shared" si="79"/>
        <v>1.4391333863580318</v>
      </c>
      <c r="AH74" s="262">
        <f t="shared" si="79"/>
        <v>1.4904440679679809</v>
      </c>
      <c r="AI74" s="262">
        <f t="shared" si="79"/>
        <v>1.5942792365014222</v>
      </c>
      <c r="AJ74" s="262">
        <f t="shared" si="79"/>
        <v>1.5850895892759693</v>
      </c>
      <c r="AK74" s="262">
        <f t="shared" si="79"/>
        <v>1.4879496728216732</v>
      </c>
      <c r="AL74" s="262">
        <f t="shared" si="79"/>
        <v>1.2789295952710915</v>
      </c>
      <c r="AM74" s="262">
        <f t="shared" si="79"/>
        <v>1.2744238520291344</v>
      </c>
      <c r="AN74" s="262">
        <f t="shared" si="79"/>
        <v>1.1684205738999918</v>
      </c>
      <c r="AO74" s="262">
        <f t="shared" si="79"/>
        <v>1.2646478853033571</v>
      </c>
      <c r="AP74" s="262">
        <f t="shared" si="79"/>
        <v>1.2595286277571487</v>
      </c>
      <c r="AQ74" s="262">
        <f t="shared" si="79"/>
        <v>1.3549959139721826</v>
      </c>
      <c r="AR74" s="262">
        <f t="shared" ref="AR74:BW74" si="80">SUM(AG72:AR72)/SUM(AG62:AR62)*200000</f>
        <v>1.2457405017892571</v>
      </c>
      <c r="AS74" s="262">
        <f t="shared" si="80"/>
        <v>1.1935570121504304</v>
      </c>
      <c r="AT74" s="262">
        <f t="shared" si="80"/>
        <v>1.0929323697647444</v>
      </c>
      <c r="AU74" s="262">
        <f t="shared" si="80"/>
        <v>0.95479160568034738</v>
      </c>
      <c r="AV74" s="262">
        <f t="shared" si="80"/>
        <v>0.94122362851462837</v>
      </c>
      <c r="AW74" s="262">
        <f t="shared" si="80"/>
        <v>1.0396830895436568</v>
      </c>
      <c r="AX74" s="262">
        <f t="shared" si="80"/>
        <v>1.0393885059642773</v>
      </c>
      <c r="AY74" s="262">
        <f t="shared" si="80"/>
        <v>0.94037060965894548</v>
      </c>
      <c r="AZ74" s="262">
        <f t="shared" si="80"/>
        <v>1.0412044953071959</v>
      </c>
      <c r="BA74" s="262">
        <f t="shared" si="80"/>
        <v>0.89355928720696232</v>
      </c>
      <c r="BB74" s="262">
        <f t="shared" si="80"/>
        <v>0.69636194926402828</v>
      </c>
      <c r="BC74" s="262">
        <f t="shared" si="80"/>
        <v>0.73150078407130703</v>
      </c>
      <c r="BD74" s="262">
        <f t="shared" si="80"/>
        <v>0.66838178046551178</v>
      </c>
      <c r="BE74" s="262">
        <f t="shared" si="80"/>
        <v>0.51537876289835793</v>
      </c>
      <c r="BF74" s="262">
        <f t="shared" si="80"/>
        <v>0.55173159835692309</v>
      </c>
      <c r="BG74" s="262">
        <f t="shared" si="80"/>
        <v>0.54216223693048626</v>
      </c>
      <c r="BH74" s="262">
        <f t="shared" si="80"/>
        <v>0.62184237878730764</v>
      </c>
      <c r="BI74" s="262">
        <f t="shared" si="80"/>
        <v>0.52203471556960268</v>
      </c>
      <c r="BJ74" s="262">
        <f t="shared" si="80"/>
        <v>0.5142996022117583</v>
      </c>
      <c r="BK74" s="262">
        <f t="shared" si="80"/>
        <v>0.59038774364490398</v>
      </c>
      <c r="BL74" s="262">
        <f t="shared" si="80"/>
        <v>0.46143729407387407</v>
      </c>
      <c r="BM74" s="262">
        <f t="shared" si="80"/>
        <v>0.58754198269761926</v>
      </c>
      <c r="BN74" s="262">
        <f t="shared" si="80"/>
        <v>0.6471888203927213</v>
      </c>
      <c r="BO74" s="262">
        <f t="shared" si="80"/>
        <v>0.58906569942263631</v>
      </c>
      <c r="BP74" s="262">
        <f t="shared" si="80"/>
        <v>0.56898286980510715</v>
      </c>
      <c r="BQ74" s="262">
        <f t="shared" si="80"/>
        <v>0.58385425309855155</v>
      </c>
      <c r="BR74" s="262">
        <f t="shared" si="80"/>
        <v>0.62612048761499717</v>
      </c>
      <c r="BS74" s="262">
        <f t="shared" si="80"/>
        <v>0.60693356412346289</v>
      </c>
      <c r="BT74" s="262">
        <f t="shared" si="80"/>
        <v>0.52979625186988288</v>
      </c>
      <c r="BU74" s="262">
        <f t="shared" si="80"/>
        <v>0.51449968441446858</v>
      </c>
      <c r="BV74" s="262">
        <f t="shared" si="80"/>
        <v>0.50133848183444296</v>
      </c>
      <c r="BW74" s="262">
        <f t="shared" si="80"/>
        <v>0.43312302250916535</v>
      </c>
      <c r="BX74" s="262">
        <f t="shared" ref="BX74:CJ74" si="81">SUM(BM72:BX72)/SUM(BM62:BX62)*200000</f>
        <v>0.45936304535764</v>
      </c>
      <c r="BY74" s="262">
        <f t="shared" si="81"/>
        <v>0.37760489098375377</v>
      </c>
      <c r="BZ74" s="262">
        <f t="shared" si="81"/>
        <v>0.322961964264531</v>
      </c>
      <c r="CA74" s="262">
        <f t="shared" si="81"/>
        <v>0.32379209718599566</v>
      </c>
      <c r="CB74" s="251">
        <f t="shared" si="81"/>
        <v>0.4052446185736035</v>
      </c>
      <c r="CC74" s="251">
        <f t="shared" si="81"/>
        <v>0.4849528368954264</v>
      </c>
      <c r="CD74" s="251">
        <f t="shared" si="81"/>
        <v>0.44086094514556096</v>
      </c>
      <c r="CE74" s="251">
        <f t="shared" si="81"/>
        <v>0.44888713261352303</v>
      </c>
      <c r="CF74" s="251">
        <f t="shared" si="81"/>
        <v>0.49746962532618971</v>
      </c>
      <c r="CG74" s="251">
        <f t="shared" si="81"/>
        <v>0.54563351394864945</v>
      </c>
      <c r="CH74" s="251">
        <f t="shared" si="81"/>
        <v>0.53378867892240434</v>
      </c>
      <c r="CI74" s="251">
        <f t="shared" si="81"/>
        <v>0.54756485934898969</v>
      </c>
      <c r="CJ74" s="251">
        <f t="shared" si="81"/>
        <v>0.48188161774141663</v>
      </c>
      <c r="CL74" s="91" t="s">
        <v>43</v>
      </c>
      <c r="CM74" s="93">
        <f>INDEX($2:$2,COUNTA($2:$2)-18)</f>
        <v>41791</v>
      </c>
      <c r="CN74" s="95" t="s">
        <v>302</v>
      </c>
      <c r="CO74" s="94">
        <f>INDEX($30:$30,COUNTA($2:$2)-18)</f>
        <v>0</v>
      </c>
      <c r="CP74" s="94">
        <f>INDEX($32:$32,COUNTA($2:$2)-18)</f>
        <v>0.28742064735081757</v>
      </c>
      <c r="CQ74" s="83" t="str">
        <f t="shared" si="10"/>
        <v>June</v>
      </c>
      <c r="CR74" s="91">
        <f t="shared" si="11"/>
        <v>2014</v>
      </c>
      <c r="CS74" s="91"/>
      <c r="CT74" s="91"/>
      <c r="CU74" s="91"/>
      <c r="CV74" s="91"/>
      <c r="CW74" s="91"/>
      <c r="CX74" s="91"/>
      <c r="CY74" s="91"/>
      <c r="CZ74" s="91"/>
      <c r="DC74" s="73">
        <v>42156</v>
      </c>
      <c r="DD74" s="47">
        <v>20</v>
      </c>
      <c r="DE74" s="47">
        <v>10.79125921966388</v>
      </c>
      <c r="DG74" s="73">
        <v>42156</v>
      </c>
      <c r="DH74" s="47">
        <v>6</v>
      </c>
      <c r="DI74" s="47">
        <v>2.1208856396838258</v>
      </c>
    </row>
    <row r="75" spans="1:113" ht="15" x14ac:dyDescent="0.25">
      <c r="A75" s="266" t="s">
        <v>141</v>
      </c>
      <c r="B75" s="251">
        <v>1</v>
      </c>
      <c r="C75" s="251">
        <v>0</v>
      </c>
      <c r="D75" s="251">
        <v>0</v>
      </c>
      <c r="E75" s="251">
        <v>0</v>
      </c>
      <c r="F75" s="251">
        <v>1</v>
      </c>
      <c r="G75" s="251">
        <v>0</v>
      </c>
      <c r="H75" s="251">
        <v>0</v>
      </c>
      <c r="I75" s="251">
        <v>1</v>
      </c>
      <c r="J75" s="251">
        <v>1</v>
      </c>
      <c r="K75" s="251">
        <v>0</v>
      </c>
      <c r="L75" s="251">
        <v>0</v>
      </c>
      <c r="M75" s="251">
        <v>0</v>
      </c>
      <c r="N75" s="262">
        <v>1</v>
      </c>
      <c r="O75" s="251">
        <f t="shared" ref="O75:BZ75" si="82">SUM(O53,O33)</f>
        <v>0</v>
      </c>
      <c r="P75" s="251">
        <f t="shared" si="82"/>
        <v>1</v>
      </c>
      <c r="Q75" s="251">
        <f t="shared" si="82"/>
        <v>0</v>
      </c>
      <c r="R75" s="251">
        <f t="shared" si="82"/>
        <v>0</v>
      </c>
      <c r="S75" s="251">
        <f t="shared" si="82"/>
        <v>0</v>
      </c>
      <c r="T75" s="251">
        <f t="shared" si="82"/>
        <v>1</v>
      </c>
      <c r="U75" s="251">
        <f t="shared" si="82"/>
        <v>0</v>
      </c>
      <c r="V75" s="251">
        <f t="shared" si="82"/>
        <v>0</v>
      </c>
      <c r="W75" s="251">
        <f t="shared" si="82"/>
        <v>0</v>
      </c>
      <c r="X75" s="251">
        <f t="shared" si="82"/>
        <v>1</v>
      </c>
      <c r="Y75" s="251">
        <f t="shared" si="82"/>
        <v>1</v>
      </c>
      <c r="Z75" s="262">
        <f t="shared" si="82"/>
        <v>0</v>
      </c>
      <c r="AA75" s="251">
        <f t="shared" si="82"/>
        <v>0</v>
      </c>
      <c r="AB75" s="251">
        <f t="shared" si="82"/>
        <v>2</v>
      </c>
      <c r="AC75" s="251">
        <f t="shared" si="82"/>
        <v>0</v>
      </c>
      <c r="AD75" s="251">
        <f t="shared" si="82"/>
        <v>0</v>
      </c>
      <c r="AE75" s="251">
        <f t="shared" si="82"/>
        <v>0</v>
      </c>
      <c r="AF75" s="251">
        <f t="shared" si="82"/>
        <v>0</v>
      </c>
      <c r="AG75" s="251">
        <f t="shared" si="82"/>
        <v>1</v>
      </c>
      <c r="AH75" s="251">
        <f t="shared" si="82"/>
        <v>2</v>
      </c>
      <c r="AI75" s="251">
        <f t="shared" si="82"/>
        <v>0</v>
      </c>
      <c r="AJ75" s="251">
        <f t="shared" si="82"/>
        <v>0</v>
      </c>
      <c r="AK75" s="251">
        <f t="shared" si="82"/>
        <v>0</v>
      </c>
      <c r="AL75" s="251">
        <f t="shared" si="82"/>
        <v>0</v>
      </c>
      <c r="AM75" s="251">
        <f t="shared" si="82"/>
        <v>1</v>
      </c>
      <c r="AN75" s="251">
        <f t="shared" si="82"/>
        <v>1</v>
      </c>
      <c r="AO75" s="251">
        <f t="shared" si="82"/>
        <v>0</v>
      </c>
      <c r="AP75" s="251">
        <f t="shared" si="82"/>
        <v>0</v>
      </c>
      <c r="AQ75" s="251">
        <f t="shared" si="82"/>
        <v>1</v>
      </c>
      <c r="AR75" s="251">
        <f t="shared" si="82"/>
        <v>1</v>
      </c>
      <c r="AS75" s="251">
        <f t="shared" si="82"/>
        <v>0</v>
      </c>
      <c r="AT75" s="251">
        <f t="shared" si="82"/>
        <v>0</v>
      </c>
      <c r="AU75" s="251">
        <f t="shared" si="82"/>
        <v>0</v>
      </c>
      <c r="AV75" s="251">
        <f t="shared" si="82"/>
        <v>0</v>
      </c>
      <c r="AW75" s="251">
        <f t="shared" si="82"/>
        <v>0</v>
      </c>
      <c r="AX75" s="251">
        <f t="shared" si="82"/>
        <v>1</v>
      </c>
      <c r="AY75" s="251">
        <f t="shared" si="82"/>
        <v>1</v>
      </c>
      <c r="AZ75" s="251">
        <f t="shared" si="82"/>
        <v>1</v>
      </c>
      <c r="BA75" s="251">
        <f t="shared" si="82"/>
        <v>1</v>
      </c>
      <c r="BB75" s="251">
        <f t="shared" si="82"/>
        <v>0</v>
      </c>
      <c r="BC75" s="251">
        <f t="shared" si="82"/>
        <v>1</v>
      </c>
      <c r="BD75" s="251">
        <f t="shared" si="82"/>
        <v>0</v>
      </c>
      <c r="BE75" s="251">
        <f t="shared" si="82"/>
        <v>0</v>
      </c>
      <c r="BF75" s="251">
        <f t="shared" si="82"/>
        <v>0</v>
      </c>
      <c r="BG75" s="251">
        <f t="shared" si="82"/>
        <v>0</v>
      </c>
      <c r="BH75" s="251">
        <f t="shared" si="82"/>
        <v>0</v>
      </c>
      <c r="BI75" s="251">
        <f t="shared" si="82"/>
        <v>2</v>
      </c>
      <c r="BJ75" s="251">
        <f t="shared" si="82"/>
        <v>1</v>
      </c>
      <c r="BK75" s="251">
        <f t="shared" si="82"/>
        <v>2</v>
      </c>
      <c r="BL75" s="251">
        <f t="shared" si="82"/>
        <v>0</v>
      </c>
      <c r="BM75" s="251">
        <f t="shared" si="82"/>
        <v>0</v>
      </c>
      <c r="BN75" s="251">
        <f t="shared" si="82"/>
        <v>0</v>
      </c>
      <c r="BO75" s="251">
        <f t="shared" si="82"/>
        <v>1</v>
      </c>
      <c r="BP75" s="251">
        <f t="shared" si="82"/>
        <v>0</v>
      </c>
      <c r="BQ75" s="251">
        <f t="shared" si="82"/>
        <v>0</v>
      </c>
      <c r="BR75" s="251">
        <f t="shared" si="82"/>
        <v>0</v>
      </c>
      <c r="BS75" s="251">
        <f t="shared" si="82"/>
        <v>0</v>
      </c>
      <c r="BT75" s="251">
        <f t="shared" si="82"/>
        <v>1</v>
      </c>
      <c r="BU75" s="251">
        <f t="shared" si="82"/>
        <v>0</v>
      </c>
      <c r="BV75" s="251">
        <f t="shared" si="82"/>
        <v>2</v>
      </c>
      <c r="BW75" s="251">
        <f t="shared" si="82"/>
        <v>0</v>
      </c>
      <c r="BX75" s="251">
        <f t="shared" si="82"/>
        <v>0</v>
      </c>
      <c r="BY75" s="251">
        <f t="shared" si="82"/>
        <v>2</v>
      </c>
      <c r="BZ75" s="251">
        <f t="shared" si="82"/>
        <v>0</v>
      </c>
      <c r="CA75" s="251">
        <f t="shared" ref="CA75:CJ75" si="83">SUM(CA53,CA33)</f>
        <v>1</v>
      </c>
      <c r="CB75" s="251">
        <f t="shared" si="83"/>
        <v>1</v>
      </c>
      <c r="CC75" s="251">
        <f t="shared" si="83"/>
        <v>1</v>
      </c>
      <c r="CD75" s="251">
        <f t="shared" si="83"/>
        <v>1</v>
      </c>
      <c r="CE75" s="251">
        <f t="shared" si="83"/>
        <v>2</v>
      </c>
      <c r="CF75" s="251">
        <f t="shared" si="83"/>
        <v>2</v>
      </c>
      <c r="CG75" s="251">
        <f t="shared" si="83"/>
        <v>1</v>
      </c>
      <c r="CH75" s="251">
        <f t="shared" si="83"/>
        <v>0</v>
      </c>
      <c r="CI75" s="251">
        <f t="shared" si="83"/>
        <v>0</v>
      </c>
      <c r="CJ75" s="251">
        <f t="shared" si="83"/>
        <v>1</v>
      </c>
      <c r="CL75" s="91" t="s">
        <v>43</v>
      </c>
      <c r="CM75" s="93">
        <f>INDEX($2:$2,COUNTA($2:$2)-17)</f>
        <v>41821</v>
      </c>
      <c r="CN75" s="95" t="s">
        <v>302</v>
      </c>
      <c r="CO75" s="94">
        <f>INDEX($30:$30,COUNTA($2:$2)-17)</f>
        <v>1</v>
      </c>
      <c r="CP75" s="94">
        <f>INDEX($32:$32,COUNTA($2:$2)-17)</f>
        <v>0.28793454349470593</v>
      </c>
      <c r="CQ75" s="83" t="str">
        <f t="shared" si="10"/>
        <v>July</v>
      </c>
      <c r="CR75" s="91">
        <f t="shared" si="11"/>
        <v>2014</v>
      </c>
      <c r="CS75" s="91"/>
      <c r="CT75" s="91"/>
      <c r="CU75" s="91"/>
      <c r="CV75" s="91"/>
      <c r="CW75" s="91"/>
      <c r="CX75" s="91"/>
      <c r="CY75" s="91"/>
      <c r="CZ75" s="91"/>
      <c r="DC75" s="73">
        <v>42186</v>
      </c>
      <c r="DD75" s="47">
        <v>36</v>
      </c>
      <c r="DE75" s="47">
        <v>11.552381394302234</v>
      </c>
      <c r="DG75" s="73">
        <v>42186</v>
      </c>
      <c r="DH75" s="47">
        <v>2</v>
      </c>
      <c r="DI75" s="47">
        <v>0.31220113083308199</v>
      </c>
    </row>
    <row r="76" spans="1:113" ht="15" x14ac:dyDescent="0.25">
      <c r="A76" s="266" t="s">
        <v>142</v>
      </c>
      <c r="B76" s="251">
        <v>0</v>
      </c>
      <c r="C76" s="251">
        <v>0</v>
      </c>
      <c r="D76" s="251">
        <v>2</v>
      </c>
      <c r="E76" s="251">
        <v>0</v>
      </c>
      <c r="F76" s="251">
        <v>0</v>
      </c>
      <c r="G76" s="251">
        <v>0</v>
      </c>
      <c r="H76" s="251">
        <v>0</v>
      </c>
      <c r="I76" s="251">
        <v>0</v>
      </c>
      <c r="J76" s="251">
        <v>0</v>
      </c>
      <c r="K76" s="251">
        <v>1</v>
      </c>
      <c r="L76" s="251">
        <v>1</v>
      </c>
      <c r="M76" s="251">
        <v>2</v>
      </c>
      <c r="N76" s="262">
        <f t="shared" ref="N76:BY76" si="84">SUM(N34,N54)</f>
        <v>1</v>
      </c>
      <c r="O76" s="251">
        <f t="shared" si="84"/>
        <v>0</v>
      </c>
      <c r="P76" s="251">
        <f t="shared" si="84"/>
        <v>1</v>
      </c>
      <c r="Q76" s="251">
        <f t="shared" si="84"/>
        <v>1</v>
      </c>
      <c r="R76" s="251">
        <f t="shared" si="84"/>
        <v>0</v>
      </c>
      <c r="S76" s="251">
        <f t="shared" si="84"/>
        <v>0</v>
      </c>
      <c r="T76" s="251">
        <f t="shared" si="84"/>
        <v>1</v>
      </c>
      <c r="U76" s="251">
        <f t="shared" si="84"/>
        <v>0</v>
      </c>
      <c r="V76" s="251">
        <f t="shared" si="84"/>
        <v>0</v>
      </c>
      <c r="W76" s="251">
        <f t="shared" si="84"/>
        <v>0</v>
      </c>
      <c r="X76" s="251">
        <f t="shared" si="84"/>
        <v>0</v>
      </c>
      <c r="Y76" s="251">
        <f t="shared" si="84"/>
        <v>0</v>
      </c>
      <c r="Z76" s="262">
        <f t="shared" si="84"/>
        <v>2</v>
      </c>
      <c r="AA76" s="251">
        <f t="shared" si="84"/>
        <v>0</v>
      </c>
      <c r="AB76" s="251">
        <f t="shared" si="84"/>
        <v>0</v>
      </c>
      <c r="AC76" s="251">
        <f t="shared" si="84"/>
        <v>0</v>
      </c>
      <c r="AD76" s="251">
        <f t="shared" si="84"/>
        <v>0</v>
      </c>
      <c r="AE76" s="251">
        <f t="shared" si="84"/>
        <v>0</v>
      </c>
      <c r="AF76" s="251">
        <f t="shared" si="84"/>
        <v>0</v>
      </c>
      <c r="AG76" s="251">
        <f t="shared" si="84"/>
        <v>1</v>
      </c>
      <c r="AH76" s="251">
        <f t="shared" si="84"/>
        <v>0</v>
      </c>
      <c r="AI76" s="251">
        <f t="shared" si="84"/>
        <v>1</v>
      </c>
      <c r="AJ76" s="251">
        <f t="shared" si="84"/>
        <v>1</v>
      </c>
      <c r="AK76" s="251">
        <f t="shared" si="84"/>
        <v>0</v>
      </c>
      <c r="AL76" s="251">
        <f t="shared" si="84"/>
        <v>0</v>
      </c>
      <c r="AM76" s="251">
        <f t="shared" si="84"/>
        <v>0</v>
      </c>
      <c r="AN76" s="251">
        <f t="shared" si="84"/>
        <v>1</v>
      </c>
      <c r="AO76" s="251">
        <f t="shared" si="84"/>
        <v>1</v>
      </c>
      <c r="AP76" s="251">
        <f t="shared" si="84"/>
        <v>0</v>
      </c>
      <c r="AQ76" s="251">
        <f t="shared" si="84"/>
        <v>0</v>
      </c>
      <c r="AR76" s="251">
        <f t="shared" si="84"/>
        <v>0</v>
      </c>
      <c r="AS76" s="251">
        <f t="shared" si="84"/>
        <v>0</v>
      </c>
      <c r="AT76" s="251">
        <f t="shared" si="84"/>
        <v>0</v>
      </c>
      <c r="AU76" s="251">
        <f t="shared" si="84"/>
        <v>0</v>
      </c>
      <c r="AV76" s="251">
        <f t="shared" si="84"/>
        <v>0</v>
      </c>
      <c r="AW76" s="251">
        <f t="shared" si="84"/>
        <v>0</v>
      </c>
      <c r="AX76" s="251">
        <f t="shared" si="84"/>
        <v>0</v>
      </c>
      <c r="AY76" s="251">
        <f t="shared" si="84"/>
        <v>0</v>
      </c>
      <c r="AZ76" s="251">
        <f t="shared" si="84"/>
        <v>2</v>
      </c>
      <c r="BA76" s="251">
        <f t="shared" si="84"/>
        <v>0</v>
      </c>
      <c r="BB76" s="251">
        <f t="shared" si="84"/>
        <v>0</v>
      </c>
      <c r="BC76" s="251">
        <f t="shared" si="84"/>
        <v>0</v>
      </c>
      <c r="BD76" s="251">
        <f t="shared" si="84"/>
        <v>0</v>
      </c>
      <c r="BE76" s="251">
        <f t="shared" si="84"/>
        <v>1</v>
      </c>
      <c r="BF76" s="251">
        <f t="shared" si="84"/>
        <v>0</v>
      </c>
      <c r="BG76" s="251">
        <f t="shared" si="84"/>
        <v>0</v>
      </c>
      <c r="BH76" s="251">
        <f t="shared" si="84"/>
        <v>1</v>
      </c>
      <c r="BI76" s="251">
        <f t="shared" si="84"/>
        <v>0</v>
      </c>
      <c r="BJ76" s="251">
        <f t="shared" si="84"/>
        <v>0</v>
      </c>
      <c r="BK76" s="251">
        <f t="shared" si="84"/>
        <v>0</v>
      </c>
      <c r="BL76" s="251">
        <f t="shared" si="84"/>
        <v>1</v>
      </c>
      <c r="BM76" s="251">
        <f t="shared" si="84"/>
        <v>0</v>
      </c>
      <c r="BN76" s="251">
        <f t="shared" si="84"/>
        <v>0</v>
      </c>
      <c r="BO76" s="251">
        <f t="shared" si="84"/>
        <v>0</v>
      </c>
      <c r="BP76" s="251">
        <f t="shared" si="84"/>
        <v>0</v>
      </c>
      <c r="BQ76" s="251">
        <f t="shared" si="84"/>
        <v>0</v>
      </c>
      <c r="BR76" s="251">
        <f t="shared" si="84"/>
        <v>0</v>
      </c>
      <c r="BS76" s="251">
        <f t="shared" si="84"/>
        <v>0</v>
      </c>
      <c r="BT76" s="251">
        <f t="shared" si="84"/>
        <v>0</v>
      </c>
      <c r="BU76" s="251">
        <f t="shared" si="84"/>
        <v>1</v>
      </c>
      <c r="BV76" s="251">
        <f t="shared" si="84"/>
        <v>1</v>
      </c>
      <c r="BW76" s="251">
        <f t="shared" si="84"/>
        <v>0</v>
      </c>
      <c r="BX76" s="251">
        <f t="shared" si="84"/>
        <v>0</v>
      </c>
      <c r="BY76" s="251">
        <f t="shared" si="84"/>
        <v>0</v>
      </c>
      <c r="BZ76" s="251">
        <f t="shared" ref="BZ76:CJ76" si="85">SUM(BZ34,BZ54)</f>
        <v>0</v>
      </c>
      <c r="CA76" s="251">
        <f t="shared" si="85"/>
        <v>0</v>
      </c>
      <c r="CB76" s="251">
        <f t="shared" si="85"/>
        <v>2</v>
      </c>
      <c r="CC76" s="251">
        <f t="shared" si="85"/>
        <v>0</v>
      </c>
      <c r="CD76" s="251">
        <f t="shared" si="85"/>
        <v>6</v>
      </c>
      <c r="CE76" s="251">
        <f t="shared" si="85"/>
        <v>0</v>
      </c>
      <c r="CF76" s="251">
        <f t="shared" si="85"/>
        <v>0</v>
      </c>
      <c r="CG76" s="251">
        <f t="shared" si="85"/>
        <v>1</v>
      </c>
      <c r="CH76" s="251">
        <f t="shared" si="85"/>
        <v>1</v>
      </c>
      <c r="CI76" s="251">
        <f t="shared" si="85"/>
        <v>0</v>
      </c>
      <c r="CJ76" s="251">
        <f t="shared" si="85"/>
        <v>0</v>
      </c>
      <c r="CL76" s="91" t="s">
        <v>43</v>
      </c>
      <c r="CM76" s="93">
        <f>INDEX($2:$2,COUNTA($2:$2)-16)</f>
        <v>41852</v>
      </c>
      <c r="CN76" s="95" t="s">
        <v>302</v>
      </c>
      <c r="CO76" s="94">
        <f>INDEX($30:$30,COUNTA($2:$2)-16)</f>
        <v>0</v>
      </c>
      <c r="CP76" s="94">
        <f>INDEX($32:$32,COUNTA($2:$2)-16)</f>
        <v>0.28784651148953982</v>
      </c>
      <c r="CQ76" s="83" t="str">
        <f t="shared" si="10"/>
        <v>August</v>
      </c>
      <c r="CR76" s="91">
        <f t="shared" si="11"/>
        <v>2014</v>
      </c>
      <c r="CS76" s="91"/>
      <c r="CT76" s="91"/>
      <c r="CU76" s="91"/>
      <c r="CV76" s="91"/>
      <c r="CW76" s="91"/>
      <c r="CX76" s="91"/>
      <c r="CY76" s="91"/>
      <c r="CZ76" s="91"/>
      <c r="DC76" s="73">
        <v>42217</v>
      </c>
      <c r="DD76" s="47">
        <v>22</v>
      </c>
      <c r="DE76" s="47">
        <v>12.414918468841963</v>
      </c>
      <c r="DG76" s="73">
        <v>42217</v>
      </c>
      <c r="DH76" s="47">
        <v>6</v>
      </c>
      <c r="DI76" s="47">
        <v>2.7423250293886987</v>
      </c>
    </row>
    <row r="77" spans="1:113" ht="15" x14ac:dyDescent="0.25">
      <c r="A77" s="266" t="s">
        <v>143</v>
      </c>
      <c r="B77" s="251">
        <v>0.23560317357474803</v>
      </c>
      <c r="C77" s="251">
        <v>0</v>
      </c>
      <c r="D77" s="251">
        <v>0.4489312630119921</v>
      </c>
      <c r="E77" s="251">
        <v>0</v>
      </c>
      <c r="F77" s="251">
        <v>0.21130636993617491</v>
      </c>
      <c r="G77" s="251">
        <v>0</v>
      </c>
      <c r="H77" s="251">
        <v>0</v>
      </c>
      <c r="I77" s="251">
        <v>0.20881709293195902</v>
      </c>
      <c r="J77" s="251">
        <v>0.21989161542275815</v>
      </c>
      <c r="K77" s="251">
        <v>0.23530657505397345</v>
      </c>
      <c r="L77" s="251">
        <v>0.21311555764882392</v>
      </c>
      <c r="M77" s="251">
        <v>0.42221795312958504</v>
      </c>
      <c r="N77" s="262">
        <f t="shared" ref="N77:AS77" si="86">SUM(N75:N76)/N61*200000</f>
        <v>0.44219074561098048</v>
      </c>
      <c r="O77" s="251">
        <f t="shared" si="86"/>
        <v>0</v>
      </c>
      <c r="P77" s="251">
        <f t="shared" si="86"/>
        <v>0.44385362595123384</v>
      </c>
      <c r="Q77" s="251">
        <f t="shared" si="86"/>
        <v>0.24443990872613808</v>
      </c>
      <c r="R77" s="251">
        <f t="shared" si="86"/>
        <v>0</v>
      </c>
      <c r="S77" s="251">
        <f t="shared" si="86"/>
        <v>0</v>
      </c>
      <c r="T77" s="251">
        <f t="shared" si="86"/>
        <v>0.43897481820955347</v>
      </c>
      <c r="U77" s="251">
        <f t="shared" si="86"/>
        <v>0</v>
      </c>
      <c r="V77" s="251">
        <f t="shared" si="86"/>
        <v>0</v>
      </c>
      <c r="W77" s="251">
        <f t="shared" si="86"/>
        <v>0</v>
      </c>
      <c r="X77" s="251">
        <f t="shared" si="86"/>
        <v>0.21940482054331217</v>
      </c>
      <c r="Y77" s="251">
        <f t="shared" si="86"/>
        <v>0.22344695983652621</v>
      </c>
      <c r="Z77" s="262">
        <f t="shared" si="86"/>
        <v>0.41369581360521424</v>
      </c>
      <c r="AA77" s="251">
        <f t="shared" si="86"/>
        <v>0</v>
      </c>
      <c r="AB77" s="251">
        <f t="shared" si="86"/>
        <v>0.4443674207581797</v>
      </c>
      <c r="AC77" s="251">
        <f t="shared" si="86"/>
        <v>0</v>
      </c>
      <c r="AD77" s="251">
        <f t="shared" si="86"/>
        <v>0</v>
      </c>
      <c r="AE77" s="251">
        <f t="shared" si="86"/>
        <v>0</v>
      </c>
      <c r="AF77" s="251">
        <f t="shared" si="86"/>
        <v>0</v>
      </c>
      <c r="AG77" s="251">
        <f t="shared" si="86"/>
        <v>0.41248042007005975</v>
      </c>
      <c r="AH77" s="251">
        <f t="shared" si="86"/>
        <v>0.46172581566751125</v>
      </c>
      <c r="AI77" s="251">
        <f t="shared" si="86"/>
        <v>0.22358509760607437</v>
      </c>
      <c r="AJ77" s="251">
        <f t="shared" si="86"/>
        <v>0.20771624299476971</v>
      </c>
      <c r="AK77" s="251">
        <f t="shared" si="86"/>
        <v>0</v>
      </c>
      <c r="AL77" s="251">
        <f t="shared" si="86"/>
        <v>0</v>
      </c>
      <c r="AM77" s="251">
        <f t="shared" si="86"/>
        <v>0.23757963372347868</v>
      </c>
      <c r="AN77" s="251">
        <f t="shared" si="86"/>
        <v>0.41437680318655762</v>
      </c>
      <c r="AO77" s="251">
        <f t="shared" si="86"/>
        <v>0.21352647514765355</v>
      </c>
      <c r="AP77" s="251">
        <f t="shared" si="86"/>
        <v>0</v>
      </c>
      <c r="AQ77" s="251">
        <f t="shared" si="86"/>
        <v>0.21281984161947387</v>
      </c>
      <c r="AR77" s="251">
        <f t="shared" si="86"/>
        <v>0.19794336840230009</v>
      </c>
      <c r="AS77" s="251">
        <f t="shared" si="86"/>
        <v>0</v>
      </c>
      <c r="AT77" s="251">
        <f t="shared" ref="AT77:BY77" si="87">SUM(AT75:AT76)/AT61*200000</f>
        <v>0</v>
      </c>
      <c r="AU77" s="251">
        <f t="shared" si="87"/>
        <v>0</v>
      </c>
      <c r="AV77" s="251">
        <f t="shared" si="87"/>
        <v>0</v>
      </c>
      <c r="AW77" s="251">
        <f t="shared" si="87"/>
        <v>0</v>
      </c>
      <c r="AX77" s="251">
        <f t="shared" si="87"/>
        <v>0.20613562693574236</v>
      </c>
      <c r="AY77" s="251">
        <f t="shared" si="87"/>
        <v>0.26303122443665289</v>
      </c>
      <c r="AZ77" s="251">
        <f t="shared" si="87"/>
        <v>0.62616819503886934</v>
      </c>
      <c r="BA77" s="251">
        <f t="shared" si="87"/>
        <v>0.23943149386097648</v>
      </c>
      <c r="BB77" s="251">
        <f t="shared" si="87"/>
        <v>0</v>
      </c>
      <c r="BC77" s="251">
        <f t="shared" si="87"/>
        <v>0.1662314174054268</v>
      </c>
      <c r="BD77" s="251">
        <f t="shared" si="87"/>
        <v>0</v>
      </c>
      <c r="BE77" s="251">
        <f t="shared" si="87"/>
        <v>0.18364579134348832</v>
      </c>
      <c r="BF77" s="251">
        <f t="shared" si="87"/>
        <v>0</v>
      </c>
      <c r="BG77" s="251">
        <f t="shared" si="87"/>
        <v>0</v>
      </c>
      <c r="BH77" s="251">
        <f t="shared" si="87"/>
        <v>0.18118764880035659</v>
      </c>
      <c r="BI77" s="251">
        <f t="shared" si="87"/>
        <v>0.33187006291426718</v>
      </c>
      <c r="BJ77" s="251">
        <f t="shared" si="87"/>
        <v>0.17855245737283271</v>
      </c>
      <c r="BK77" s="251">
        <f t="shared" si="87"/>
        <v>0.42486884829739119</v>
      </c>
      <c r="BL77" s="251">
        <f t="shared" si="87"/>
        <v>0.12819469184239488</v>
      </c>
      <c r="BM77" s="251">
        <f t="shared" si="87"/>
        <v>0</v>
      </c>
      <c r="BN77" s="251">
        <f t="shared" si="87"/>
        <v>0</v>
      </c>
      <c r="BO77" s="251">
        <f t="shared" si="87"/>
        <v>0.12706754783775506</v>
      </c>
      <c r="BP77" s="251">
        <f t="shared" si="87"/>
        <v>0</v>
      </c>
      <c r="BQ77" s="251">
        <f t="shared" si="87"/>
        <v>0</v>
      </c>
      <c r="BR77" s="251">
        <f t="shared" si="87"/>
        <v>0</v>
      </c>
      <c r="BS77" s="251">
        <f t="shared" si="87"/>
        <v>0</v>
      </c>
      <c r="BT77" s="251">
        <f t="shared" si="87"/>
        <v>0.12451749470800648</v>
      </c>
      <c r="BU77" s="251">
        <f t="shared" si="87"/>
        <v>0.12028512385759205</v>
      </c>
      <c r="BV77" s="251">
        <f t="shared" si="87"/>
        <v>0.39260232525270505</v>
      </c>
      <c r="BW77" s="251">
        <f t="shared" si="87"/>
        <v>0</v>
      </c>
      <c r="BX77" s="251">
        <f t="shared" si="87"/>
        <v>0</v>
      </c>
      <c r="BY77" s="251">
        <f t="shared" si="87"/>
        <v>0.27832921754002898</v>
      </c>
      <c r="BZ77" s="251">
        <f t="shared" ref="BZ77:CJ77" si="88">SUM(BZ75:BZ76)/BZ61*200000</f>
        <v>0</v>
      </c>
      <c r="CA77" s="251">
        <f t="shared" si="88"/>
        <v>0.11943445397354449</v>
      </c>
      <c r="CB77" s="251">
        <f t="shared" si="88"/>
        <v>0.37373118263495436</v>
      </c>
      <c r="CC77" s="251">
        <f t="shared" si="88"/>
        <v>0.11641253809600309</v>
      </c>
      <c r="CD77" s="251">
        <f t="shared" si="88"/>
        <v>0.86673513874262742</v>
      </c>
      <c r="CE77" s="251">
        <f t="shared" si="88"/>
        <v>0.26673904186002467</v>
      </c>
      <c r="CF77" s="251">
        <f t="shared" si="88"/>
        <v>0.24337028911173494</v>
      </c>
      <c r="CG77" s="251">
        <f t="shared" si="88"/>
        <v>0.23660784792740397</v>
      </c>
      <c r="CH77" s="251">
        <f t="shared" si="88"/>
        <v>0.12173402819116624</v>
      </c>
      <c r="CI77" s="251">
        <f t="shared" si="88"/>
        <v>0</v>
      </c>
      <c r="CJ77" s="251">
        <f t="shared" si="88"/>
        <v>0.13434838012799372</v>
      </c>
      <c r="CL77" s="91" t="s">
        <v>43</v>
      </c>
      <c r="CM77" s="93">
        <f>INDEX($2:$2,COUNTA($2:$2)-15)</f>
        <v>41883</v>
      </c>
      <c r="CN77" s="95" t="s">
        <v>302</v>
      </c>
      <c r="CO77" s="94">
        <f>INDEX($30:$30,COUNTA($2:$2)-15)</f>
        <v>0</v>
      </c>
      <c r="CP77" s="94">
        <f>INDEX($32:$32,COUNTA($2:$2)-15)</f>
        <v>0.19172096164358549</v>
      </c>
      <c r="CQ77" s="83" t="str">
        <f t="shared" si="10"/>
        <v>September</v>
      </c>
      <c r="CR77" s="91">
        <f t="shared" si="11"/>
        <v>2014</v>
      </c>
      <c r="CS77" s="91"/>
      <c r="CT77" s="91"/>
      <c r="CU77" s="91"/>
      <c r="CV77" s="91"/>
      <c r="CW77" s="91"/>
      <c r="CX77" s="91"/>
      <c r="CY77" s="91"/>
      <c r="CZ77" s="91"/>
      <c r="DC77" s="73">
        <v>42262</v>
      </c>
      <c r="DD77" s="47">
        <v>28</v>
      </c>
      <c r="DE77" s="47">
        <v>12.564176419818361</v>
      </c>
      <c r="DG77" s="73">
        <v>42262</v>
      </c>
      <c r="DH77" s="47">
        <v>16</v>
      </c>
      <c r="DI77" s="47">
        <v>6.4064246271216971</v>
      </c>
    </row>
    <row r="78" spans="1:113" ht="15" x14ac:dyDescent="0.25">
      <c r="A78" s="266" t="s">
        <v>149</v>
      </c>
      <c r="B78" s="251" t="e">
        <f>SUM(#REF!)/SUM(#REF!)*200000</f>
        <v>#REF!</v>
      </c>
      <c r="C78" s="251" t="e">
        <f>SUM(#REF!)/SUM(#REF!)*200000</f>
        <v>#REF!</v>
      </c>
      <c r="D78" s="251" t="e">
        <f>SUM(#REF!)/SUM(#REF!)*200000</f>
        <v>#REF!</v>
      </c>
      <c r="E78" s="251" t="e">
        <f>SUM(#REF!)/SUM(#REF!)*200000</f>
        <v>#REF!</v>
      </c>
      <c r="F78" s="251" t="e">
        <f>SUM(#REF!)/SUM(#REF!)*200000</f>
        <v>#REF!</v>
      </c>
      <c r="G78" s="251" t="e">
        <f>SUM(#REF!)/SUM(#REF!)*200000</f>
        <v>#REF!</v>
      </c>
      <c r="H78" s="251" t="e">
        <f>SUM(#REF!)/SUM(#REF!)*200000</f>
        <v>#REF!</v>
      </c>
      <c r="I78" s="251" t="e">
        <f>SUM(#REF!)/SUM(#REF!)*200000</f>
        <v>#REF!</v>
      </c>
      <c r="J78" s="251" t="e">
        <f>SUM(#REF!)/SUM(#REF!)*200000</f>
        <v>#REF!</v>
      </c>
      <c r="K78" s="251" t="e">
        <f>SUM(#REF!)/SUM(#REF!)*200000</f>
        <v>#REF!</v>
      </c>
      <c r="L78" s="251">
        <f t="shared" ref="L78:AQ78" si="89">SUM(A75:L76)/SUM(A62:L62)*200000</f>
        <v>0.45216443882233226</v>
      </c>
      <c r="M78" s="251">
        <f t="shared" si="89"/>
        <v>0.49903691614109297</v>
      </c>
      <c r="N78" s="251">
        <f t="shared" si="89"/>
        <v>0.54848539460556078</v>
      </c>
      <c r="O78" s="251">
        <f t="shared" si="89"/>
        <v>0.54781307951387082</v>
      </c>
      <c r="P78" s="251">
        <f t="shared" si="89"/>
        <v>0.54873268813842713</v>
      </c>
      <c r="Q78" s="251">
        <f t="shared" si="89"/>
        <v>0.59687000325769157</v>
      </c>
      <c r="R78" s="251">
        <f t="shared" si="89"/>
        <v>0.54757931884308697</v>
      </c>
      <c r="S78" s="251">
        <f t="shared" si="89"/>
        <v>0.52822371457533379</v>
      </c>
      <c r="T78" s="251">
        <f t="shared" si="89"/>
        <v>0.64066700492406059</v>
      </c>
      <c r="U78" s="251">
        <f t="shared" si="89"/>
        <v>0.59001718071028497</v>
      </c>
      <c r="V78" s="251">
        <f t="shared" si="89"/>
        <v>0.54163075541918493</v>
      </c>
      <c r="W78" s="251">
        <f t="shared" si="89"/>
        <v>0.49311780626799878</v>
      </c>
      <c r="X78" s="251">
        <f t="shared" si="89"/>
        <v>0.49349629864204869</v>
      </c>
      <c r="Y78" s="251">
        <f t="shared" si="89"/>
        <v>0.44635983511368504</v>
      </c>
      <c r="Z78" s="251">
        <f t="shared" si="89"/>
        <v>0.44813672703326479</v>
      </c>
      <c r="AA78" s="251">
        <f t="shared" si="89"/>
        <v>0.44982480448427359</v>
      </c>
      <c r="AB78" s="251">
        <f t="shared" si="89"/>
        <v>0.45114461705371173</v>
      </c>
      <c r="AC78" s="251">
        <f t="shared" si="89"/>
        <v>0.4035597745398305</v>
      </c>
      <c r="AD78" s="251">
        <f t="shared" si="89"/>
        <v>0.40433710476998835</v>
      </c>
      <c r="AE78" s="251">
        <f t="shared" si="89"/>
        <v>0.40570846723181336</v>
      </c>
      <c r="AF78" s="251">
        <f t="shared" si="89"/>
        <v>0.3065805702923371</v>
      </c>
      <c r="AG78" s="251">
        <f t="shared" si="89"/>
        <v>0.41118096753086619</v>
      </c>
      <c r="AH78" s="251">
        <f t="shared" si="89"/>
        <v>0.5139462303337865</v>
      </c>
      <c r="AI78" s="251">
        <f t="shared" si="89"/>
        <v>0.56571198714566595</v>
      </c>
      <c r="AJ78" s="251">
        <f t="shared" si="89"/>
        <v>0.54487454631361443</v>
      </c>
      <c r="AK78" s="251">
        <f t="shared" si="89"/>
        <v>0.51308609407643901</v>
      </c>
      <c r="AL78" s="251">
        <f t="shared" si="89"/>
        <v>0.40925747048674921</v>
      </c>
      <c r="AM78" s="251">
        <f t="shared" si="89"/>
        <v>0.45879258673048839</v>
      </c>
      <c r="AN78" s="251">
        <f t="shared" si="89"/>
        <v>0.45720805065651843</v>
      </c>
      <c r="AO78" s="251">
        <f t="shared" si="89"/>
        <v>0.50585915412134286</v>
      </c>
      <c r="AP78" s="251">
        <f t="shared" si="89"/>
        <v>0.48443408759890333</v>
      </c>
      <c r="AQ78" s="251">
        <f t="shared" si="89"/>
        <v>0.55203537235903744</v>
      </c>
      <c r="AR78" s="251">
        <f t="shared" ref="AR78:BW78" si="90">SUM(AG75:AR76)/SUM(AG62:AR62)*200000</f>
        <v>0.59795544085884333</v>
      </c>
      <c r="AS78" s="251">
        <f t="shared" si="90"/>
        <v>0.49731542172934601</v>
      </c>
      <c r="AT78" s="251">
        <f t="shared" si="90"/>
        <v>0.3974299526417252</v>
      </c>
      <c r="AU78" s="251">
        <f t="shared" si="90"/>
        <v>0.33417706198812158</v>
      </c>
      <c r="AV78" s="251">
        <f t="shared" si="90"/>
        <v>0.29722851426777741</v>
      </c>
      <c r="AW78" s="251">
        <f t="shared" si="90"/>
        <v>0.29705231129818771</v>
      </c>
      <c r="AX78" s="251">
        <f t="shared" si="90"/>
        <v>0.34646283532142585</v>
      </c>
      <c r="AY78" s="251">
        <f t="shared" si="90"/>
        <v>0.34645232987434832</v>
      </c>
      <c r="AZ78" s="251">
        <f t="shared" si="90"/>
        <v>0.39664933154559845</v>
      </c>
      <c r="BA78" s="251">
        <f t="shared" si="90"/>
        <v>0.3971374609808721</v>
      </c>
      <c r="BB78" s="251">
        <f t="shared" si="90"/>
        <v>0.39792111386515905</v>
      </c>
      <c r="BC78" s="251">
        <f t="shared" si="90"/>
        <v>0.39013375150469715</v>
      </c>
      <c r="BD78" s="251">
        <f t="shared" si="90"/>
        <v>0.33419089023275589</v>
      </c>
      <c r="BE78" s="251">
        <f t="shared" si="90"/>
        <v>0.37482091847153309</v>
      </c>
      <c r="BF78" s="251">
        <f t="shared" si="90"/>
        <v>0.36782106557128208</v>
      </c>
      <c r="BG78" s="251">
        <f t="shared" si="90"/>
        <v>0.36144149128699082</v>
      </c>
      <c r="BH78" s="251">
        <f t="shared" si="90"/>
        <v>0.3997558149346977</v>
      </c>
      <c r="BI78" s="251">
        <f t="shared" si="90"/>
        <v>0.47853182260546917</v>
      </c>
      <c r="BJ78" s="251">
        <f t="shared" si="90"/>
        <v>0.47144130202744511</v>
      </c>
      <c r="BK78" s="251">
        <f t="shared" si="90"/>
        <v>0.50604663740991773</v>
      </c>
      <c r="BL78" s="251">
        <f t="shared" si="90"/>
        <v>0.38453107839489503</v>
      </c>
      <c r="BM78" s="251">
        <f t="shared" si="90"/>
        <v>0.33049236526741088</v>
      </c>
      <c r="BN78" s="251">
        <f t="shared" si="90"/>
        <v>0.32359441019636065</v>
      </c>
      <c r="BO78" s="251">
        <f t="shared" si="90"/>
        <v>0.31185831145904275</v>
      </c>
      <c r="BP78" s="251">
        <f t="shared" si="90"/>
        <v>0.30122622519093911</v>
      </c>
      <c r="BQ78" s="251">
        <f t="shared" si="90"/>
        <v>0.25949077915491175</v>
      </c>
      <c r="BR78" s="251">
        <f t="shared" si="90"/>
        <v>0.25044819504599886</v>
      </c>
      <c r="BS78" s="251">
        <f t="shared" si="90"/>
        <v>0.24277342564938514</v>
      </c>
      <c r="BT78" s="251">
        <f t="shared" si="90"/>
        <v>0.23546500083105903</v>
      </c>
      <c r="BU78" s="251">
        <f t="shared" si="90"/>
        <v>0.2000832106056267</v>
      </c>
      <c r="BV78" s="251">
        <f t="shared" si="90"/>
        <v>0.25066924091722148</v>
      </c>
      <c r="BW78" s="251">
        <f t="shared" si="90"/>
        <v>0.18949132234775984</v>
      </c>
      <c r="BX78" s="251">
        <f t="shared" ref="BX78:CJ78" si="91">SUM(BM75:BX76)/SUM(BM62:BX62)*200000</f>
        <v>0.16212813365563764</v>
      </c>
      <c r="BY78" s="251">
        <f t="shared" si="91"/>
        <v>0.2157742234192879</v>
      </c>
      <c r="BZ78" s="251">
        <f t="shared" si="91"/>
        <v>0.215307976176354</v>
      </c>
      <c r="CA78" s="251">
        <f t="shared" si="91"/>
        <v>0.21586139812399713</v>
      </c>
      <c r="CB78" s="251">
        <f t="shared" si="91"/>
        <v>0.29717938695397589</v>
      </c>
      <c r="CC78" s="251">
        <f t="shared" si="91"/>
        <v>0.32330189126361764</v>
      </c>
      <c r="CD78" s="251">
        <f t="shared" si="91"/>
        <v>0.49272693869209755</v>
      </c>
      <c r="CE78" s="251">
        <f t="shared" si="91"/>
        <v>0.55450763440494022</v>
      </c>
      <c r="CF78" s="251">
        <f t="shared" si="91"/>
        <v>0.57601746090400918</v>
      </c>
      <c r="CG78" s="251">
        <f t="shared" si="91"/>
        <v>0.59759861051518748</v>
      </c>
      <c r="CH78" s="251">
        <f t="shared" si="91"/>
        <v>0.53378867892240434</v>
      </c>
      <c r="CI78" s="251">
        <f t="shared" si="91"/>
        <v>0.49995052375342536</v>
      </c>
      <c r="CJ78" s="251">
        <f t="shared" si="91"/>
        <v>0.50482836144338883</v>
      </c>
      <c r="CL78" s="91" t="s">
        <v>43</v>
      </c>
      <c r="CM78" s="93">
        <f>INDEX($2:$2,COUNTA($2:$2)-14)</f>
        <v>41913</v>
      </c>
      <c r="CN78" s="95" t="s">
        <v>302</v>
      </c>
      <c r="CO78" s="94">
        <f>INDEX($30:$30,COUNTA($2:$2)-14)</f>
        <v>0</v>
      </c>
      <c r="CP78" s="94">
        <f>INDEX($32:$32,COUNTA($2:$2)-14)</f>
        <v>0.19185117597792287</v>
      </c>
      <c r="CQ78" s="83" t="str">
        <f t="shared" si="10"/>
        <v>October</v>
      </c>
      <c r="CR78" s="91">
        <f t="shared" si="11"/>
        <v>2014</v>
      </c>
      <c r="CS78" s="91"/>
      <c r="CT78" s="91"/>
      <c r="CU78" s="91"/>
      <c r="CV78" s="91"/>
      <c r="CW78" s="91"/>
      <c r="CX78" s="91"/>
      <c r="CY78" s="91"/>
      <c r="CZ78" s="91"/>
      <c r="DC78" s="73">
        <v>42292</v>
      </c>
      <c r="DD78" s="47">
        <v>30</v>
      </c>
      <c r="DE78" s="47">
        <v>12.561419497670343</v>
      </c>
      <c r="DG78" s="73">
        <v>42292</v>
      </c>
      <c r="DH78" s="47">
        <v>16</v>
      </c>
      <c r="DI78" s="47">
        <v>6.7608066567870972</v>
      </c>
    </row>
    <row r="79" spans="1:113" ht="15" x14ac:dyDescent="0.25">
      <c r="A79" s="266" t="s">
        <v>150</v>
      </c>
      <c r="B79" s="262"/>
      <c r="C79" s="262"/>
      <c r="D79" s="262"/>
      <c r="E79" s="262"/>
      <c r="F79" s="262"/>
      <c r="G79" s="262"/>
      <c r="H79" s="262"/>
      <c r="I79" s="262"/>
      <c r="J79" s="262"/>
      <c r="K79" s="262"/>
      <c r="L79" s="262"/>
      <c r="M79" s="262"/>
      <c r="O79" s="262"/>
      <c r="P79" s="262"/>
      <c r="Q79" s="262"/>
      <c r="R79" s="262"/>
      <c r="S79" s="262"/>
      <c r="T79" s="262"/>
      <c r="U79" s="262"/>
      <c r="V79" s="262"/>
      <c r="W79" s="262"/>
      <c r="X79" s="262"/>
      <c r="Y79" s="262"/>
      <c r="AA79" s="262"/>
      <c r="AB79" s="262"/>
      <c r="AC79" s="262"/>
      <c r="AD79" s="262"/>
      <c r="AE79" s="262"/>
      <c r="AF79" s="262"/>
      <c r="AG79" s="262"/>
      <c r="AH79" s="262"/>
      <c r="AI79" s="262"/>
      <c r="AJ79" s="262"/>
      <c r="AK79" s="262"/>
      <c r="AL79" s="262"/>
      <c r="AM79" s="262"/>
      <c r="AN79" s="262"/>
      <c r="AO79" s="262"/>
      <c r="AP79" s="262"/>
      <c r="AQ79" s="262"/>
      <c r="AR79" s="262"/>
      <c r="AS79" s="262"/>
      <c r="AT79" s="262"/>
      <c r="AU79" s="262"/>
      <c r="AV79" s="262"/>
      <c r="AW79" s="262"/>
      <c r="AX79" s="262"/>
      <c r="AY79" s="251">
        <f t="shared" ref="AY79:CJ79" si="92">SUM(AY37,AY57)</f>
        <v>1</v>
      </c>
      <c r="AZ79" s="251">
        <f t="shared" si="92"/>
        <v>1</v>
      </c>
      <c r="BA79" s="251">
        <f t="shared" si="92"/>
        <v>3</v>
      </c>
      <c r="BB79" s="251">
        <f t="shared" si="92"/>
        <v>0</v>
      </c>
      <c r="BC79" s="251">
        <f t="shared" si="92"/>
        <v>4</v>
      </c>
      <c r="BD79" s="251">
        <f t="shared" si="92"/>
        <v>1</v>
      </c>
      <c r="BE79" s="251">
        <f t="shared" si="92"/>
        <v>0</v>
      </c>
      <c r="BF79" s="251">
        <f t="shared" si="92"/>
        <v>0</v>
      </c>
      <c r="BG79" s="251">
        <f t="shared" si="92"/>
        <v>0</v>
      </c>
      <c r="BH79" s="251">
        <f t="shared" si="92"/>
        <v>2</v>
      </c>
      <c r="BI79" s="251">
        <f t="shared" si="92"/>
        <v>2</v>
      </c>
      <c r="BJ79" s="251">
        <f t="shared" si="92"/>
        <v>1</v>
      </c>
      <c r="BK79" s="251">
        <f t="shared" si="92"/>
        <v>2</v>
      </c>
      <c r="BL79" s="251">
        <f t="shared" si="92"/>
        <v>2</v>
      </c>
      <c r="BM79" s="251">
        <f t="shared" si="92"/>
        <v>1</v>
      </c>
      <c r="BN79" s="251">
        <f t="shared" si="92"/>
        <v>2</v>
      </c>
      <c r="BO79" s="251">
        <f t="shared" si="92"/>
        <v>0</v>
      </c>
      <c r="BP79" s="251">
        <f t="shared" si="92"/>
        <v>0</v>
      </c>
      <c r="BQ79" s="251">
        <f t="shared" si="92"/>
        <v>2</v>
      </c>
      <c r="BR79" s="251">
        <f t="shared" si="92"/>
        <v>0</v>
      </c>
      <c r="BS79" s="251">
        <f t="shared" si="92"/>
        <v>0</v>
      </c>
      <c r="BT79" s="251">
        <f t="shared" si="92"/>
        <v>2</v>
      </c>
      <c r="BU79" s="251">
        <f t="shared" si="92"/>
        <v>2</v>
      </c>
      <c r="BV79" s="251">
        <f t="shared" si="92"/>
        <v>2</v>
      </c>
      <c r="BW79" s="251">
        <f t="shared" si="92"/>
        <v>1</v>
      </c>
      <c r="BX79" s="251">
        <f t="shared" si="92"/>
        <v>1</v>
      </c>
      <c r="BY79" s="251">
        <f t="shared" si="92"/>
        <v>4</v>
      </c>
      <c r="BZ79" s="251">
        <f t="shared" si="92"/>
        <v>1</v>
      </c>
      <c r="CA79" s="251">
        <f t="shared" si="92"/>
        <v>1</v>
      </c>
      <c r="CB79" s="251">
        <f t="shared" si="92"/>
        <v>1</v>
      </c>
      <c r="CC79" s="251">
        <f t="shared" si="92"/>
        <v>1</v>
      </c>
      <c r="CD79" s="251">
        <f t="shared" si="92"/>
        <v>1</v>
      </c>
      <c r="CE79" s="251">
        <f t="shared" si="92"/>
        <v>3</v>
      </c>
      <c r="CF79" s="251">
        <f t="shared" si="92"/>
        <v>3</v>
      </c>
      <c r="CG79" s="251">
        <f t="shared" si="92"/>
        <v>2</v>
      </c>
      <c r="CH79" s="251">
        <f t="shared" si="92"/>
        <v>0</v>
      </c>
      <c r="CI79" s="251">
        <f t="shared" si="92"/>
        <v>4</v>
      </c>
      <c r="CJ79" s="251">
        <f t="shared" si="92"/>
        <v>0</v>
      </c>
      <c r="CL79" s="91" t="s">
        <v>43</v>
      </c>
      <c r="CM79" s="93">
        <f>INDEX($2:$2,COUNTA($2:$2)-13)</f>
        <v>41944</v>
      </c>
      <c r="CN79" s="95" t="s">
        <v>302</v>
      </c>
      <c r="CO79" s="94">
        <f>INDEX($30:$30,COUNTA($2:$2)-13)</f>
        <v>0</v>
      </c>
      <c r="CP79" s="94">
        <f>INDEX($32:$32,COUNTA($2:$2)-13)</f>
        <v>0.1921996179081206</v>
      </c>
      <c r="CQ79" s="83" t="str">
        <f t="shared" si="10"/>
        <v>November</v>
      </c>
      <c r="CR79" s="91">
        <f t="shared" si="11"/>
        <v>2014</v>
      </c>
      <c r="CS79" s="91"/>
      <c r="CT79" s="91"/>
      <c r="CU79" s="91"/>
      <c r="CV79" s="91"/>
      <c r="CW79" s="91"/>
      <c r="CX79" s="91"/>
      <c r="CY79" s="91"/>
      <c r="CZ79" s="91"/>
      <c r="DC79" s="73">
        <v>42323</v>
      </c>
      <c r="DD79" s="47">
        <v>8</v>
      </c>
      <c r="DE79" s="47">
        <v>11.600005451483108</v>
      </c>
      <c r="DG79" s="73">
        <v>42323</v>
      </c>
      <c r="DH79" s="47">
        <v>12</v>
      </c>
      <c r="DI79" s="47">
        <v>4.1983158696829204</v>
      </c>
    </row>
    <row r="80" spans="1:113" ht="15" x14ac:dyDescent="0.25">
      <c r="A80" s="266" t="s">
        <v>151</v>
      </c>
      <c r="B80" s="262"/>
      <c r="C80" s="262"/>
      <c r="D80" s="262"/>
      <c r="E80" s="262"/>
      <c r="F80" s="262"/>
      <c r="G80" s="262"/>
      <c r="H80" s="262"/>
      <c r="I80" s="262"/>
      <c r="J80" s="262"/>
      <c r="K80" s="262"/>
      <c r="L80" s="262"/>
      <c r="M80" s="262"/>
      <c r="O80" s="262"/>
      <c r="P80" s="262"/>
      <c r="Q80" s="262"/>
      <c r="R80" s="262"/>
      <c r="S80" s="262"/>
      <c r="T80" s="262"/>
      <c r="U80" s="262"/>
      <c r="V80" s="262"/>
      <c r="W80" s="262"/>
      <c r="X80" s="262"/>
      <c r="Y80" s="262"/>
      <c r="AA80" s="262"/>
      <c r="AB80" s="262"/>
      <c r="AC80" s="262"/>
      <c r="AD80" s="262"/>
      <c r="AE80" s="262"/>
      <c r="AF80" s="262"/>
      <c r="AG80" s="262"/>
      <c r="AH80" s="262"/>
      <c r="AI80" s="262"/>
      <c r="AJ80" s="262"/>
      <c r="AK80" s="262"/>
      <c r="AL80" s="262"/>
      <c r="AM80" s="262"/>
      <c r="AN80" s="262"/>
      <c r="AO80" s="262"/>
      <c r="AP80" s="262"/>
      <c r="AQ80" s="262"/>
      <c r="AR80" s="262"/>
      <c r="AS80" s="262"/>
      <c r="AT80" s="262"/>
      <c r="AU80" s="262"/>
      <c r="AV80" s="262"/>
      <c r="AW80" s="262"/>
      <c r="AX80" s="262"/>
      <c r="AY80" s="251">
        <f t="shared" ref="AY80:CJ80" si="93">AY79/AY62*200000</f>
        <v>0.61542277159645431</v>
      </c>
      <c r="AZ80" s="251">
        <f t="shared" si="93"/>
        <v>0.75435523221543421</v>
      </c>
      <c r="BA80" s="251">
        <f t="shared" si="93"/>
        <v>1.8747068427174702</v>
      </c>
      <c r="BB80" s="251">
        <f t="shared" si="93"/>
        <v>0</v>
      </c>
      <c r="BC80" s="251">
        <f t="shared" si="93"/>
        <v>2.0540440558558255</v>
      </c>
      <c r="BD80" s="251">
        <f t="shared" si="93"/>
        <v>0.4863275099666744</v>
      </c>
      <c r="BE80" s="251">
        <f t="shared" si="93"/>
        <v>0</v>
      </c>
      <c r="BF80" s="251">
        <f t="shared" si="93"/>
        <v>0</v>
      </c>
      <c r="BG80" s="251">
        <f t="shared" si="93"/>
        <v>0</v>
      </c>
      <c r="BH80" s="251">
        <f t="shared" si="93"/>
        <v>1.0515545656921912</v>
      </c>
      <c r="BI80" s="251">
        <f t="shared" si="93"/>
        <v>0.98404484449803542</v>
      </c>
      <c r="BJ80" s="251">
        <f t="shared" si="93"/>
        <v>0.51043036374645878</v>
      </c>
      <c r="BK80" s="251">
        <f t="shared" si="93"/>
        <v>0.9972946388332371</v>
      </c>
      <c r="BL80" s="251">
        <f t="shared" si="93"/>
        <v>0.55277534890592694</v>
      </c>
      <c r="BM80" s="251">
        <f t="shared" si="93"/>
        <v>0.35377612141370074</v>
      </c>
      <c r="BN80" s="251">
        <f t="shared" si="93"/>
        <v>0.68752480568013752</v>
      </c>
      <c r="BO80" s="251">
        <f t="shared" si="93"/>
        <v>0</v>
      </c>
      <c r="BP80" s="251">
        <f t="shared" si="93"/>
        <v>0</v>
      </c>
      <c r="BQ80" s="251">
        <f t="shared" si="93"/>
        <v>0.69063245305723731</v>
      </c>
      <c r="BR80" s="251">
        <f t="shared" si="93"/>
        <v>0</v>
      </c>
      <c r="BS80" s="251">
        <f t="shared" si="93"/>
        <v>0</v>
      </c>
      <c r="BT80" s="251">
        <f t="shared" si="93"/>
        <v>0.68382252001933153</v>
      </c>
      <c r="BU80" s="251">
        <f t="shared" si="93"/>
        <v>0.65734408143493994</v>
      </c>
      <c r="BV80" s="251">
        <f t="shared" si="93"/>
        <v>0.69503003137886821</v>
      </c>
      <c r="BW80" s="251">
        <f t="shared" si="93"/>
        <v>0.32867227837332458</v>
      </c>
      <c r="BX80" s="251">
        <f t="shared" si="93"/>
        <v>0.27138024845548614</v>
      </c>
      <c r="BY80" s="251">
        <f t="shared" si="93"/>
        <v>1.3818493500583855</v>
      </c>
      <c r="BZ80" s="251">
        <f t="shared" si="93"/>
        <v>0.33452947693104801</v>
      </c>
      <c r="CA80" s="251">
        <f t="shared" si="93"/>
        <v>0.34497231993850663</v>
      </c>
      <c r="CB80" s="251">
        <f t="shared" si="93"/>
        <v>0.33017393199546197</v>
      </c>
      <c r="CC80" s="251">
        <f t="shared" si="93"/>
        <v>0.3335303942079112</v>
      </c>
      <c r="CD80" s="251">
        <f t="shared" si="93"/>
        <v>0.22287755653094202</v>
      </c>
      <c r="CE80" s="251">
        <f t="shared" si="93"/>
        <v>0.99908816553425583</v>
      </c>
      <c r="CF80" s="251">
        <f t="shared" si="93"/>
        <v>0.92404735761188717</v>
      </c>
      <c r="CG80" s="251">
        <f t="shared" si="93"/>
        <v>0.59940684496842456</v>
      </c>
      <c r="CH80" s="251">
        <f t="shared" si="93"/>
        <v>0</v>
      </c>
      <c r="CI80" s="251">
        <f t="shared" si="93"/>
        <v>0.70110378010707242</v>
      </c>
      <c r="CJ80" s="251">
        <f t="shared" si="93"/>
        <v>0</v>
      </c>
      <c r="CL80" s="91" t="s">
        <v>43</v>
      </c>
      <c r="CM80" s="93">
        <f>INDEX($2:$2,COUNTA($2:$2)-12)</f>
        <v>41974</v>
      </c>
      <c r="CN80" s="95" t="s">
        <v>302</v>
      </c>
      <c r="CO80" s="94">
        <f>INDEX($30:$30,COUNTA($2:$2)-12)</f>
        <v>1</v>
      </c>
      <c r="CP80" s="94">
        <f>INDEX($32:$32,COUNTA($2:$2)-12)</f>
        <v>0.28840190443505842</v>
      </c>
      <c r="CQ80" s="83" t="str">
        <f t="shared" si="10"/>
        <v>December</v>
      </c>
      <c r="CR80" s="91">
        <f t="shared" si="11"/>
        <v>2014</v>
      </c>
      <c r="CS80" s="91"/>
      <c r="CT80" s="91"/>
      <c r="CU80" s="91"/>
      <c r="CV80" s="91"/>
      <c r="CW80" s="91"/>
      <c r="CX80" s="91"/>
      <c r="CY80" s="91"/>
      <c r="CZ80" s="91"/>
      <c r="DC80" s="73">
        <v>42353</v>
      </c>
      <c r="DD80" s="47">
        <v>20</v>
      </c>
      <c r="DE80" s="47">
        <v>10.80663337476981</v>
      </c>
      <c r="DG80" s="73">
        <v>42353</v>
      </c>
      <c r="DH80" s="47">
        <v>6</v>
      </c>
      <c r="DI80" s="47">
        <v>1.2406064463953734</v>
      </c>
    </row>
    <row r="81" spans="1:113" ht="15" x14ac:dyDescent="0.25">
      <c r="A81" s="266" t="s">
        <v>152</v>
      </c>
      <c r="B81" s="262"/>
      <c r="C81" s="262"/>
      <c r="D81" s="262"/>
      <c r="E81" s="262"/>
      <c r="F81" s="262"/>
      <c r="G81" s="262"/>
      <c r="H81" s="262"/>
      <c r="I81" s="262"/>
      <c r="J81" s="262"/>
      <c r="K81" s="262"/>
      <c r="L81" s="262"/>
      <c r="M81" s="262"/>
      <c r="O81" s="262"/>
      <c r="P81" s="262"/>
      <c r="Q81" s="262"/>
      <c r="R81" s="262"/>
      <c r="S81" s="262"/>
      <c r="T81" s="262"/>
      <c r="U81" s="262"/>
      <c r="V81" s="262"/>
      <c r="W81" s="262"/>
      <c r="X81" s="262"/>
      <c r="Y81" s="262"/>
      <c r="AA81" s="262"/>
      <c r="AB81" s="262"/>
      <c r="AC81" s="262"/>
      <c r="AD81" s="262"/>
      <c r="AE81" s="262"/>
      <c r="AF81" s="262"/>
      <c r="AG81" s="262"/>
      <c r="AH81" s="262"/>
      <c r="AI81" s="262"/>
      <c r="AJ81" s="262"/>
      <c r="AK81" s="262"/>
      <c r="AL81" s="262"/>
      <c r="AM81" s="262"/>
      <c r="AN81" s="262"/>
      <c r="AO81" s="262"/>
      <c r="AP81" s="262"/>
      <c r="AQ81" s="262"/>
      <c r="AR81" s="262"/>
      <c r="AS81" s="262"/>
      <c r="AT81" s="262"/>
      <c r="AU81" s="262"/>
      <c r="AV81" s="262"/>
      <c r="AW81" s="262"/>
      <c r="AX81" s="262"/>
      <c r="AY81" s="262"/>
      <c r="AZ81" s="262"/>
      <c r="BA81" s="262"/>
      <c r="BB81" s="262"/>
      <c r="BC81" s="262"/>
      <c r="BD81" s="262"/>
      <c r="BE81" s="262"/>
      <c r="BF81" s="262"/>
      <c r="BG81" s="262"/>
      <c r="BH81" s="262"/>
      <c r="BI81" s="262"/>
      <c r="BJ81" s="251">
        <f t="shared" ref="BJ81:CJ81" si="94">SUM(AY79:BJ79)/SUM(AY62:BJ62)*200000</f>
        <v>0.64287450276469782</v>
      </c>
      <c r="BK81" s="251">
        <f t="shared" si="94"/>
        <v>0.67472884987989035</v>
      </c>
      <c r="BL81" s="251">
        <f t="shared" si="94"/>
        <v>0.6537028332713215</v>
      </c>
      <c r="BM81" s="251">
        <f t="shared" si="94"/>
        <v>0.55082060877901806</v>
      </c>
      <c r="BN81" s="251">
        <f t="shared" si="94"/>
        <v>0.611233885926459</v>
      </c>
      <c r="BO81" s="251">
        <f t="shared" si="94"/>
        <v>0.45046200544083953</v>
      </c>
      <c r="BP81" s="251">
        <f t="shared" si="94"/>
        <v>0.40163496692125211</v>
      </c>
      <c r="BQ81" s="251">
        <f t="shared" si="94"/>
        <v>0.45410886352109558</v>
      </c>
      <c r="BR81" s="251">
        <f t="shared" si="94"/>
        <v>0.43828434133049798</v>
      </c>
      <c r="BS81" s="251">
        <f t="shared" si="94"/>
        <v>0.42485349488642399</v>
      </c>
      <c r="BT81" s="251">
        <f t="shared" si="94"/>
        <v>0.41206375145435337</v>
      </c>
      <c r="BU81" s="251">
        <f t="shared" si="94"/>
        <v>0.4001664212112534</v>
      </c>
      <c r="BV81" s="251">
        <f t="shared" si="94"/>
        <v>0.41778206819536912</v>
      </c>
      <c r="BW81" s="251">
        <f t="shared" si="94"/>
        <v>0.37898264469551968</v>
      </c>
      <c r="BX81" s="251">
        <f t="shared" si="94"/>
        <v>0.3512776229205482</v>
      </c>
      <c r="BY81" s="251">
        <f t="shared" si="94"/>
        <v>0.43154844683857579</v>
      </c>
      <c r="BZ81" s="251">
        <f t="shared" si="94"/>
        <v>0.40370245533066379</v>
      </c>
      <c r="CA81" s="251">
        <f t="shared" si="94"/>
        <v>0.43172279624799426</v>
      </c>
      <c r="CB81" s="251">
        <f t="shared" si="94"/>
        <v>0.45927723438341728</v>
      </c>
      <c r="CC81" s="251">
        <f t="shared" si="94"/>
        <v>0.43106918835149016</v>
      </c>
      <c r="CD81" s="251">
        <f t="shared" si="94"/>
        <v>0.44086094514556096</v>
      </c>
      <c r="CE81" s="251">
        <f t="shared" si="94"/>
        <v>0.52810250895708588</v>
      </c>
      <c r="CF81" s="251">
        <f t="shared" si="94"/>
        <v>0.54983484904473601</v>
      </c>
      <c r="CG81" s="251">
        <f t="shared" si="94"/>
        <v>0.54563351394864945</v>
      </c>
      <c r="CH81" s="251">
        <f t="shared" si="94"/>
        <v>0.48295166188217531</v>
      </c>
      <c r="CI81" s="251">
        <f t="shared" si="94"/>
        <v>0.52375769155120755</v>
      </c>
      <c r="CJ81" s="251">
        <f t="shared" si="94"/>
        <v>0.48188161774141663</v>
      </c>
      <c r="CL81" s="91" t="s">
        <v>43</v>
      </c>
      <c r="CM81" s="93">
        <f>INDEX($2:$2,COUNTA($2:$2)-11)</f>
        <v>42005</v>
      </c>
      <c r="CN81" s="95" t="s">
        <v>302</v>
      </c>
      <c r="CO81" s="94">
        <f>INDEX($30:$30,COUNTA($2:$2)-11)</f>
        <v>1</v>
      </c>
      <c r="CP81" s="94">
        <f>INDEX($32:$32,COUNTA($2:$2)-11)</f>
        <v>0.38675199601738264</v>
      </c>
      <c r="CQ81" s="83" t="str">
        <f t="shared" si="10"/>
        <v>January</v>
      </c>
      <c r="CR81" s="91">
        <f t="shared" si="11"/>
        <v>2015</v>
      </c>
      <c r="CS81" s="91"/>
      <c r="CT81" s="91"/>
      <c r="CU81" s="91"/>
      <c r="CV81" s="91"/>
      <c r="CW81" s="91"/>
      <c r="CX81" s="91"/>
      <c r="CY81" s="91"/>
      <c r="CZ81" s="91"/>
      <c r="DC81" s="73">
        <v>42370</v>
      </c>
      <c r="DD81" s="47">
        <v>18</v>
      </c>
      <c r="DE81" s="47">
        <v>10.238907280131214</v>
      </c>
      <c r="DG81" s="73">
        <v>42370</v>
      </c>
      <c r="DH81" s="47">
        <v>2</v>
      </c>
      <c r="DI81" s="47">
        <v>0.52595323745032252</v>
      </c>
    </row>
    <row r="82" spans="1:113" s="89" customFormat="1" ht="15" x14ac:dyDescent="0.25">
      <c r="A82" s="346" t="s">
        <v>144</v>
      </c>
      <c r="B82" s="281"/>
      <c r="C82" s="281"/>
      <c r="D82" s="281"/>
      <c r="E82" s="281"/>
      <c r="F82" s="281"/>
      <c r="G82" s="281"/>
      <c r="H82" s="281"/>
      <c r="I82" s="281"/>
      <c r="J82" s="281"/>
      <c r="K82" s="281"/>
      <c r="L82" s="281"/>
      <c r="M82" s="281"/>
      <c r="N82" s="281"/>
      <c r="O82" s="281"/>
      <c r="P82" s="281"/>
      <c r="Q82" s="281"/>
      <c r="R82" s="281"/>
      <c r="S82" s="281"/>
      <c r="T82" s="281"/>
      <c r="U82" s="281"/>
      <c r="V82" s="281"/>
      <c r="W82" s="281"/>
      <c r="X82" s="281"/>
      <c r="Y82" s="281"/>
      <c r="Z82" s="281"/>
      <c r="AA82" s="281"/>
      <c r="AB82" s="281"/>
      <c r="AC82" s="281"/>
      <c r="AD82" s="281"/>
      <c r="AE82" s="281"/>
      <c r="AF82" s="281"/>
      <c r="AG82" s="281"/>
      <c r="AH82" s="281"/>
      <c r="AI82" s="281"/>
      <c r="AJ82" s="281"/>
      <c r="AK82" s="281"/>
      <c r="AL82" s="281"/>
      <c r="AM82" s="281"/>
      <c r="AN82" s="281"/>
      <c r="AO82" s="281"/>
      <c r="AP82" s="281"/>
      <c r="AQ82" s="281"/>
      <c r="AR82" s="281"/>
      <c r="AS82" s="281"/>
      <c r="AT82" s="281"/>
      <c r="AU82" s="281"/>
      <c r="AV82" s="281"/>
      <c r="AW82" s="281"/>
      <c r="AX82" s="281"/>
      <c r="AY82" s="281"/>
      <c r="AZ82" s="281"/>
      <c r="BA82" s="281"/>
      <c r="BB82" s="281"/>
      <c r="BC82" s="281"/>
      <c r="BD82" s="281"/>
      <c r="BE82" s="281"/>
      <c r="BF82" s="281"/>
      <c r="BG82" s="281"/>
      <c r="BH82" s="281"/>
      <c r="BI82" s="281"/>
      <c r="BJ82" s="281"/>
      <c r="BK82" s="281"/>
      <c r="BL82" s="281"/>
      <c r="BM82" s="281"/>
      <c r="BN82" s="281"/>
      <c r="BO82" s="281"/>
      <c r="BP82" s="281"/>
      <c r="BQ82" s="281"/>
      <c r="BR82" s="281"/>
      <c r="BS82" s="281"/>
      <c r="BT82" s="281"/>
      <c r="BU82" s="281"/>
      <c r="BV82" s="281"/>
      <c r="BW82" s="281"/>
      <c r="BX82" s="281"/>
      <c r="BY82" s="281"/>
      <c r="BZ82" s="281"/>
      <c r="CA82" s="281"/>
      <c r="CB82" s="281"/>
      <c r="CC82" s="281"/>
      <c r="CD82" s="281"/>
      <c r="CE82" s="281"/>
      <c r="CF82" s="281"/>
      <c r="CG82" s="281"/>
      <c r="CH82" s="281"/>
      <c r="CI82" s="281"/>
      <c r="CJ82" s="281"/>
      <c r="CL82" s="91" t="s">
        <v>43</v>
      </c>
      <c r="CM82" s="93">
        <f>INDEX($2:$2,COUNTA($2:$2)-10)</f>
        <v>42036</v>
      </c>
      <c r="CN82" s="95" t="s">
        <v>302</v>
      </c>
      <c r="CO82" s="94">
        <f>INDEX($30:$30,COUNTA($2:$2)-10)</f>
        <v>0</v>
      </c>
      <c r="CP82" s="94">
        <f>INDEX($32:$32,COUNTA($2:$2)-10)</f>
        <v>0.28987901759092649</v>
      </c>
      <c r="CQ82" s="83" t="str">
        <f t="shared" si="10"/>
        <v>February</v>
      </c>
      <c r="CR82" s="91">
        <f t="shared" si="11"/>
        <v>2015</v>
      </c>
      <c r="CS82" s="91"/>
      <c r="CT82" s="91"/>
      <c r="CU82" s="91"/>
      <c r="CV82" s="91"/>
      <c r="CW82" s="91"/>
      <c r="CX82" s="91"/>
      <c r="CY82" s="91"/>
      <c r="CZ82" s="91"/>
      <c r="DC82" s="73" t="s">
        <v>53</v>
      </c>
      <c r="DD82" s="47">
        <v>486</v>
      </c>
      <c r="DE82" s="47">
        <v>258.83772953441184</v>
      </c>
      <c r="DG82" s="73" t="s">
        <v>53</v>
      </c>
      <c r="DH82" s="47">
        <v>148</v>
      </c>
      <c r="DI82" s="47">
        <v>58.695769888229329</v>
      </c>
    </row>
    <row r="83" spans="1:113" s="89" customFormat="1" x14ac:dyDescent="0.2">
      <c r="A83" s="346"/>
      <c r="B83" s="281"/>
      <c r="C83" s="281"/>
      <c r="D83" s="281"/>
      <c r="E83" s="281"/>
      <c r="F83" s="281"/>
      <c r="G83" s="281"/>
      <c r="H83" s="281"/>
      <c r="I83" s="281"/>
      <c r="J83" s="281"/>
      <c r="K83" s="281"/>
      <c r="L83" s="281"/>
      <c r="M83" s="281"/>
      <c r="N83" s="281"/>
      <c r="O83" s="281"/>
      <c r="P83" s="281"/>
      <c r="Q83" s="281"/>
      <c r="R83" s="281"/>
      <c r="S83" s="281"/>
      <c r="T83" s="281"/>
      <c r="U83" s="281"/>
      <c r="V83" s="281"/>
      <c r="W83" s="281"/>
      <c r="X83" s="281"/>
      <c r="Y83" s="281"/>
      <c r="Z83" s="281"/>
      <c r="AA83" s="281"/>
      <c r="AB83" s="281"/>
      <c r="AC83" s="281"/>
      <c r="AD83" s="281"/>
      <c r="AE83" s="281"/>
      <c r="AF83" s="281"/>
      <c r="AG83" s="281"/>
      <c r="AH83" s="281"/>
      <c r="AI83" s="281"/>
      <c r="AJ83" s="281"/>
      <c r="AK83" s="281"/>
      <c r="AL83" s="281"/>
      <c r="AM83" s="281"/>
      <c r="AN83" s="281"/>
      <c r="AO83" s="281"/>
      <c r="AP83" s="281"/>
      <c r="AQ83" s="281"/>
      <c r="AR83" s="281"/>
      <c r="AS83" s="281"/>
      <c r="AT83" s="281"/>
      <c r="AU83" s="281"/>
      <c r="AV83" s="281"/>
      <c r="AW83" s="281"/>
      <c r="AX83" s="281"/>
      <c r="AY83" s="281"/>
      <c r="AZ83" s="281"/>
      <c r="BA83" s="281"/>
      <c r="BB83" s="281"/>
      <c r="BC83" s="281"/>
      <c r="BD83" s="281"/>
      <c r="BE83" s="281"/>
      <c r="BF83" s="281"/>
      <c r="BG83" s="281"/>
      <c r="BH83" s="281"/>
      <c r="BI83" s="281"/>
      <c r="BJ83" s="281"/>
      <c r="BK83" s="281"/>
      <c r="BL83" s="281"/>
      <c r="BM83" s="281"/>
      <c r="BN83" s="281"/>
      <c r="BO83" s="281"/>
      <c r="BP83" s="281"/>
      <c r="BQ83" s="281"/>
      <c r="BR83" s="281"/>
      <c r="BS83" s="281"/>
      <c r="BT83" s="281"/>
      <c r="BU83" s="281"/>
      <c r="BV83" s="281"/>
      <c r="BW83" s="281"/>
      <c r="BX83" s="281"/>
      <c r="BY83" s="281"/>
      <c r="BZ83" s="281"/>
      <c r="CA83" s="281"/>
      <c r="CB83" s="281"/>
      <c r="CC83" s="281"/>
      <c r="CD83" s="281"/>
      <c r="CE83" s="281"/>
      <c r="CF83" s="281"/>
      <c r="CG83" s="281"/>
      <c r="CH83" s="281"/>
      <c r="CI83" s="281"/>
      <c r="CJ83" s="281"/>
      <c r="CL83" s="91" t="s">
        <v>43</v>
      </c>
      <c r="CM83" s="93">
        <f>INDEX($2:$2,COUNTA($2:$2)-9)</f>
        <v>42064</v>
      </c>
      <c r="CN83" s="95" t="s">
        <v>302</v>
      </c>
      <c r="CO83" s="94">
        <f>INDEX($30:$30,COUNTA($2:$2)-9)</f>
        <v>0</v>
      </c>
      <c r="CP83" s="94">
        <f>INDEX($32:$32,COUNTA($2:$2)-9)</f>
        <v>0.28968662039373527</v>
      </c>
      <c r="CQ83" s="83" t="str">
        <f t="shared" si="10"/>
        <v>March</v>
      </c>
      <c r="CR83" s="91">
        <f t="shared" si="11"/>
        <v>2015</v>
      </c>
      <c r="CS83" s="91"/>
      <c r="CT83" s="91"/>
      <c r="CU83" s="91"/>
      <c r="CV83" s="91"/>
      <c r="CW83" s="91"/>
      <c r="CX83" s="91"/>
      <c r="CY83" s="91"/>
      <c r="CZ83" s="91"/>
    </row>
    <row r="84" spans="1:113" x14ac:dyDescent="0.2">
      <c r="A84" s="266" t="s">
        <v>155</v>
      </c>
      <c r="AC84" s="331"/>
      <c r="AD84" s="331"/>
      <c r="AE84" s="347" t="s">
        <v>122</v>
      </c>
      <c r="AF84" s="347"/>
      <c r="AG84" s="347" t="s">
        <v>43</v>
      </c>
      <c r="AH84" s="347"/>
      <c r="AI84" s="347" t="s">
        <v>156</v>
      </c>
      <c r="AJ84" s="347"/>
      <c r="AK84" s="347" t="s">
        <v>66</v>
      </c>
      <c r="AL84" s="347"/>
      <c r="AX84" s="251">
        <v>87138.12</v>
      </c>
      <c r="AY84" s="251">
        <v>90569.89</v>
      </c>
      <c r="AZ84" s="251">
        <v>74661.38</v>
      </c>
      <c r="BA84" s="251">
        <v>87988.79</v>
      </c>
      <c r="BB84" s="251">
        <v>131055.22000000002</v>
      </c>
      <c r="BC84" s="251">
        <v>84704.3</v>
      </c>
      <c r="BD84" s="251">
        <v>92162.5</v>
      </c>
      <c r="BE84" s="251">
        <v>88236.5</v>
      </c>
      <c r="BF84" s="251">
        <v>87836.86</v>
      </c>
      <c r="BG84" s="251">
        <v>130362.39</v>
      </c>
      <c r="BH84" s="251">
        <v>87340.789999999979</v>
      </c>
      <c r="BI84" s="251">
        <v>90279.08</v>
      </c>
      <c r="BJ84" s="251">
        <v>91258.65</v>
      </c>
      <c r="BK84" s="251">
        <v>95536.709999999992</v>
      </c>
      <c r="BL84" s="251">
        <f>[3]Data!DT66</f>
        <v>125995.29</v>
      </c>
      <c r="BM84" s="251">
        <f>[3]Data!DU66</f>
        <v>91469.01999999999</v>
      </c>
      <c r="BN84" s="251">
        <f>[3]Data!DV66</f>
        <v>94518.15</v>
      </c>
      <c r="BO84" s="251">
        <f>[3]Data!DW66</f>
        <v>92018.83</v>
      </c>
      <c r="BP84" s="251">
        <f>[3]Data!DX66</f>
        <v>93256.94</v>
      </c>
      <c r="BQ84" s="251">
        <f>[3]Data!DY66</f>
        <v>91908.54</v>
      </c>
      <c r="BR84" s="251">
        <f>[3]Data!DZ66</f>
        <v>89787.260000000009</v>
      </c>
      <c r="BS84" s="251">
        <f>[3]Data!EA66</f>
        <v>136762.82</v>
      </c>
      <c r="BT84" s="251">
        <f>[3]Data!EB66</f>
        <v>92754.689999999988</v>
      </c>
      <c r="BU84" s="251">
        <f>[3]Data!EC66</f>
        <v>94504.969999999987</v>
      </c>
      <c r="BV84" s="251">
        <f>[3]Data!ED66</f>
        <v>95538.349999999991</v>
      </c>
      <c r="BW84" s="251">
        <f>[3]Data!EE66</f>
        <v>99960.21</v>
      </c>
      <c r="BX84" s="251">
        <f>[3]Data!EF66</f>
        <v>139071.39000000001</v>
      </c>
      <c r="BY84" s="251">
        <f>[3]Data!EG66</f>
        <v>101035.99</v>
      </c>
      <c r="BZ84" s="251">
        <f>[3]Data!EH66</f>
        <v>103593.84</v>
      </c>
      <c r="CA84" s="251">
        <f>[3]Data!EI66</f>
        <v>98233.039999999979</v>
      </c>
      <c r="CB84" s="251">
        <f>[3]Data!EJ66</f>
        <v>106947.36</v>
      </c>
      <c r="CC84" s="251">
        <f>[3]Data!EK66</f>
        <v>102634.6</v>
      </c>
      <c r="CD84" s="263">
        <f>[3]Data!EL66</f>
        <v>194237.03</v>
      </c>
      <c r="CE84" s="263">
        <f>[3]Data!EM66</f>
        <v>116900.5</v>
      </c>
      <c r="CF84" s="263">
        <f>[3]Data!EN66</f>
        <v>160266.66</v>
      </c>
      <c r="CG84" s="263">
        <f>[3]Data!EO66</f>
        <v>162272.4</v>
      </c>
      <c r="CH84" s="263">
        <v>200496.50649999999</v>
      </c>
      <c r="CI84" s="263">
        <v>345072.05499999999</v>
      </c>
      <c r="CJ84" s="336">
        <v>310996.94300000003</v>
      </c>
      <c r="CL84" s="91" t="s">
        <v>43</v>
      </c>
      <c r="CM84" s="93">
        <f>INDEX($2:$2,COUNTA($2:$2)-8)</f>
        <v>42095</v>
      </c>
      <c r="CN84" s="95" t="s">
        <v>302</v>
      </c>
      <c r="CO84" s="94">
        <f>INDEX($30:$30,COUNTA($2:$2)-8)</f>
        <v>1</v>
      </c>
      <c r="CP84" s="94">
        <f>INDEX($32:$32,COUNTA($2:$2)-8)</f>
        <v>0.38765213401942528</v>
      </c>
      <c r="CQ84" s="83" t="str">
        <f t="shared" si="10"/>
        <v>April</v>
      </c>
      <c r="CR84" s="91">
        <f t="shared" si="11"/>
        <v>2015</v>
      </c>
      <c r="CS84" s="91"/>
      <c r="CT84" s="91"/>
      <c r="CU84" s="91"/>
      <c r="CV84" s="91"/>
      <c r="CW84" s="91"/>
      <c r="CX84" s="91"/>
      <c r="CY84" s="91"/>
      <c r="CZ84" s="91"/>
    </row>
    <row r="85" spans="1:113" x14ac:dyDescent="0.2">
      <c r="A85" s="266" t="s">
        <v>157</v>
      </c>
      <c r="AC85" s="331"/>
      <c r="AD85" s="331"/>
      <c r="AE85" s="331"/>
      <c r="AF85" s="331"/>
      <c r="AG85" s="331"/>
      <c r="AH85" s="331"/>
      <c r="AI85" s="331"/>
      <c r="AJ85" s="331"/>
      <c r="AK85" s="331"/>
      <c r="AL85" s="331"/>
      <c r="AX85" s="251">
        <v>281250</v>
      </c>
      <c r="AY85" s="251">
        <v>232918</v>
      </c>
      <c r="AZ85" s="251">
        <v>286018</v>
      </c>
      <c r="BA85" s="251">
        <v>265160</v>
      </c>
      <c r="BB85" s="251">
        <v>273027</v>
      </c>
      <c r="BC85" s="251">
        <v>304083</v>
      </c>
      <c r="BD85" s="251">
        <v>306432</v>
      </c>
      <c r="BE85" s="251">
        <v>288949</v>
      </c>
      <c r="BF85" s="251">
        <v>293570</v>
      </c>
      <c r="BG85" s="251">
        <v>284658</v>
      </c>
      <c r="BH85" s="251">
        <v>287411</v>
      </c>
      <c r="BI85" s="251">
        <v>314534</v>
      </c>
      <c r="BJ85" s="251">
        <v>292025</v>
      </c>
      <c r="BK85" s="251">
        <v>252971</v>
      </c>
      <c r="BL85" s="251">
        <v>314668</v>
      </c>
      <c r="BM85" s="251">
        <v>271397</v>
      </c>
      <c r="BN85" s="278">
        <v>302190</v>
      </c>
      <c r="BO85" s="251">
        <v>298117</v>
      </c>
      <c r="BP85" s="251">
        <v>303273</v>
      </c>
      <c r="BQ85" s="251">
        <v>295210</v>
      </c>
      <c r="BR85" s="251">
        <v>306828</v>
      </c>
      <c r="BS85" s="251">
        <v>274647</v>
      </c>
      <c r="BT85" s="251">
        <v>289869</v>
      </c>
      <c r="BU85" s="251">
        <v>305724</v>
      </c>
      <c r="BV85" s="251">
        <v>271228</v>
      </c>
      <c r="BW85" s="251">
        <v>263389</v>
      </c>
      <c r="BX85" s="251">
        <v>297488</v>
      </c>
      <c r="BY85" s="251">
        <v>273351</v>
      </c>
      <c r="BZ85" s="251">
        <v>303694</v>
      </c>
      <c r="CA85" s="251">
        <f>AVERAGE(BO85:BZ85)</f>
        <v>290234.83333333331</v>
      </c>
      <c r="CB85" s="251">
        <v>282958</v>
      </c>
      <c r="CC85" s="251">
        <v>316969</v>
      </c>
      <c r="CD85" s="263">
        <v>294201</v>
      </c>
      <c r="CE85" s="263">
        <v>265695</v>
      </c>
      <c r="CF85" s="276">
        <v>291001</v>
      </c>
      <c r="CG85" s="276">
        <v>313452</v>
      </c>
      <c r="CH85" s="276">
        <v>275158</v>
      </c>
      <c r="CI85" s="276">
        <v>273373</v>
      </c>
      <c r="CJ85" s="276">
        <v>273373</v>
      </c>
      <c r="CL85" s="91" t="s">
        <v>43</v>
      </c>
      <c r="CM85" s="93">
        <f>INDEX($2:$2,COUNTA($2:$2)-7)</f>
        <v>42125</v>
      </c>
      <c r="CN85" s="95" t="s">
        <v>302</v>
      </c>
      <c r="CO85" s="94">
        <f>INDEX($30:$30,COUNTA($2:$2)-7)</f>
        <v>2</v>
      </c>
      <c r="CP85" s="94">
        <f>INDEX($32:$32,COUNTA($2:$2)-7)</f>
        <v>0.58078380094084359</v>
      </c>
      <c r="CQ85" s="83" t="str">
        <f t="shared" si="10"/>
        <v>May</v>
      </c>
      <c r="CR85" s="91">
        <f t="shared" si="11"/>
        <v>2015</v>
      </c>
      <c r="CS85" s="91"/>
      <c r="CT85" s="91"/>
      <c r="CU85" s="91"/>
      <c r="CV85" s="91"/>
      <c r="CW85" s="91"/>
      <c r="CX85" s="91"/>
      <c r="CY85" s="91"/>
      <c r="CZ85" s="91"/>
    </row>
    <row r="86" spans="1:113" x14ac:dyDescent="0.2">
      <c r="A86" s="266" t="s">
        <v>158</v>
      </c>
      <c r="AC86" s="331"/>
      <c r="AD86" s="331"/>
      <c r="AE86" s="282" t="s">
        <v>159</v>
      </c>
      <c r="AF86" s="282" t="s">
        <v>128</v>
      </c>
      <c r="AG86" s="282" t="s">
        <v>159</v>
      </c>
      <c r="AH86" s="282" t="s">
        <v>128</v>
      </c>
      <c r="AI86" s="282" t="s">
        <v>159</v>
      </c>
      <c r="AJ86" s="282" t="s">
        <v>128</v>
      </c>
      <c r="AK86" s="282" t="s">
        <v>159</v>
      </c>
      <c r="AL86" s="282" t="s">
        <v>159</v>
      </c>
      <c r="BC86" s="251">
        <v>82206.25</v>
      </c>
      <c r="BD86" s="251">
        <v>83995.31</v>
      </c>
      <c r="BE86" s="251">
        <v>78584.53</v>
      </c>
      <c r="BF86" s="251">
        <v>81534.16</v>
      </c>
      <c r="BG86" s="251">
        <v>75978.14</v>
      </c>
      <c r="BH86" s="251">
        <v>74479.63</v>
      </c>
      <c r="BI86" s="251">
        <v>82129.960000000006</v>
      </c>
      <c r="BJ86" s="251">
        <v>74571.540000000008</v>
      </c>
      <c r="BK86" s="251">
        <v>71271</v>
      </c>
      <c r="BL86" s="251">
        <f>[3]Data!DT67</f>
        <v>90643.15</v>
      </c>
      <c r="BM86" s="251">
        <f>[3]Data!DU67</f>
        <v>68001</v>
      </c>
      <c r="BN86" s="251">
        <f>[3]Data!DV67</f>
        <v>76001</v>
      </c>
      <c r="BO86" s="251">
        <f>[3]Data!DW67</f>
        <v>73195</v>
      </c>
      <c r="BP86" s="251">
        <f>[3]Data!DX67</f>
        <v>74634</v>
      </c>
      <c r="BQ86" s="251">
        <f>[3]Data!DY67</f>
        <v>73312.869999999966</v>
      </c>
      <c r="BR86" s="251">
        <f>[3]Data!DZ67</f>
        <v>75858</v>
      </c>
      <c r="BS86" s="251">
        <f>[3]Data!EA67</f>
        <v>70215</v>
      </c>
      <c r="BT86" s="251">
        <f>[3]Data!EB67</f>
        <v>70987</v>
      </c>
      <c r="BU86" s="251">
        <f>[3]Data!EC67</f>
        <v>76488</v>
      </c>
      <c r="BV86" s="251">
        <f>[3]Data!ED67</f>
        <v>66512</v>
      </c>
      <c r="BW86" s="251">
        <f>[3]Data!EE67</f>
        <v>66108</v>
      </c>
      <c r="BX86" s="251">
        <f>[3]Data!EF67</f>
        <v>65646</v>
      </c>
      <c r="BY86" s="251">
        <f>[3]Data!EG67</f>
        <v>59754</v>
      </c>
      <c r="BZ86" s="251">
        <f>[3]Data!EH67</f>
        <v>68300</v>
      </c>
      <c r="CA86" s="251">
        <f>[3]Data!EI67</f>
        <v>59483</v>
      </c>
      <c r="CB86" s="251">
        <f>[3]Data!EJ67</f>
        <v>63411</v>
      </c>
      <c r="CC86" s="251">
        <f>[3]Data!EK67</f>
        <v>64617</v>
      </c>
      <c r="CD86" s="263">
        <f>[3]Data!EL67</f>
        <v>62504</v>
      </c>
      <c r="CE86" s="263">
        <f>[3]Data!EM67</f>
        <v>59226</v>
      </c>
      <c r="CF86" s="263">
        <f>[3]Data!EN67</f>
        <v>58846</v>
      </c>
      <c r="CG86" s="263">
        <f>[3]Data!EO67</f>
        <v>59531</v>
      </c>
      <c r="CH86" s="263">
        <v>63817</v>
      </c>
      <c r="CI86" s="263">
        <v>69265</v>
      </c>
      <c r="CJ86" s="263">
        <v>69265</v>
      </c>
      <c r="CL86" s="91" t="s">
        <v>43</v>
      </c>
      <c r="CM86" s="93">
        <f>INDEX($2:$2,COUNTA($2:$2)-6)</f>
        <v>42156</v>
      </c>
      <c r="CN86" s="95" t="s">
        <v>302</v>
      </c>
      <c r="CO86" s="94">
        <f>INDEX($30:$30,COUNTA($2:$2)-6)</f>
        <v>1</v>
      </c>
      <c r="CP86" s="94">
        <f>INDEX($32:$32,COUNTA($2:$2)-6)</f>
        <v>0.67691597391730574</v>
      </c>
      <c r="CQ86" s="83" t="str">
        <f t="shared" si="10"/>
        <v>June</v>
      </c>
      <c r="CR86" s="91">
        <f t="shared" si="11"/>
        <v>2015</v>
      </c>
      <c r="CS86" s="91"/>
      <c r="CT86" s="91"/>
      <c r="CU86" s="91"/>
      <c r="CV86" s="91"/>
      <c r="CW86" s="91"/>
      <c r="CX86" s="91"/>
      <c r="CY86" s="91"/>
      <c r="CZ86" s="91"/>
    </row>
    <row r="87" spans="1:113" ht="15" x14ac:dyDescent="0.25">
      <c r="A87" s="266" t="s">
        <v>160</v>
      </c>
      <c r="AC87" s="251" t="s">
        <v>161</v>
      </c>
      <c r="AE87" s="271">
        <v>2.12</v>
      </c>
      <c r="AF87" s="271">
        <v>2.74</v>
      </c>
      <c r="AG87" s="271">
        <v>2.5299999999999998</v>
      </c>
      <c r="AH87" s="271">
        <v>2.88</v>
      </c>
      <c r="AI87" s="271">
        <v>0</v>
      </c>
      <c r="AJ87" s="271">
        <v>0</v>
      </c>
      <c r="AK87" s="265">
        <f>AJ66</f>
        <v>1.3732296209291179</v>
      </c>
      <c r="AL87" s="265">
        <f>AK66</f>
        <v>1.4574031571542418</v>
      </c>
      <c r="BC87" s="251">
        <v>198991</v>
      </c>
      <c r="BD87" s="251">
        <v>200198</v>
      </c>
      <c r="BE87" s="251">
        <v>188609</v>
      </c>
      <c r="BF87" s="251">
        <v>192530</v>
      </c>
      <c r="BG87" s="251">
        <v>184765</v>
      </c>
      <c r="BH87" s="251">
        <v>188612</v>
      </c>
      <c r="BI87" s="251">
        <v>200000</v>
      </c>
      <c r="BJ87" s="251">
        <v>185741</v>
      </c>
      <c r="BK87" s="251">
        <v>160426</v>
      </c>
      <c r="BL87" s="251">
        <v>206821</v>
      </c>
      <c r="BM87" s="251">
        <v>178556</v>
      </c>
      <c r="BN87" s="278">
        <v>205243</v>
      </c>
      <c r="BO87" s="251">
        <v>198541</v>
      </c>
      <c r="BP87" s="251">
        <v>206161</v>
      </c>
      <c r="BQ87" s="251">
        <v>198059</v>
      </c>
      <c r="BR87" s="251">
        <v>201134</v>
      </c>
      <c r="BS87" s="251">
        <v>188995</v>
      </c>
      <c r="BT87" s="251">
        <v>206162</v>
      </c>
      <c r="BU87" s="251">
        <v>212782</v>
      </c>
      <c r="BV87" s="251">
        <v>188187</v>
      </c>
      <c r="BW87" s="251">
        <v>181677</v>
      </c>
      <c r="BX87" s="251">
        <v>209444</v>
      </c>
      <c r="BY87" s="251">
        <v>193084</v>
      </c>
      <c r="BZ87" s="251">
        <v>217872</v>
      </c>
      <c r="CA87" s="251">
        <f>AVERAGE(BO87:BZ87)</f>
        <v>200174.83333333334</v>
      </c>
      <c r="CB87" s="251">
        <v>205316</v>
      </c>
      <c r="CC87" s="251">
        <v>212046</v>
      </c>
      <c r="CD87" s="263">
        <v>204287</v>
      </c>
      <c r="CE87" s="263">
        <v>192858</v>
      </c>
      <c r="CF87" s="276">
        <v>208515</v>
      </c>
      <c r="CG87" s="278">
        <v>211645</v>
      </c>
      <c r="CH87" s="278">
        <v>203575</v>
      </c>
      <c r="CI87" s="278">
        <v>190527</v>
      </c>
      <c r="CJ87" s="278">
        <v>190527</v>
      </c>
      <c r="CL87" s="91" t="s">
        <v>43</v>
      </c>
      <c r="CM87" s="93">
        <f>INDEX($2:$2,COUNTA($2:$2)-5)</f>
        <v>42186</v>
      </c>
      <c r="CN87" s="95" t="s">
        <v>302</v>
      </c>
      <c r="CO87" s="94">
        <f>INDEX($30:$30,COUNTA($2:$2)-5)</f>
        <v>1</v>
      </c>
      <c r="CP87" s="94">
        <f>INDEX($32:$32,COUNTA($2:$2)-5)</f>
        <v>0.64835847743922514</v>
      </c>
      <c r="CQ87" s="83" t="str">
        <f t="shared" ref="CQ87:CQ150" si="95">CHOOSE(MONTH(CM87),"January","February","March","April","May","June","July","August","September","October","November","December")</f>
        <v>July</v>
      </c>
      <c r="CR87" s="91">
        <f t="shared" ref="CR87:CR150" si="96">YEAR(CM87)</f>
        <v>2015</v>
      </c>
      <c r="CS87" s="91"/>
      <c r="CT87" s="91"/>
      <c r="CU87" s="91"/>
      <c r="CV87" s="91"/>
      <c r="CW87" s="91"/>
      <c r="CX87" s="91"/>
      <c r="CY87" s="91"/>
      <c r="CZ87" s="91"/>
      <c r="DC87" s="72" t="s">
        <v>41</v>
      </c>
      <c r="DD87" s="1" t="s">
        <v>121</v>
      </c>
    </row>
    <row r="88" spans="1:113" s="89" customFormat="1" ht="15" x14ac:dyDescent="0.25">
      <c r="A88" s="330" t="s">
        <v>162</v>
      </c>
      <c r="B88" s="281"/>
      <c r="C88" s="281"/>
      <c r="D88" s="281"/>
      <c r="E88" s="281"/>
      <c r="F88" s="281"/>
      <c r="G88" s="281"/>
      <c r="H88" s="281"/>
      <c r="I88" s="281"/>
      <c r="J88" s="281"/>
      <c r="K88" s="281"/>
      <c r="L88" s="281"/>
      <c r="M88" s="281"/>
      <c r="N88" s="281"/>
      <c r="O88" s="281"/>
      <c r="P88" s="281"/>
      <c r="Q88" s="281"/>
      <c r="R88" s="281"/>
      <c r="S88" s="281"/>
      <c r="T88" s="281"/>
      <c r="U88" s="281"/>
      <c r="V88" s="281"/>
      <c r="W88" s="281"/>
      <c r="X88" s="281"/>
      <c r="Y88" s="281"/>
      <c r="Z88" s="281"/>
      <c r="AA88" s="281"/>
      <c r="AB88" s="281"/>
      <c r="AC88" s="281" t="s">
        <v>163</v>
      </c>
      <c r="AD88" s="281"/>
      <c r="AE88" s="283">
        <v>1.21</v>
      </c>
      <c r="AF88" s="283">
        <v>1.28</v>
      </c>
      <c r="AG88" s="283">
        <v>1.07</v>
      </c>
      <c r="AH88" s="283">
        <v>1.23</v>
      </c>
      <c r="AI88" s="283">
        <v>0</v>
      </c>
      <c r="AJ88" s="283">
        <v>0</v>
      </c>
      <c r="AK88" s="284">
        <f>AJ71</f>
        <v>1.0402150429623549</v>
      </c>
      <c r="AL88" s="284">
        <f>AK71</f>
        <v>1.2314066257834537</v>
      </c>
      <c r="AM88" s="281"/>
      <c r="AN88" s="281"/>
      <c r="AO88" s="281"/>
      <c r="AP88" s="281"/>
      <c r="AQ88" s="281"/>
      <c r="AR88" s="281"/>
      <c r="AS88" s="281"/>
      <c r="AT88" s="281"/>
      <c r="AU88" s="281"/>
      <c r="AV88" s="281"/>
      <c r="AW88" s="281"/>
      <c r="AX88" s="281"/>
      <c r="AY88" s="281"/>
      <c r="AZ88" s="281"/>
      <c r="BA88" s="281"/>
      <c r="BB88" s="281"/>
      <c r="BC88" s="281"/>
      <c r="BD88" s="281"/>
      <c r="BE88" s="281"/>
      <c r="BF88" s="281"/>
      <c r="BG88" s="281"/>
      <c r="BH88" s="281"/>
      <c r="BI88" s="281"/>
      <c r="BJ88" s="281"/>
      <c r="BK88" s="281"/>
      <c r="BL88" s="281"/>
      <c r="BM88" s="281"/>
      <c r="BN88" s="281"/>
      <c r="BO88" s="281"/>
      <c r="BP88" s="281"/>
      <c r="BQ88" s="281"/>
      <c r="BR88" s="281"/>
      <c r="BS88" s="281"/>
      <c r="BT88" s="281"/>
      <c r="BU88" s="281"/>
      <c r="BV88" s="281"/>
      <c r="BW88" s="281"/>
      <c r="BX88" s="281"/>
      <c r="BY88" s="281"/>
      <c r="BZ88" s="281"/>
      <c r="CA88" s="281"/>
      <c r="CB88" s="281"/>
      <c r="CC88" s="281"/>
      <c r="CD88" s="281"/>
      <c r="CE88" s="281"/>
      <c r="CF88" s="281"/>
      <c r="CG88" s="281"/>
      <c r="CH88" s="281"/>
      <c r="CI88" s="281"/>
      <c r="CJ88" s="281"/>
      <c r="CL88" s="91" t="s">
        <v>43</v>
      </c>
      <c r="CM88" s="93">
        <f>INDEX($2:$2,COUNTA($2:$2)-4)</f>
        <v>42217</v>
      </c>
      <c r="CN88" s="95" t="s">
        <v>302</v>
      </c>
      <c r="CO88" s="94">
        <f>INDEX($30:$30,COUNTA($2:$2)-4)</f>
        <v>0</v>
      </c>
      <c r="CP88" s="94">
        <f>INDEX($32:$32,COUNTA($2:$2)-4)</f>
        <v>0.6577562711105408</v>
      </c>
      <c r="CQ88" s="83" t="str">
        <f t="shared" si="95"/>
        <v>August</v>
      </c>
      <c r="CR88" s="91">
        <f t="shared" si="96"/>
        <v>2015</v>
      </c>
      <c r="CS88" s="91"/>
      <c r="CT88" s="91"/>
      <c r="CU88" s="91"/>
      <c r="CV88" s="91"/>
      <c r="CW88" s="91"/>
      <c r="CX88" s="91"/>
      <c r="CY88" s="91"/>
      <c r="CZ88" s="91"/>
      <c r="DC88" s="72" t="s">
        <v>2</v>
      </c>
      <c r="DD88" s="1" t="s">
        <v>121</v>
      </c>
    </row>
    <row r="89" spans="1:113" ht="15" x14ac:dyDescent="0.25">
      <c r="A89" s="266" t="s">
        <v>164</v>
      </c>
      <c r="B89" s="281"/>
      <c r="C89" s="281"/>
      <c r="D89" s="281"/>
      <c r="E89" s="281"/>
      <c r="F89" s="281"/>
      <c r="G89" s="281"/>
      <c r="H89" s="281"/>
      <c r="I89" s="281"/>
      <c r="J89" s="281"/>
      <c r="K89" s="281"/>
      <c r="L89" s="281"/>
      <c r="M89" s="281"/>
      <c r="O89" s="281"/>
      <c r="P89" s="281"/>
      <c r="Q89" s="281"/>
      <c r="R89" s="281"/>
      <c r="S89" s="281"/>
      <c r="T89" s="281"/>
      <c r="U89" s="281"/>
      <c r="V89" s="281"/>
      <c r="W89" s="281"/>
      <c r="X89" s="281"/>
      <c r="Y89" s="281"/>
      <c r="Z89" s="281"/>
      <c r="AA89" s="281"/>
      <c r="AB89" s="281"/>
      <c r="AC89" s="281" t="s">
        <v>165</v>
      </c>
      <c r="AD89" s="281"/>
      <c r="AE89" s="283">
        <v>1.35</v>
      </c>
      <c r="AF89" s="283">
        <v>0.99</v>
      </c>
      <c r="AG89" s="283">
        <v>0.71</v>
      </c>
      <c r="AH89" s="283">
        <v>0.53</v>
      </c>
      <c r="AI89" s="283">
        <v>0</v>
      </c>
      <c r="AJ89" s="283">
        <v>0</v>
      </c>
      <c r="AK89" s="284">
        <f>AJ74</f>
        <v>1.5850895892759693</v>
      </c>
      <c r="AL89" s="284">
        <f>AK74</f>
        <v>1.4879496728216732</v>
      </c>
      <c r="AM89" s="281"/>
      <c r="AN89" s="281"/>
      <c r="AO89" s="281"/>
      <c r="AP89" s="281"/>
      <c r="AQ89" s="281"/>
      <c r="AR89" s="281"/>
      <c r="AS89" s="281"/>
      <c r="AT89" s="281"/>
      <c r="AU89" s="281"/>
      <c r="AV89" s="281"/>
      <c r="AW89" s="281"/>
      <c r="AX89" s="281"/>
      <c r="AY89" s="281"/>
      <c r="AZ89" s="281"/>
      <c r="BA89" s="281"/>
      <c r="BB89" s="281"/>
      <c r="BC89" s="281"/>
      <c r="BD89" s="281"/>
      <c r="BE89" s="281"/>
      <c r="BF89" s="281"/>
      <c r="BG89" s="281"/>
      <c r="BH89" s="281"/>
      <c r="BI89" s="281"/>
      <c r="BJ89" s="281"/>
      <c r="BK89" s="281"/>
      <c r="BL89" s="251">
        <f>[3]Data!DT69</f>
        <v>311097.57</v>
      </c>
      <c r="BM89" s="251">
        <f>[3]Data!DU69</f>
        <v>234523.87</v>
      </c>
      <c r="BN89" s="251">
        <f>[3]Data!DV69</f>
        <v>227953.26</v>
      </c>
      <c r="BO89" s="251">
        <f>[3]Data!DW69</f>
        <v>238015.49</v>
      </c>
      <c r="BP89" s="251">
        <f>[3]Data!DX69</f>
        <v>230064.3</v>
      </c>
      <c r="BQ89" s="251">
        <f>[3]Data!DY69</f>
        <v>231116.6</v>
      </c>
      <c r="BR89" s="251">
        <f>[3]Data!DZ69</f>
        <v>229248.77000000002</v>
      </c>
      <c r="BS89" s="251">
        <f>[3]Data!EA69</f>
        <v>349522.02</v>
      </c>
      <c r="BT89" s="251">
        <f>[3]Data!EB69</f>
        <v>234517.84999999995</v>
      </c>
      <c r="BU89" s="251">
        <f>[3]Data!EC69</f>
        <v>250178.9</v>
      </c>
      <c r="BV89" s="251">
        <f>[3]Data!ED69</f>
        <v>245225</v>
      </c>
      <c r="BW89" s="251">
        <f>[3]Data!EE69</f>
        <v>252859.47</v>
      </c>
      <c r="BX89" s="251">
        <f>[3]Data!EF69</f>
        <v>362995.89999999997</v>
      </c>
      <c r="BY89" s="251">
        <f>[3]Data!EG69</f>
        <v>271021.71999999997</v>
      </c>
      <c r="BZ89" s="251">
        <f>[3]Data!EH69</f>
        <v>263043.00000000006</v>
      </c>
      <c r="CA89" s="251">
        <f>[3]Data!EI69</f>
        <v>265216.99999999994</v>
      </c>
      <c r="CB89" s="251">
        <f>[3]Data!EJ69</f>
        <v>280349.32</v>
      </c>
      <c r="CC89" s="251">
        <f>[3]Data!EK69</f>
        <v>269135.90000000002</v>
      </c>
      <c r="CD89" s="251">
        <f>[3]Data!EL69</f>
        <v>473254.53</v>
      </c>
      <c r="CE89" s="251">
        <f>[3]Data!EM69</f>
        <v>269824.59999999998</v>
      </c>
      <c r="CF89" s="251">
        <f>[3]Data!EN69</f>
        <v>272687.57</v>
      </c>
      <c r="CG89" s="251">
        <f>[3]Data!EO69</f>
        <v>291500.21999999997</v>
      </c>
      <c r="CH89" s="251">
        <v>327986.31660000002</v>
      </c>
      <c r="CI89" s="251">
        <v>572698.07499999995</v>
      </c>
      <c r="CJ89" s="336">
        <v>522571.21399999998</v>
      </c>
      <c r="CL89" s="91" t="s">
        <v>43</v>
      </c>
      <c r="CM89" s="93">
        <f>INDEX($2:$2,COUNTA($2:$2)-3)</f>
        <v>42262</v>
      </c>
      <c r="CN89" s="95" t="s">
        <v>302</v>
      </c>
      <c r="CO89" s="94">
        <f>INDEX($30:$30,COUNTA($2:$2)-3)</f>
        <v>2</v>
      </c>
      <c r="CP89" s="94">
        <f>INDEX($32:$32,COUNTA($2:$2)-3)</f>
        <v>0.82424415643175986</v>
      </c>
      <c r="CQ89" s="83" t="str">
        <f t="shared" si="95"/>
        <v>September</v>
      </c>
      <c r="CR89" s="91">
        <f t="shared" si="96"/>
        <v>2015</v>
      </c>
      <c r="CS89" s="91"/>
      <c r="CT89" s="91"/>
      <c r="CU89" s="91"/>
      <c r="CV89" s="91"/>
      <c r="CW89" s="91"/>
      <c r="CX89" s="91"/>
      <c r="CY89" s="91"/>
      <c r="CZ89" s="91"/>
      <c r="DC89" s="72" t="s">
        <v>0</v>
      </c>
      <c r="DD89" s="1" t="s">
        <v>121</v>
      </c>
    </row>
    <row r="90" spans="1:113" x14ac:dyDescent="0.2">
      <c r="A90" s="266" t="s">
        <v>166</v>
      </c>
      <c r="B90" s="281"/>
      <c r="C90" s="281"/>
      <c r="D90" s="281"/>
      <c r="E90" s="281"/>
      <c r="F90" s="281"/>
      <c r="G90" s="281"/>
      <c r="H90" s="281"/>
      <c r="I90" s="281"/>
      <c r="J90" s="281"/>
      <c r="K90" s="281"/>
      <c r="L90" s="281"/>
      <c r="M90" s="281"/>
      <c r="O90" s="281"/>
      <c r="P90" s="281"/>
      <c r="Q90" s="281"/>
      <c r="R90" s="281"/>
      <c r="S90" s="281"/>
      <c r="T90" s="281"/>
      <c r="U90" s="281"/>
      <c r="V90" s="281"/>
      <c r="W90" s="281"/>
      <c r="X90" s="281"/>
      <c r="Y90" s="281"/>
      <c r="Z90" s="281"/>
      <c r="AA90" s="281"/>
      <c r="AB90" s="281"/>
      <c r="AC90" s="281" t="s">
        <v>167</v>
      </c>
      <c r="AD90" s="281"/>
      <c r="AE90" s="283">
        <v>0.49</v>
      </c>
      <c r="AF90" s="283">
        <v>0.56999999999999995</v>
      </c>
      <c r="AG90" s="283">
        <v>0.35</v>
      </c>
      <c r="AH90" s="283">
        <v>0.17</v>
      </c>
      <c r="AI90" s="283">
        <v>0</v>
      </c>
      <c r="AJ90" s="283">
        <v>2.85</v>
      </c>
      <c r="AK90" s="284">
        <f>AJ78</f>
        <v>0.54487454631361443</v>
      </c>
      <c r="AL90" s="284">
        <f>AK78</f>
        <v>0.51308609407643901</v>
      </c>
      <c r="AM90" s="281"/>
      <c r="AN90" s="281"/>
      <c r="AO90" s="281"/>
      <c r="AP90" s="281"/>
      <c r="AQ90" s="281"/>
      <c r="AR90" s="281"/>
      <c r="AS90" s="281"/>
      <c r="AT90" s="281"/>
      <c r="AU90" s="281"/>
      <c r="AV90" s="281"/>
      <c r="AW90" s="281"/>
      <c r="AX90" s="281"/>
      <c r="AY90" s="281"/>
      <c r="AZ90" s="281"/>
      <c r="BA90" s="281"/>
      <c r="BB90" s="281"/>
      <c r="BC90" s="281"/>
      <c r="BD90" s="281"/>
      <c r="BE90" s="281"/>
      <c r="BF90" s="281"/>
      <c r="BG90" s="281"/>
      <c r="BH90" s="281"/>
      <c r="BI90" s="281"/>
      <c r="BJ90" s="281"/>
      <c r="BK90" s="281"/>
      <c r="BL90" s="263">
        <v>635243</v>
      </c>
      <c r="BM90" s="263">
        <v>555677</v>
      </c>
      <c r="BN90" s="251">
        <v>621907</v>
      </c>
      <c r="BO90" s="251">
        <v>649448</v>
      </c>
      <c r="BP90" s="251">
        <v>658117</v>
      </c>
      <c r="BQ90" s="251">
        <v>658840</v>
      </c>
      <c r="BR90" s="251">
        <v>676091</v>
      </c>
      <c r="BS90" s="251">
        <v>603081</v>
      </c>
      <c r="BT90" s="251">
        <v>681808</v>
      </c>
      <c r="BU90" s="251">
        <v>709891</v>
      </c>
      <c r="BV90" s="251">
        <v>1068849</v>
      </c>
      <c r="BW90" s="251">
        <v>986910</v>
      </c>
      <c r="BX90" s="251">
        <v>1104881</v>
      </c>
      <c r="BY90" s="251">
        <v>970712</v>
      </c>
      <c r="BZ90" s="251">
        <v>1176334</v>
      </c>
      <c r="CA90" s="251">
        <v>1184149</v>
      </c>
      <c r="CB90" s="263">
        <v>1117158</v>
      </c>
      <c r="CC90" s="263">
        <v>1189013</v>
      </c>
      <c r="CD90" s="263">
        <v>1116769</v>
      </c>
      <c r="CE90" s="263">
        <v>1041040</v>
      </c>
      <c r="CF90" s="263">
        <v>1144070</v>
      </c>
      <c r="CG90" s="251">
        <v>1165464</v>
      </c>
      <c r="CH90" s="251">
        <v>1164193</v>
      </c>
      <c r="CI90" s="251">
        <v>1024767</v>
      </c>
      <c r="CJ90" s="251">
        <v>1024767</v>
      </c>
      <c r="CL90" s="91" t="s">
        <v>43</v>
      </c>
      <c r="CM90" s="93">
        <f>INDEX($2:$2,COUNTA($2:$2)-2)</f>
        <v>42292</v>
      </c>
      <c r="CN90" s="95" t="s">
        <v>302</v>
      </c>
      <c r="CO90" s="94">
        <f>INDEX($30:$30,COUNTA($2:$2)-2)</f>
        <v>2</v>
      </c>
      <c r="CP90" s="94">
        <f>INDEX($32:$32,COUNTA($2:$2)-2)</f>
        <v>0.98450330490375704</v>
      </c>
      <c r="CQ90" s="83" t="str">
        <f t="shared" si="95"/>
        <v>October</v>
      </c>
      <c r="CR90" s="91">
        <f t="shared" si="96"/>
        <v>2015</v>
      </c>
      <c r="CS90" s="91"/>
      <c r="CT90" s="91"/>
      <c r="CU90" s="91"/>
      <c r="CV90" s="91"/>
      <c r="CW90" s="91"/>
      <c r="CX90" s="91"/>
      <c r="CY90" s="91"/>
      <c r="CZ90" s="91"/>
    </row>
    <row r="91" spans="1:113" ht="15" x14ac:dyDescent="0.25">
      <c r="A91" s="266" t="s">
        <v>168</v>
      </c>
      <c r="B91" s="281"/>
      <c r="C91" s="281"/>
      <c r="D91" s="281"/>
      <c r="E91" s="281"/>
      <c r="F91" s="281"/>
      <c r="G91" s="281"/>
      <c r="H91" s="281"/>
      <c r="I91" s="281"/>
      <c r="J91" s="281"/>
      <c r="K91" s="281"/>
      <c r="L91" s="281"/>
      <c r="M91" s="281"/>
      <c r="O91" s="281"/>
      <c r="P91" s="281"/>
      <c r="Q91" s="281"/>
      <c r="R91" s="281"/>
      <c r="S91" s="281"/>
      <c r="T91" s="281"/>
      <c r="U91" s="281"/>
      <c r="V91" s="281"/>
      <c r="W91" s="281"/>
      <c r="X91" s="281"/>
      <c r="Y91" s="281"/>
      <c r="Z91" s="281"/>
      <c r="AA91" s="281"/>
      <c r="AB91" s="281"/>
      <c r="AC91" s="281"/>
      <c r="AD91" s="281"/>
      <c r="AE91" s="281"/>
      <c r="AF91" s="281"/>
      <c r="AG91" s="281"/>
      <c r="AH91" s="281"/>
      <c r="AI91" s="281"/>
      <c r="AJ91" s="281"/>
      <c r="AK91" s="281"/>
      <c r="AL91" s="281"/>
      <c r="AM91" s="281"/>
      <c r="AN91" s="281"/>
      <c r="AO91" s="281"/>
      <c r="AP91" s="281"/>
      <c r="AQ91" s="281"/>
      <c r="AR91" s="281"/>
      <c r="AS91" s="281"/>
      <c r="AT91" s="281"/>
      <c r="AU91" s="281"/>
      <c r="AV91" s="281"/>
      <c r="AW91" s="281"/>
      <c r="AX91" s="281"/>
      <c r="AY91" s="281"/>
      <c r="AZ91" s="281"/>
      <c r="BA91" s="281"/>
      <c r="BB91" s="281"/>
      <c r="BC91" s="281"/>
      <c r="BD91" s="281"/>
      <c r="BE91" s="281"/>
      <c r="BF91" s="281"/>
      <c r="BG91" s="281"/>
      <c r="BH91" s="281"/>
      <c r="BI91" s="281"/>
      <c r="BJ91" s="281"/>
      <c r="BK91" s="281"/>
      <c r="BL91" s="263">
        <f>[3]Data!DT70</f>
        <v>195885.26</v>
      </c>
      <c r="BM91" s="263">
        <f>[3]Data!DU70</f>
        <v>171335.38999999996</v>
      </c>
      <c r="BN91" s="251">
        <f>[3]Data!DV70</f>
        <v>183324.77999999997</v>
      </c>
      <c r="BO91" s="251">
        <f>[3]Data!DW70</f>
        <v>195579.36999999988</v>
      </c>
      <c r="BP91" s="251">
        <v>217013.65</v>
      </c>
      <c r="BQ91" s="251">
        <v>182841.25999999995</v>
      </c>
      <c r="BR91" s="251">
        <v>213679.61000000002</v>
      </c>
      <c r="BS91" s="251">
        <v>181943.05</v>
      </c>
      <c r="BT91" s="251">
        <v>186687.56000000006</v>
      </c>
      <c r="BU91" s="251">
        <v>187337.45000000016</v>
      </c>
      <c r="BV91" s="251">
        <v>168239.35000000006</v>
      </c>
      <c r="BW91" s="251">
        <f>[3]Data!EE70</f>
        <v>189581.2</v>
      </c>
      <c r="BX91" s="251">
        <f>[3]Data!EF70</f>
        <v>169260.02009999994</v>
      </c>
      <c r="BY91" s="251">
        <f>[3]Data!EG70</f>
        <v>147122.60000000006</v>
      </c>
      <c r="BZ91" s="251">
        <f>[3]Data!EH70</f>
        <v>162917.79999999984</v>
      </c>
      <c r="CA91" s="251">
        <f>[3]Data!EI70</f>
        <v>156823.61999999994</v>
      </c>
      <c r="CB91" s="251">
        <f>[3]Data!EJ70</f>
        <v>155033.65999999997</v>
      </c>
      <c r="CC91" s="251">
        <f>[3]Data!EK70</f>
        <v>163258</v>
      </c>
      <c r="CD91" s="251">
        <f>[3]Data!EL70</f>
        <v>167358.14000000001</v>
      </c>
      <c r="CE91" s="251">
        <f>[3]Data!EM70</f>
        <v>154596.5</v>
      </c>
      <c r="CF91" s="251">
        <f>[3]Data!EN70</f>
        <v>157517.14000000001</v>
      </c>
      <c r="CG91" s="251">
        <f>[3]Data!EO70</f>
        <v>154022.76</v>
      </c>
      <c r="CH91" s="251">
        <f>[3]Data!EP70</f>
        <v>154022.76</v>
      </c>
      <c r="CI91" s="251">
        <f>[3]Data!EQ70</f>
        <v>154022.76</v>
      </c>
      <c r="CJ91" s="336">
        <v>149142.48000000001</v>
      </c>
      <c r="CL91" s="91" t="s">
        <v>43</v>
      </c>
      <c r="CM91" s="93">
        <f>INDEX($2:$2,COUNTA($2:$2)-1)</f>
        <v>42323</v>
      </c>
      <c r="CN91" s="95" t="s">
        <v>302</v>
      </c>
      <c r="CO91" s="94">
        <f>INDEX($30:$30,COUNTA($2:$2)-1)</f>
        <v>0</v>
      </c>
      <c r="CP91" s="94">
        <f>INDEX($32:$32,COUNTA($2:$2)-1)</f>
        <v>0.94142112872215578</v>
      </c>
      <c r="CQ91" s="83" t="str">
        <f t="shared" si="95"/>
        <v>November</v>
      </c>
      <c r="CR91" s="91">
        <f t="shared" si="96"/>
        <v>2015</v>
      </c>
      <c r="CS91" s="91"/>
      <c r="CT91" s="91"/>
      <c r="CU91" s="91"/>
      <c r="CV91" s="91"/>
      <c r="CW91" s="91"/>
      <c r="CX91" s="91"/>
      <c r="CY91" s="91"/>
      <c r="CZ91" s="91"/>
      <c r="DC91" s="72" t="s">
        <v>120</v>
      </c>
      <c r="DD91" s="1" t="s">
        <v>317</v>
      </c>
      <c r="DE91" s="1" t="s">
        <v>319</v>
      </c>
    </row>
    <row r="92" spans="1:113" ht="15" x14ac:dyDescent="0.25">
      <c r="A92" s="266" t="s">
        <v>169</v>
      </c>
      <c r="B92" s="281"/>
      <c r="C92" s="281"/>
      <c r="D92" s="281"/>
      <c r="E92" s="281"/>
      <c r="F92" s="281"/>
      <c r="G92" s="281"/>
      <c r="H92" s="281"/>
      <c r="I92" s="281"/>
      <c r="J92" s="281"/>
      <c r="K92" s="281"/>
      <c r="L92" s="281"/>
      <c r="M92" s="281"/>
      <c r="O92" s="281"/>
      <c r="P92" s="281"/>
      <c r="Q92" s="281"/>
      <c r="R92" s="281"/>
      <c r="S92" s="281"/>
      <c r="T92" s="281"/>
      <c r="U92" s="281"/>
      <c r="V92" s="281"/>
      <c r="W92" s="281"/>
      <c r="X92" s="281"/>
      <c r="Y92" s="281"/>
      <c r="Z92" s="281"/>
      <c r="AA92" s="281"/>
      <c r="AB92" s="281"/>
      <c r="AC92" s="281"/>
      <c r="AD92" s="281"/>
      <c r="AE92" s="281"/>
      <c r="AF92" s="281"/>
      <c r="AG92" s="281"/>
      <c r="AH92" s="281"/>
      <c r="AI92" s="281"/>
      <c r="AJ92" s="281"/>
      <c r="AK92" s="281"/>
      <c r="AL92" s="281"/>
      <c r="AM92" s="281"/>
      <c r="AN92" s="281"/>
      <c r="AO92" s="281"/>
      <c r="AP92" s="281"/>
      <c r="AQ92" s="281"/>
      <c r="AR92" s="281"/>
      <c r="AS92" s="281"/>
      <c r="AT92" s="281"/>
      <c r="AU92" s="281"/>
      <c r="AV92" s="281"/>
      <c r="AW92" s="281"/>
      <c r="AX92" s="281"/>
      <c r="AY92" s="281"/>
      <c r="AZ92" s="281"/>
      <c r="BA92" s="281"/>
      <c r="BB92" s="281"/>
      <c r="BC92" s="281"/>
      <c r="BD92" s="281"/>
      <c r="BE92" s="281"/>
      <c r="BF92" s="281"/>
      <c r="BG92" s="281"/>
      <c r="BH92" s="281"/>
      <c r="BI92" s="281"/>
      <c r="BJ92" s="281"/>
      <c r="BK92" s="281"/>
      <c r="BL92" s="263">
        <v>403395</v>
      </c>
      <c r="BM92" s="263">
        <v>352786</v>
      </c>
      <c r="BN92" s="251">
        <v>387025</v>
      </c>
      <c r="BO92" s="251">
        <v>427860</v>
      </c>
      <c r="BP92" s="251">
        <v>439253</v>
      </c>
      <c r="BQ92" s="251">
        <v>413162</v>
      </c>
      <c r="BR92" s="251">
        <v>420688</v>
      </c>
      <c r="BS92" s="251">
        <v>369799</v>
      </c>
      <c r="BT92" s="251">
        <v>428361</v>
      </c>
      <c r="BU92" s="251">
        <v>434319</v>
      </c>
      <c r="BV92" s="285"/>
      <c r="BW92" s="285" t="s">
        <v>170</v>
      </c>
      <c r="BX92" s="285"/>
      <c r="BY92" s="285"/>
      <c r="BZ92" s="285"/>
      <c r="CA92" s="285"/>
      <c r="CB92" s="285"/>
      <c r="CC92" s="285"/>
      <c r="CD92" s="285"/>
      <c r="CE92" s="285"/>
      <c r="CF92" s="285"/>
      <c r="CG92" s="285"/>
      <c r="CH92" s="285"/>
      <c r="CI92" s="285"/>
      <c r="CJ92" s="285"/>
      <c r="CL92" s="91" t="s">
        <v>43</v>
      </c>
      <c r="CM92" s="93">
        <f>INDEX($2:$2,COUNTA($2:$2))</f>
        <v>42353</v>
      </c>
      <c r="CN92" s="95" t="s">
        <v>302</v>
      </c>
      <c r="CO92" s="94">
        <f>INDEX($30:$30,COUNTA($2:$2))</f>
        <v>2</v>
      </c>
      <c r="CP92" s="94">
        <f>INDEX($32:$32,COUNTA($2:$2))</f>
        <v>0.92837531399729878</v>
      </c>
      <c r="CQ92" s="83" t="str">
        <f t="shared" si="95"/>
        <v>December</v>
      </c>
      <c r="CR92" s="91">
        <f t="shared" si="96"/>
        <v>2015</v>
      </c>
      <c r="CS92" s="91"/>
      <c r="CT92" s="91"/>
      <c r="CU92" s="91"/>
      <c r="CV92" s="91"/>
      <c r="CW92" s="91"/>
      <c r="CX92" s="91"/>
      <c r="CY92" s="91"/>
      <c r="CZ92" s="91"/>
      <c r="DC92" s="73">
        <v>41671</v>
      </c>
      <c r="DD92" s="47">
        <v>4</v>
      </c>
      <c r="DE92" s="47">
        <v>56.898533477907293</v>
      </c>
    </row>
    <row r="93" spans="1:113" ht="15" x14ac:dyDescent="0.25">
      <c r="CL93" s="91" t="s">
        <v>43</v>
      </c>
      <c r="CM93" s="93">
        <f>INDEX($2:$2,COUNTA($2:$2)+1)</f>
        <v>42370</v>
      </c>
      <c r="CN93" s="95" t="s">
        <v>302</v>
      </c>
      <c r="CO93" s="94">
        <f>INDEX($30:$30,COUNTA($2:$2)+1)</f>
        <v>0</v>
      </c>
      <c r="CP93" s="94">
        <f>INDEX($32:$32,COUNTA($2:$2)+1)</f>
        <v>0.79689762697142352</v>
      </c>
      <c r="CQ93" s="83" t="str">
        <f t="shared" si="95"/>
        <v>January</v>
      </c>
      <c r="CR93" s="91">
        <f t="shared" si="96"/>
        <v>2016</v>
      </c>
      <c r="CS93" s="91"/>
      <c r="CT93" s="91"/>
      <c r="CU93" s="91"/>
      <c r="CV93" s="91"/>
      <c r="CW93" s="91"/>
      <c r="CX93" s="91"/>
      <c r="CY93" s="91"/>
      <c r="CZ93" s="91"/>
      <c r="DC93" s="73">
        <v>41699</v>
      </c>
      <c r="DD93" s="47">
        <v>8</v>
      </c>
      <c r="DE93" s="47">
        <v>54.994550653594771</v>
      </c>
    </row>
    <row r="94" spans="1:113" ht="15" x14ac:dyDescent="0.25">
      <c r="CL94" s="91" t="s">
        <v>43</v>
      </c>
      <c r="CM94" s="93">
        <f>INDEX($2:$2,COUNTA($2:$2)-22)</f>
        <v>41671</v>
      </c>
      <c r="CN94" s="95" t="s">
        <v>303</v>
      </c>
      <c r="CO94" s="94">
        <f>INDEX($33:$33,COUNTA($2:$2)-22)+INDEX($34:$34,COUNTA($2:$2)-22)</f>
        <v>0</v>
      </c>
      <c r="CP94" s="94">
        <f>INDEX($36:$36,COUNTA($2:$2)-22)</f>
        <v>0.48552363223647366</v>
      </c>
      <c r="CQ94" s="83" t="str">
        <f t="shared" si="95"/>
        <v>February</v>
      </c>
      <c r="CR94" s="91">
        <f t="shared" si="96"/>
        <v>2014</v>
      </c>
      <c r="CS94" s="91"/>
      <c r="CT94" s="91"/>
      <c r="CU94" s="91"/>
      <c r="CV94" s="91"/>
      <c r="CW94" s="91"/>
      <c r="CX94" s="91"/>
      <c r="CY94" s="91"/>
      <c r="CZ94" s="91"/>
      <c r="DC94" s="73">
        <v>41730</v>
      </c>
      <c r="DD94" s="47">
        <v>2</v>
      </c>
      <c r="DE94" s="47">
        <v>60.386278186274502</v>
      </c>
    </row>
    <row r="95" spans="1:113" ht="15" x14ac:dyDescent="0.25">
      <c r="CL95" s="91" t="s">
        <v>43</v>
      </c>
      <c r="CM95" s="93">
        <f>INDEX($2:$2,COUNTA($2:$2)-21)</f>
        <v>41699</v>
      </c>
      <c r="CN95" s="95" t="s">
        <v>303</v>
      </c>
      <c r="CO95" s="94">
        <f>INDEX($33:$33,COUNTA($2:$2)-21)+INDEX($34:$34,COUNTA($2:$2)-21)</f>
        <v>0</v>
      </c>
      <c r="CP95" s="94">
        <f>INDEX($36:$36,COUNTA($2:$2)-21)</f>
        <v>0.47639557355909473</v>
      </c>
      <c r="CQ95" s="83" t="str">
        <f t="shared" si="95"/>
        <v>March</v>
      </c>
      <c r="CR95" s="91">
        <f t="shared" si="96"/>
        <v>2014</v>
      </c>
      <c r="CS95" s="91"/>
      <c r="CT95" s="91"/>
      <c r="CU95" s="91"/>
      <c r="CV95" s="91"/>
      <c r="CW95" s="91"/>
      <c r="CX95" s="91"/>
      <c r="CY95" s="91"/>
      <c r="CZ95" s="91"/>
      <c r="DC95" s="73">
        <v>41760</v>
      </c>
      <c r="DD95" s="47">
        <v>2</v>
      </c>
      <c r="DE95" s="47">
        <v>72.319345238095238</v>
      </c>
    </row>
    <row r="96" spans="1:113" ht="15" x14ac:dyDescent="0.25">
      <c r="CL96" s="91" t="s">
        <v>43</v>
      </c>
      <c r="CM96" s="93">
        <f>INDEX($2:$2,COUNTA($2:$2)-20)</f>
        <v>41730</v>
      </c>
      <c r="CN96" s="95" t="s">
        <v>303</v>
      </c>
      <c r="CO96" s="94">
        <f>INDEX($33:$33,COUNTA($2:$2)-20)+INDEX($34:$34,COUNTA($2:$2)-20)</f>
        <v>1</v>
      </c>
      <c r="CP96" s="94">
        <f>INDEX($36:$36,COUNTA($2:$2)-20)</f>
        <v>0.5721371523939609</v>
      </c>
      <c r="CQ96" s="83" t="str">
        <f t="shared" si="95"/>
        <v>April</v>
      </c>
      <c r="CR96" s="91">
        <f t="shared" si="96"/>
        <v>2014</v>
      </c>
      <c r="CS96" s="91"/>
      <c r="CT96" s="91"/>
      <c r="CU96" s="91"/>
      <c r="CV96" s="91"/>
      <c r="CW96" s="91"/>
      <c r="CX96" s="91"/>
      <c r="CY96" s="91"/>
      <c r="CZ96" s="91"/>
      <c r="DC96" s="73">
        <v>41791</v>
      </c>
      <c r="DD96" s="47">
        <v>4</v>
      </c>
      <c r="DE96" s="47">
        <v>72.136050156739799</v>
      </c>
    </row>
    <row r="97" spans="90:109" ht="15" x14ac:dyDescent="0.25">
      <c r="CL97" s="91" t="s">
        <v>43</v>
      </c>
      <c r="CM97" s="93">
        <f>INDEX($2:$2,COUNTA($2:$2)-19)</f>
        <v>41760</v>
      </c>
      <c r="CN97" s="95" t="s">
        <v>303</v>
      </c>
      <c r="CO97" s="94">
        <f>INDEX($33:$33,COUNTA($2:$2)-19)+INDEX($34:$34,COUNTA($2:$2)-19)</f>
        <v>0</v>
      </c>
      <c r="CP97" s="94">
        <f>INDEX($36:$36,COUNTA($2:$2)-19)</f>
        <v>0.5744011465965928</v>
      </c>
      <c r="CQ97" s="83" t="str">
        <f t="shared" si="95"/>
        <v>May</v>
      </c>
      <c r="CR97" s="91">
        <f t="shared" si="96"/>
        <v>2014</v>
      </c>
      <c r="CS97" s="91"/>
      <c r="CT97" s="91"/>
      <c r="CU97" s="91"/>
      <c r="CV97" s="91"/>
      <c r="CW97" s="91"/>
      <c r="CX97" s="91"/>
      <c r="CY97" s="91"/>
      <c r="CZ97" s="91"/>
      <c r="DC97" s="73">
        <v>41821</v>
      </c>
      <c r="DD97" s="47">
        <v>6</v>
      </c>
      <c r="DE97" s="47">
        <v>71.186104980192425</v>
      </c>
    </row>
    <row r="98" spans="90:109" ht="15" x14ac:dyDescent="0.25">
      <c r="CL98" s="91" t="s">
        <v>43</v>
      </c>
      <c r="CM98" s="93">
        <f>INDEX($2:$2,COUNTA($2:$2)-18)</f>
        <v>41791</v>
      </c>
      <c r="CN98" s="95" t="s">
        <v>303</v>
      </c>
      <c r="CO98" s="94">
        <f>INDEX($33:$33,COUNTA($2:$2)-18)+INDEX($34:$34,COUNTA($2:$2)-18)</f>
        <v>0</v>
      </c>
      <c r="CP98" s="94">
        <f>INDEX($36:$36,COUNTA($2:$2)-18)</f>
        <v>0.47903441225136267</v>
      </c>
      <c r="CQ98" s="83" t="str">
        <f t="shared" si="95"/>
        <v>June</v>
      </c>
      <c r="CR98" s="91">
        <f t="shared" si="96"/>
        <v>2014</v>
      </c>
      <c r="CS98" s="91"/>
      <c r="CT98" s="91"/>
      <c r="CU98" s="91"/>
      <c r="CV98" s="91"/>
      <c r="CW98" s="91"/>
      <c r="CX98" s="91"/>
      <c r="CY98" s="91"/>
      <c r="CZ98" s="91"/>
      <c r="DC98" s="73">
        <v>41852</v>
      </c>
      <c r="DD98" s="47">
        <v>0</v>
      </c>
      <c r="DE98" s="47">
        <v>73.490406055461236</v>
      </c>
    </row>
    <row r="99" spans="90:109" ht="15" x14ac:dyDescent="0.25">
      <c r="CL99" s="91" t="s">
        <v>43</v>
      </c>
      <c r="CM99" s="93">
        <f>INDEX($2:$2,COUNTA($2:$2)-17)</f>
        <v>41821</v>
      </c>
      <c r="CN99" s="95" t="s">
        <v>303</v>
      </c>
      <c r="CO99" s="94">
        <f>INDEX($33:$33,COUNTA($2:$2)-17)+INDEX($34:$34,COUNTA($2:$2)-17)</f>
        <v>0</v>
      </c>
      <c r="CP99" s="94">
        <f>INDEX($36:$36,COUNTA($2:$2)-17)</f>
        <v>0.47989090582450988</v>
      </c>
      <c r="CQ99" s="83" t="str">
        <f t="shared" si="95"/>
        <v>July</v>
      </c>
      <c r="CR99" s="91">
        <f t="shared" si="96"/>
        <v>2014</v>
      </c>
      <c r="CS99" s="91"/>
      <c r="CT99" s="91"/>
      <c r="CU99" s="91"/>
      <c r="CV99" s="91"/>
      <c r="CW99" s="91"/>
      <c r="CX99" s="91"/>
      <c r="CY99" s="91"/>
      <c r="CZ99" s="91"/>
      <c r="DC99" s="73">
        <v>41883</v>
      </c>
      <c r="DD99" s="47">
        <v>6</v>
      </c>
      <c r="DE99" s="47">
        <v>80.845628342245988</v>
      </c>
    </row>
    <row r="100" spans="90:109" ht="15" x14ac:dyDescent="0.25">
      <c r="CL100" s="91" t="s">
        <v>43</v>
      </c>
      <c r="CM100" s="93">
        <f>INDEX($2:$2,COUNTA($2:$2)-16)</f>
        <v>41852</v>
      </c>
      <c r="CN100" s="95" t="s">
        <v>303</v>
      </c>
      <c r="CO100" s="94">
        <f>INDEX($33:$33,COUNTA($2:$2)-16)+INDEX($34:$34,COUNTA($2:$2)-16)</f>
        <v>0</v>
      </c>
      <c r="CP100" s="94">
        <f>INDEX($36:$36,COUNTA($2:$2)-16)</f>
        <v>0.47974418581589973</v>
      </c>
      <c r="CQ100" s="83" t="str">
        <f t="shared" si="95"/>
        <v>August</v>
      </c>
      <c r="CR100" s="91">
        <f t="shared" si="96"/>
        <v>2014</v>
      </c>
      <c r="CS100" s="91"/>
      <c r="CT100" s="91"/>
      <c r="CU100" s="91"/>
      <c r="CV100" s="91"/>
      <c r="CW100" s="91"/>
      <c r="CX100" s="91"/>
      <c r="CY100" s="91"/>
      <c r="CZ100" s="91"/>
      <c r="DC100" s="73">
        <v>41913</v>
      </c>
      <c r="DD100" s="47">
        <v>4</v>
      </c>
      <c r="DE100" s="47">
        <v>80.380892857142854</v>
      </c>
    </row>
    <row r="101" spans="90:109" ht="15" x14ac:dyDescent="0.25">
      <c r="CL101" s="91" t="s">
        <v>43</v>
      </c>
      <c r="CM101" s="93">
        <f>INDEX($2:$2,COUNTA($2:$2)-15)</f>
        <v>41883</v>
      </c>
      <c r="CN101" s="95" t="s">
        <v>303</v>
      </c>
      <c r="CO101" s="94">
        <f>INDEX($33:$33,COUNTA($2:$2)-15)+INDEX($34:$34,COUNTA($2:$2)-15)</f>
        <v>1</v>
      </c>
      <c r="CP101" s="94">
        <f>INDEX($36:$36,COUNTA($2:$2)-15)</f>
        <v>0.47930240410896374</v>
      </c>
      <c r="CQ101" s="83" t="str">
        <f t="shared" si="95"/>
        <v>September</v>
      </c>
      <c r="CR101" s="91">
        <f t="shared" si="96"/>
        <v>2014</v>
      </c>
      <c r="CS101" s="91"/>
      <c r="CT101" s="91"/>
      <c r="CU101" s="91"/>
      <c r="CV101" s="91"/>
      <c r="CW101" s="91"/>
      <c r="CX101" s="91"/>
      <c r="CY101" s="91"/>
      <c r="CZ101" s="91"/>
      <c r="DC101" s="73">
        <v>41944</v>
      </c>
      <c r="DD101" s="47">
        <v>6</v>
      </c>
      <c r="DE101" s="47">
        <v>76.667333333333332</v>
      </c>
    </row>
    <row r="102" spans="90:109" ht="15" x14ac:dyDescent="0.25">
      <c r="CL102" s="91" t="s">
        <v>43</v>
      </c>
      <c r="CM102" s="93">
        <f>INDEX($2:$2,COUNTA($2:$2)-14)</f>
        <v>41913</v>
      </c>
      <c r="CN102" s="95" t="s">
        <v>303</v>
      </c>
      <c r="CO102" s="94">
        <f>INDEX($33:$33,COUNTA($2:$2)-14)+INDEX($34:$34,COUNTA($2:$2)-14)</f>
        <v>1</v>
      </c>
      <c r="CP102" s="94">
        <f>INDEX($36:$36,COUNTA($2:$2)-14)</f>
        <v>0.47962793994480724</v>
      </c>
      <c r="CQ102" s="83" t="str">
        <f t="shared" si="95"/>
        <v>October</v>
      </c>
      <c r="CR102" s="91">
        <f t="shared" si="96"/>
        <v>2014</v>
      </c>
      <c r="CS102" s="91"/>
      <c r="CT102" s="91"/>
      <c r="CU102" s="91"/>
      <c r="CV102" s="91"/>
      <c r="CW102" s="91"/>
      <c r="CX102" s="91"/>
      <c r="CY102" s="91"/>
      <c r="CZ102" s="91"/>
      <c r="DC102" s="73">
        <v>41974</v>
      </c>
      <c r="DD102" s="47">
        <v>4</v>
      </c>
      <c r="DE102" s="47">
        <v>77.973663003663006</v>
      </c>
    </row>
    <row r="103" spans="90:109" ht="15" x14ac:dyDescent="0.25">
      <c r="CL103" s="91" t="s">
        <v>43</v>
      </c>
      <c r="CM103" s="93">
        <f>INDEX($2:$2,COUNTA($2:$2)-13)</f>
        <v>41944</v>
      </c>
      <c r="CN103" s="95" t="s">
        <v>303</v>
      </c>
      <c r="CO103" s="94">
        <f>INDEX($33:$33,COUNTA($2:$2)-13)+INDEX($34:$34,COUNTA($2:$2)-13)</f>
        <v>2</v>
      </c>
      <c r="CP103" s="94">
        <f>INDEX($36:$36,COUNTA($2:$2)-13)</f>
        <v>0.57659885372436182</v>
      </c>
      <c r="CQ103" s="83" t="str">
        <f t="shared" si="95"/>
        <v>November</v>
      </c>
      <c r="CR103" s="91">
        <f t="shared" si="96"/>
        <v>2014</v>
      </c>
      <c r="CS103" s="91"/>
      <c r="CT103" s="91"/>
      <c r="CU103" s="91"/>
      <c r="CV103" s="91"/>
      <c r="CW103" s="91"/>
      <c r="CX103" s="91"/>
      <c r="CY103" s="91"/>
      <c r="CZ103" s="91"/>
      <c r="DC103" s="73">
        <v>42005</v>
      </c>
      <c r="DD103" s="47">
        <v>6</v>
      </c>
      <c r="DE103" s="47">
        <v>77.305036630036625</v>
      </c>
    </row>
    <row r="104" spans="90:109" ht="15" x14ac:dyDescent="0.25">
      <c r="CL104" s="91" t="s">
        <v>43</v>
      </c>
      <c r="CM104" s="93">
        <f>INDEX($2:$2,COUNTA($2:$2)-12)</f>
        <v>41974</v>
      </c>
      <c r="CN104" s="95" t="s">
        <v>303</v>
      </c>
      <c r="CO104" s="94">
        <f>INDEX($33:$33,COUNTA($2:$2)-12)+INDEX($34:$34,COUNTA($2:$2)-12)</f>
        <v>0</v>
      </c>
      <c r="CP104" s="94">
        <f>INDEX($36:$36,COUNTA($2:$2)-12)</f>
        <v>0.48066984072509739</v>
      </c>
      <c r="CQ104" s="83" t="str">
        <f t="shared" si="95"/>
        <v>December</v>
      </c>
      <c r="CR104" s="91">
        <f t="shared" si="96"/>
        <v>2014</v>
      </c>
      <c r="CS104" s="91"/>
      <c r="CT104" s="91"/>
      <c r="CU104" s="91"/>
      <c r="CV104" s="91"/>
      <c r="CW104" s="91"/>
      <c r="CX104" s="91"/>
      <c r="CY104" s="91"/>
      <c r="CZ104" s="91"/>
      <c r="DC104" s="73">
        <v>42036</v>
      </c>
      <c r="DD104" s="47">
        <v>10</v>
      </c>
      <c r="DE104" s="47">
        <v>70.32525451559934</v>
      </c>
    </row>
    <row r="105" spans="90:109" ht="15" x14ac:dyDescent="0.25">
      <c r="CL105" s="91" t="s">
        <v>43</v>
      </c>
      <c r="CM105" s="93">
        <f>INDEX($2:$2,COUNTA($2:$2)-11)</f>
        <v>42005</v>
      </c>
      <c r="CN105" s="95" t="s">
        <v>303</v>
      </c>
      <c r="CO105" s="94">
        <f>INDEX($33:$33,COUNTA($2:$2)-11)+INDEX($34:$34,COUNTA($2:$2)-11)</f>
        <v>0</v>
      </c>
      <c r="CP105" s="94">
        <f>INDEX($36:$36,COUNTA($2:$2)-11)</f>
        <v>0.48343999502172835</v>
      </c>
      <c r="CQ105" s="83" t="str">
        <f t="shared" si="95"/>
        <v>January</v>
      </c>
      <c r="CR105" s="91">
        <f t="shared" si="96"/>
        <v>2015</v>
      </c>
      <c r="CS105" s="91"/>
      <c r="CT105" s="91"/>
      <c r="CU105" s="91"/>
      <c r="CV105" s="91"/>
      <c r="CW105" s="91"/>
      <c r="CX105" s="91"/>
      <c r="CY105" s="91"/>
      <c r="CZ105" s="91"/>
      <c r="DC105" s="73">
        <v>42064</v>
      </c>
      <c r="DD105" s="47">
        <v>4</v>
      </c>
      <c r="DE105" s="47">
        <v>70.705185185185172</v>
      </c>
    </row>
    <row r="106" spans="90:109" ht="15" x14ac:dyDescent="0.25">
      <c r="CL106" s="91" t="s">
        <v>43</v>
      </c>
      <c r="CM106" s="93">
        <f>INDEX($2:$2,COUNTA($2:$2)-10)</f>
        <v>42036</v>
      </c>
      <c r="CN106" s="95" t="s">
        <v>303</v>
      </c>
      <c r="CO106" s="94">
        <f>INDEX($33:$33,COUNTA($2:$2)-10)+INDEX($34:$34,COUNTA($2:$2)-10)</f>
        <v>0</v>
      </c>
      <c r="CP106" s="94">
        <f>INDEX($36:$36,COUNTA($2:$2)-10)</f>
        <v>0.48313169598487754</v>
      </c>
      <c r="CQ106" s="83" t="str">
        <f t="shared" si="95"/>
        <v>February</v>
      </c>
      <c r="CR106" s="91">
        <f t="shared" si="96"/>
        <v>2015</v>
      </c>
      <c r="CS106" s="91"/>
      <c r="CT106" s="91"/>
      <c r="CU106" s="91"/>
      <c r="CV106" s="91"/>
      <c r="CW106" s="91"/>
      <c r="CX106" s="91"/>
      <c r="CY106" s="91"/>
      <c r="CZ106" s="91"/>
      <c r="DC106" s="73">
        <v>42095</v>
      </c>
      <c r="DD106" s="47">
        <v>8</v>
      </c>
      <c r="DE106" s="47">
        <v>60.945740573152335</v>
      </c>
    </row>
    <row r="107" spans="90:109" ht="15" x14ac:dyDescent="0.25">
      <c r="CL107" s="91" t="s">
        <v>43</v>
      </c>
      <c r="CM107" s="93">
        <f>INDEX($2:$2,COUNTA($2:$2)-9)</f>
        <v>42064</v>
      </c>
      <c r="CN107" s="95" t="s">
        <v>303</v>
      </c>
      <c r="CO107" s="94">
        <f>INDEX($33:$33,COUNTA($2:$2)-9)+INDEX($34:$34,COUNTA($2:$2)-9)</f>
        <v>0</v>
      </c>
      <c r="CP107" s="94">
        <f>INDEX($36:$36,COUNTA($2:$2)-9)</f>
        <v>0.48281103398955882</v>
      </c>
      <c r="CQ107" s="83" t="str">
        <f t="shared" si="95"/>
        <v>March</v>
      </c>
      <c r="CR107" s="91">
        <f t="shared" si="96"/>
        <v>2015</v>
      </c>
      <c r="CS107" s="91"/>
      <c r="CT107" s="91"/>
      <c r="CU107" s="91"/>
      <c r="CV107" s="91"/>
      <c r="CW107" s="91"/>
      <c r="CX107" s="91"/>
      <c r="CY107" s="91"/>
      <c r="CZ107" s="91"/>
      <c r="DC107" s="73">
        <v>42125</v>
      </c>
      <c r="DD107" s="47">
        <v>8</v>
      </c>
      <c r="DE107" s="47">
        <v>49.873747474747475</v>
      </c>
    </row>
    <row r="108" spans="90:109" ht="15" x14ac:dyDescent="0.25">
      <c r="CL108" s="91" t="s">
        <v>43</v>
      </c>
      <c r="CM108" s="93">
        <f>INDEX($2:$2,COUNTA($2:$2)-8)</f>
        <v>42095</v>
      </c>
      <c r="CN108" s="95" t="s">
        <v>303</v>
      </c>
      <c r="CO108" s="94">
        <f>INDEX($33:$33,COUNTA($2:$2)-8)+INDEX($34:$34,COUNTA($2:$2)-8)</f>
        <v>1</v>
      </c>
      <c r="CP108" s="94">
        <f>INDEX($36:$36,COUNTA($2:$2)-8)</f>
        <v>0.48456516752428158</v>
      </c>
      <c r="CQ108" s="83" t="str">
        <f t="shared" si="95"/>
        <v>April</v>
      </c>
      <c r="CR108" s="91">
        <f t="shared" si="96"/>
        <v>2015</v>
      </c>
      <c r="CS108" s="91"/>
      <c r="CT108" s="91"/>
      <c r="CU108" s="91"/>
      <c r="CV108" s="91"/>
      <c r="CW108" s="91"/>
      <c r="CX108" s="91"/>
      <c r="CY108" s="91"/>
      <c r="CZ108" s="91"/>
      <c r="DC108" s="73">
        <v>42156</v>
      </c>
      <c r="DD108" s="47">
        <v>6</v>
      </c>
      <c r="DE108" s="47">
        <v>43.090186790505676</v>
      </c>
    </row>
    <row r="109" spans="90:109" ht="15" x14ac:dyDescent="0.25">
      <c r="CL109" s="91" t="s">
        <v>43</v>
      </c>
      <c r="CM109" s="93">
        <f>INDEX($2:$2,COUNTA($2:$2)-7)</f>
        <v>42125</v>
      </c>
      <c r="CN109" s="95" t="s">
        <v>303</v>
      </c>
      <c r="CO109" s="94">
        <f>INDEX($33:$33,COUNTA($2:$2)-7)+INDEX($34:$34,COUNTA($2:$2)-7)</f>
        <v>1</v>
      </c>
      <c r="CP109" s="94">
        <f>INDEX($36:$36,COUNTA($2:$2)-7)</f>
        <v>0.58078380094084359</v>
      </c>
      <c r="CQ109" s="83" t="str">
        <f t="shared" si="95"/>
        <v>May</v>
      </c>
      <c r="CR109" s="91">
        <f t="shared" si="96"/>
        <v>2015</v>
      </c>
      <c r="CS109" s="91"/>
      <c r="CT109" s="91"/>
      <c r="CU109" s="91"/>
      <c r="CV109" s="91"/>
      <c r="CW109" s="91"/>
      <c r="CX109" s="91"/>
      <c r="CY109" s="91"/>
      <c r="CZ109" s="91"/>
      <c r="DC109" s="73">
        <v>42186</v>
      </c>
      <c r="DD109" s="47">
        <v>2</v>
      </c>
      <c r="DE109" s="47">
        <v>39.879275793650791</v>
      </c>
    </row>
    <row r="110" spans="90:109" ht="15" x14ac:dyDescent="0.25">
      <c r="CL110" s="91" t="s">
        <v>43</v>
      </c>
      <c r="CM110" s="93">
        <f>INDEX($2:$2,COUNTA($2:$2)-6)</f>
        <v>42156</v>
      </c>
      <c r="CN110" s="95" t="s">
        <v>303</v>
      </c>
      <c r="CO110" s="94">
        <f>INDEX($33:$33,COUNTA($2:$2)-6)+INDEX($34:$34,COUNTA($2:$2)-6)</f>
        <v>0</v>
      </c>
      <c r="CP110" s="94">
        <f>INDEX($36:$36,COUNTA($2:$2)-6)</f>
        <v>0.58021369192911931</v>
      </c>
      <c r="CQ110" s="83" t="str">
        <f t="shared" si="95"/>
        <v>June</v>
      </c>
      <c r="CR110" s="91">
        <f t="shared" si="96"/>
        <v>2015</v>
      </c>
      <c r="CS110" s="91"/>
      <c r="CT110" s="91"/>
      <c r="CU110" s="91"/>
      <c r="CV110" s="91"/>
      <c r="CW110" s="91"/>
      <c r="CX110" s="91"/>
      <c r="CY110" s="91"/>
      <c r="CZ110" s="91"/>
      <c r="DC110" s="73">
        <v>42217</v>
      </c>
      <c r="DD110" s="47">
        <v>6</v>
      </c>
      <c r="DE110" s="47">
        <v>33.923904761904758</v>
      </c>
    </row>
    <row r="111" spans="90:109" ht="15" x14ac:dyDescent="0.25">
      <c r="CL111" s="91" t="s">
        <v>43</v>
      </c>
      <c r="CM111" s="93">
        <f>INDEX($2:$2,COUNTA($2:$2)-5)</f>
        <v>42186</v>
      </c>
      <c r="CN111" s="95" t="s">
        <v>303</v>
      </c>
      <c r="CO111" s="94">
        <f>INDEX($33:$33,COUNTA($2:$2)-5)+INDEX($34:$34,COUNTA($2:$2)-5)</f>
        <v>7</v>
      </c>
      <c r="CP111" s="94">
        <f>INDEX($36:$36,COUNTA($2:$2)-5)</f>
        <v>1.2040943152442753</v>
      </c>
      <c r="CQ111" s="83" t="str">
        <f t="shared" si="95"/>
        <v>July</v>
      </c>
      <c r="CR111" s="91">
        <f t="shared" si="96"/>
        <v>2015</v>
      </c>
      <c r="CS111" s="91"/>
      <c r="CT111" s="91"/>
      <c r="CU111" s="91"/>
      <c r="CV111" s="91"/>
      <c r="CW111" s="91"/>
      <c r="CX111" s="91"/>
      <c r="CY111" s="91"/>
      <c r="CZ111" s="91"/>
      <c r="DC111" s="73">
        <v>42262</v>
      </c>
      <c r="DD111" s="47">
        <v>16</v>
      </c>
      <c r="DE111" s="47">
        <v>27.804124999999996</v>
      </c>
    </row>
    <row r="112" spans="90:109" ht="15" x14ac:dyDescent="0.25">
      <c r="CL112" s="91" t="s">
        <v>43</v>
      </c>
      <c r="CM112" s="93">
        <f>INDEX($2:$2,COUNTA($2:$2)-4)</f>
        <v>42217</v>
      </c>
      <c r="CN112" s="95" t="s">
        <v>303</v>
      </c>
      <c r="CO112" s="94">
        <f>INDEX($33:$33,COUNTA($2:$2)-4)+INDEX($34:$34,COUNTA($2:$2)-4)</f>
        <v>1</v>
      </c>
      <c r="CP112" s="94">
        <f>INDEX($36:$36,COUNTA($2:$2)-4)</f>
        <v>1.3155125422210816</v>
      </c>
      <c r="CQ112" s="83" t="str">
        <f t="shared" si="95"/>
        <v>August</v>
      </c>
      <c r="CR112" s="91">
        <f t="shared" si="96"/>
        <v>2015</v>
      </c>
      <c r="CS112" s="91"/>
      <c r="CT112" s="91"/>
      <c r="CU112" s="91"/>
      <c r="CV112" s="91"/>
      <c r="CW112" s="91"/>
      <c r="CX112" s="91"/>
      <c r="CY112" s="91"/>
      <c r="CZ112" s="91"/>
      <c r="DC112" s="73">
        <v>42292</v>
      </c>
      <c r="DD112" s="47">
        <v>16</v>
      </c>
      <c r="DE112" s="47">
        <v>22.907213158126815</v>
      </c>
    </row>
    <row r="113" spans="90:109" ht="15" x14ac:dyDescent="0.25">
      <c r="CL113" s="91" t="s">
        <v>43</v>
      </c>
      <c r="CM113" s="93">
        <f>INDEX($2:$2,COUNTA($2:$2)-3)</f>
        <v>42262</v>
      </c>
      <c r="CN113" s="95" t="s">
        <v>303</v>
      </c>
      <c r="CO113" s="94">
        <f>INDEX($33:$33,COUNTA($2:$2)-3)+INDEX($34:$34,COUNTA($2:$2)-3)</f>
        <v>1</v>
      </c>
      <c r="CP113" s="94">
        <f>INDEX($36:$36,COUNTA($2:$2)-3)</f>
        <v>1.2821575766716264</v>
      </c>
      <c r="CQ113" s="83" t="str">
        <f t="shared" si="95"/>
        <v>September</v>
      </c>
      <c r="CR113" s="91">
        <f t="shared" si="96"/>
        <v>2015</v>
      </c>
      <c r="CS113" s="91"/>
      <c r="CT113" s="91"/>
      <c r="CU113" s="91"/>
      <c r="CV113" s="91"/>
      <c r="CW113" s="91"/>
      <c r="CX113" s="91"/>
      <c r="CY113" s="91"/>
      <c r="CZ113" s="91"/>
      <c r="DC113" s="73">
        <v>42323</v>
      </c>
      <c r="DD113" s="47">
        <v>12</v>
      </c>
      <c r="DE113" s="47">
        <v>21.884430522208881</v>
      </c>
    </row>
    <row r="114" spans="90:109" ht="15" x14ac:dyDescent="0.25">
      <c r="CL114" s="91" t="s">
        <v>43</v>
      </c>
      <c r="CM114" s="93">
        <f>INDEX($2:$2,COUNTA($2:$2)-2)</f>
        <v>42292</v>
      </c>
      <c r="CN114" s="95" t="s">
        <v>303</v>
      </c>
      <c r="CO114" s="94">
        <f>INDEX($33:$33,COUNTA($2:$2)-2)+INDEX($34:$34,COUNTA($2:$2)-2)</f>
        <v>1</v>
      </c>
      <c r="CP114" s="94">
        <f>INDEX($36:$36,COUNTA($2:$2)-2)</f>
        <v>1.2530042062411453</v>
      </c>
      <c r="CQ114" s="83" t="str">
        <f t="shared" si="95"/>
        <v>October</v>
      </c>
      <c r="CR114" s="91">
        <f t="shared" si="96"/>
        <v>2015</v>
      </c>
      <c r="CS114" s="91"/>
      <c r="CT114" s="91"/>
      <c r="CU114" s="91"/>
      <c r="CV114" s="91"/>
      <c r="CW114" s="91"/>
      <c r="CX114" s="91"/>
      <c r="CY114" s="91"/>
      <c r="CZ114" s="91"/>
      <c r="DC114" s="73">
        <v>42353</v>
      </c>
      <c r="DD114" s="47">
        <v>6</v>
      </c>
      <c r="DE114" s="47">
        <v>22.553457352941177</v>
      </c>
    </row>
    <row r="115" spans="90:109" ht="15" x14ac:dyDescent="0.25">
      <c r="CL115" s="91" t="s">
        <v>43</v>
      </c>
      <c r="CM115" s="93">
        <f>INDEX($2:$2,COUNTA($2:$2)-1)</f>
        <v>42323</v>
      </c>
      <c r="CN115" s="95" t="s">
        <v>303</v>
      </c>
      <c r="CO115" s="94">
        <f>INDEX($33:$33,COUNTA($2:$2)-1)+INDEX($34:$34,COUNTA($2:$2)-1)</f>
        <v>1</v>
      </c>
      <c r="CP115" s="94">
        <f>INDEX($36:$36,COUNTA($2:$2)-1)</f>
        <v>1.1125886066716386</v>
      </c>
      <c r="CQ115" s="83" t="str">
        <f t="shared" si="95"/>
        <v>November</v>
      </c>
      <c r="CR115" s="91">
        <f t="shared" si="96"/>
        <v>2015</v>
      </c>
      <c r="CS115" s="91"/>
      <c r="CT115" s="91"/>
      <c r="CU115" s="91"/>
      <c r="CV115" s="91"/>
      <c r="CW115" s="91"/>
      <c r="CX115" s="91"/>
      <c r="CY115" s="91"/>
      <c r="CZ115" s="91"/>
      <c r="DC115" s="73">
        <v>42370</v>
      </c>
      <c r="DD115" s="47">
        <v>2</v>
      </c>
      <c r="DE115" s="47">
        <v>22.070988636363634</v>
      </c>
    </row>
    <row r="116" spans="90:109" ht="15" x14ac:dyDescent="0.25">
      <c r="CL116" s="91" t="s">
        <v>43</v>
      </c>
      <c r="CM116" s="93">
        <f>INDEX($2:$2,COUNTA($2:$2))</f>
        <v>42353</v>
      </c>
      <c r="CN116" s="95" t="s">
        <v>303</v>
      </c>
      <c r="CO116" s="94">
        <f>INDEX($33:$33,COUNTA($2:$2))+INDEX($34:$34,COUNTA($2:$2))</f>
        <v>0</v>
      </c>
      <c r="CP116" s="94">
        <f>INDEX($36:$36,COUNTA($2:$2))</f>
        <v>1.0057399234970736</v>
      </c>
      <c r="CQ116" s="83" t="str">
        <f t="shared" si="95"/>
        <v>December</v>
      </c>
      <c r="CR116" s="91">
        <f t="shared" si="96"/>
        <v>2015</v>
      </c>
      <c r="CS116" s="91"/>
      <c r="CT116" s="91"/>
      <c r="CU116" s="91"/>
      <c r="CV116" s="91"/>
      <c r="CW116" s="91"/>
      <c r="CX116" s="91"/>
      <c r="CY116" s="91"/>
      <c r="CZ116" s="91"/>
      <c r="DC116" s="73" t="s">
        <v>53</v>
      </c>
      <c r="DD116" s="47">
        <v>148</v>
      </c>
      <c r="DE116" s="47">
        <v>1340.547332679073</v>
      </c>
    </row>
    <row r="117" spans="90:109" ht="15" x14ac:dyDescent="0.25">
      <c r="CL117" s="91" t="s">
        <v>43</v>
      </c>
      <c r="CM117" s="93">
        <f>INDEX($2:$2,COUNTA($2:$2)+1)</f>
        <v>42370</v>
      </c>
      <c r="CN117" s="95" t="s">
        <v>303</v>
      </c>
      <c r="CO117" s="94">
        <f>INDEX($33:$33,COUNTA($2:$2)+1)+INDEX($34:$34,COUNTA($2:$2)+1)</f>
        <v>0</v>
      </c>
      <c r="CP117" s="94">
        <f>INDEX($36:$36,COUNTA($2:$2)+1)</f>
        <v>0.94178810460259155</v>
      </c>
      <c r="CQ117" s="83" t="str">
        <f t="shared" si="95"/>
        <v>January</v>
      </c>
      <c r="CR117" s="91">
        <f t="shared" si="96"/>
        <v>2016</v>
      </c>
      <c r="CS117" s="91"/>
      <c r="CT117" s="91"/>
      <c r="CU117" s="91"/>
      <c r="CV117" s="91"/>
      <c r="CW117" s="91"/>
      <c r="CX117" s="91"/>
      <c r="CY117" s="91"/>
      <c r="CZ117" s="91"/>
      <c r="DC117" s="1"/>
      <c r="DD117" s="1"/>
    </row>
    <row r="118" spans="90:109" ht="15" x14ac:dyDescent="0.25">
      <c r="CL118" s="91" t="s">
        <v>43</v>
      </c>
      <c r="CM118" s="93">
        <f>INDEX($2:$2,COUNTA($2:$2)-22)</f>
        <v>41671</v>
      </c>
      <c r="CN118" s="95" t="s">
        <v>150</v>
      </c>
      <c r="CO118" s="94">
        <f>INDEX($37:$37,COUNTA($2:$2)-22)</f>
        <v>1</v>
      </c>
      <c r="CP118" s="94">
        <f>INDEX($39:$39,COUNTA($2:$2)-22)</f>
        <v>0.58262835868376839</v>
      </c>
      <c r="CQ118" s="83" t="str">
        <f t="shared" si="95"/>
        <v>February</v>
      </c>
      <c r="CR118" s="91">
        <f t="shared" si="96"/>
        <v>2014</v>
      </c>
      <c r="CS118" s="91"/>
      <c r="CT118" s="91"/>
      <c r="CU118" s="91"/>
      <c r="CV118" s="91"/>
      <c r="CW118" s="91"/>
      <c r="CX118" s="91"/>
      <c r="CY118" s="91"/>
      <c r="CZ118" s="91"/>
      <c r="DC118" s="1"/>
      <c r="DD118" s="1"/>
    </row>
    <row r="119" spans="90:109" ht="15" x14ac:dyDescent="0.25">
      <c r="CL119" s="91" t="s">
        <v>43</v>
      </c>
      <c r="CM119" s="93">
        <f>INDEX($2:$2,COUNTA($2:$2)-21)</f>
        <v>41699</v>
      </c>
      <c r="CN119" s="95" t="s">
        <v>150</v>
      </c>
      <c r="CO119" s="94">
        <f>INDEX($37:$37,COUNTA($2:$2)-21)</f>
        <v>1</v>
      </c>
      <c r="CP119" s="94">
        <f>INDEX($39:$39,COUNTA($2:$2)-21)</f>
        <v>0.66695380298273266</v>
      </c>
      <c r="CQ119" s="83" t="str">
        <f t="shared" si="95"/>
        <v>March</v>
      </c>
      <c r="CR119" s="91">
        <f t="shared" si="96"/>
        <v>2014</v>
      </c>
      <c r="CS119" s="91"/>
      <c r="CT119" s="91"/>
      <c r="CU119" s="91"/>
      <c r="CV119" s="91"/>
      <c r="CW119" s="91"/>
      <c r="CX119" s="91"/>
      <c r="CY119" s="91"/>
      <c r="CZ119" s="91"/>
      <c r="DC119" s="1"/>
      <c r="DD119" s="1"/>
    </row>
    <row r="120" spans="90:109" ht="15" x14ac:dyDescent="0.25">
      <c r="CL120" s="91" t="s">
        <v>43</v>
      </c>
      <c r="CM120" s="93">
        <f>INDEX($2:$2,COUNTA($2:$2)-20)</f>
        <v>41730</v>
      </c>
      <c r="CN120" s="95" t="s">
        <v>150</v>
      </c>
      <c r="CO120" s="94">
        <f>INDEX($37:$37,COUNTA($2:$2)-20)</f>
        <v>0</v>
      </c>
      <c r="CP120" s="94">
        <f>INDEX($39:$39,COUNTA($2:$2)-20)</f>
        <v>0.5721371523939609</v>
      </c>
      <c r="CQ120" s="83" t="str">
        <f t="shared" si="95"/>
        <v>April</v>
      </c>
      <c r="CR120" s="91">
        <f t="shared" si="96"/>
        <v>2014</v>
      </c>
      <c r="CS120" s="91"/>
      <c r="CT120" s="91"/>
      <c r="CU120" s="91"/>
      <c r="CV120" s="91"/>
      <c r="CW120" s="91"/>
      <c r="CX120" s="91"/>
      <c r="CY120" s="91"/>
      <c r="CZ120" s="91"/>
      <c r="DC120" s="1"/>
      <c r="DD120" s="1"/>
    </row>
    <row r="121" spans="90:109" ht="15" x14ac:dyDescent="0.25">
      <c r="CL121" s="91" t="s">
        <v>43</v>
      </c>
      <c r="CM121" s="93">
        <f>INDEX($2:$2,COUNTA($2:$2)-19)</f>
        <v>41760</v>
      </c>
      <c r="CN121" s="95" t="s">
        <v>150</v>
      </c>
      <c r="CO121" s="94">
        <f>INDEX($37:$37,COUNTA($2:$2)-19)</f>
        <v>0</v>
      </c>
      <c r="CP121" s="94">
        <f>INDEX($39:$39,COUNTA($2:$2)-19)</f>
        <v>0.5744011465965928</v>
      </c>
      <c r="CQ121" s="83" t="str">
        <f t="shared" si="95"/>
        <v>May</v>
      </c>
      <c r="CR121" s="91">
        <f t="shared" si="96"/>
        <v>2014</v>
      </c>
      <c r="CS121" s="91"/>
      <c r="CT121" s="91"/>
      <c r="CU121" s="91"/>
      <c r="CV121" s="91"/>
      <c r="CW121" s="91"/>
      <c r="CX121" s="91"/>
      <c r="CY121" s="91"/>
      <c r="CZ121" s="91"/>
      <c r="DC121" s="1"/>
      <c r="DD121" s="1"/>
    </row>
    <row r="122" spans="90:109" ht="15" x14ac:dyDescent="0.25">
      <c r="CL122" s="91" t="s">
        <v>43</v>
      </c>
      <c r="CM122" s="93">
        <f>INDEX($2:$2,COUNTA($2:$2)-18)</f>
        <v>41791</v>
      </c>
      <c r="CN122" s="95" t="s">
        <v>150</v>
      </c>
      <c r="CO122" s="94">
        <f>INDEX($37:$37,COUNTA($2:$2)-18)</f>
        <v>1</v>
      </c>
      <c r="CP122" s="94">
        <f>INDEX($39:$39,COUNTA($2:$2)-18)</f>
        <v>0.67064817715190772</v>
      </c>
      <c r="CQ122" s="83" t="str">
        <f t="shared" si="95"/>
        <v>June</v>
      </c>
      <c r="CR122" s="91">
        <f t="shared" si="96"/>
        <v>2014</v>
      </c>
      <c r="CS122" s="91"/>
      <c r="CT122" s="91"/>
      <c r="CU122" s="91"/>
      <c r="CV122" s="91"/>
      <c r="CW122" s="91"/>
      <c r="CX122" s="91"/>
      <c r="CY122" s="91"/>
      <c r="CZ122" s="91"/>
      <c r="DC122" s="1"/>
      <c r="DD122" s="1"/>
    </row>
    <row r="123" spans="90:109" ht="15" x14ac:dyDescent="0.25">
      <c r="CL123" s="91" t="s">
        <v>43</v>
      </c>
      <c r="CM123" s="93">
        <f>INDEX($2:$2,COUNTA($2:$2)-17)</f>
        <v>41821</v>
      </c>
      <c r="CN123" s="95" t="s">
        <v>150</v>
      </c>
      <c r="CO123" s="94">
        <f>INDEX($37:$37,COUNTA($2:$2)-17)</f>
        <v>0</v>
      </c>
      <c r="CP123" s="94">
        <f>INDEX($39:$39,COUNTA($2:$2)-17)</f>
        <v>0.67184726815431384</v>
      </c>
      <c r="CQ123" s="83" t="str">
        <f t="shared" si="95"/>
        <v>July</v>
      </c>
      <c r="CR123" s="91">
        <f t="shared" si="96"/>
        <v>2014</v>
      </c>
      <c r="CS123" s="91"/>
      <c r="CT123" s="91"/>
      <c r="CU123" s="91"/>
      <c r="CV123" s="91"/>
      <c r="CW123" s="91"/>
      <c r="CX123" s="91"/>
      <c r="CY123" s="91"/>
      <c r="CZ123" s="91"/>
      <c r="DC123" s="1"/>
      <c r="DD123" s="1"/>
    </row>
    <row r="124" spans="90:109" ht="15" x14ac:dyDescent="0.25">
      <c r="CL124" s="91" t="s">
        <v>43</v>
      </c>
      <c r="CM124" s="93">
        <f>INDEX($2:$2,COUNTA($2:$2)-16)</f>
        <v>41852</v>
      </c>
      <c r="CN124" s="95" t="s">
        <v>150</v>
      </c>
      <c r="CO124" s="94">
        <f>INDEX($37:$37,COUNTA($2:$2)-16)</f>
        <v>0</v>
      </c>
      <c r="CP124" s="94">
        <f>INDEX($39:$39,COUNTA($2:$2)-16)</f>
        <v>0.67164186014225968</v>
      </c>
      <c r="CQ124" s="83" t="str">
        <f t="shared" si="95"/>
        <v>August</v>
      </c>
      <c r="CR124" s="91">
        <f t="shared" si="96"/>
        <v>2014</v>
      </c>
      <c r="CS124" s="91"/>
      <c r="CT124" s="91"/>
      <c r="CU124" s="91"/>
      <c r="CV124" s="91"/>
      <c r="CW124" s="91"/>
      <c r="CX124" s="91"/>
      <c r="CY124" s="91"/>
      <c r="CZ124" s="91"/>
      <c r="DC124" s="1"/>
      <c r="DD124" s="1"/>
    </row>
    <row r="125" spans="90:109" ht="15" x14ac:dyDescent="0.25">
      <c r="CL125" s="91" t="s">
        <v>43</v>
      </c>
      <c r="CM125" s="93">
        <f>INDEX($2:$2,COUNTA($2:$2)-15)</f>
        <v>41883</v>
      </c>
      <c r="CN125" s="95" t="s">
        <v>150</v>
      </c>
      <c r="CO125" s="94">
        <f>INDEX($37:$37,COUNTA($2:$2)-15)</f>
        <v>1</v>
      </c>
      <c r="CP125" s="94">
        <f>INDEX($39:$39,COUNTA($2:$2)-15)</f>
        <v>0.67102336575254917</v>
      </c>
      <c r="CQ125" s="83" t="str">
        <f t="shared" si="95"/>
        <v>September</v>
      </c>
      <c r="CR125" s="91">
        <f t="shared" si="96"/>
        <v>2014</v>
      </c>
      <c r="CS125" s="91"/>
      <c r="CT125" s="91"/>
      <c r="CU125" s="91"/>
      <c r="CV125" s="91"/>
      <c r="CW125" s="91"/>
      <c r="CX125" s="91"/>
      <c r="CY125" s="91"/>
      <c r="CZ125" s="91"/>
      <c r="DC125" s="1"/>
      <c r="DD125" s="1"/>
    </row>
    <row r="126" spans="90:109" ht="15" x14ac:dyDescent="0.25">
      <c r="CL126" s="91" t="s">
        <v>43</v>
      </c>
      <c r="CM126" s="93">
        <f>INDEX($2:$2,COUNTA($2:$2)-14)</f>
        <v>41913</v>
      </c>
      <c r="CN126" s="95" t="s">
        <v>150</v>
      </c>
      <c r="CO126" s="94">
        <f>INDEX($37:$37,COUNTA($2:$2)-14)</f>
        <v>1</v>
      </c>
      <c r="CP126" s="94">
        <f>INDEX($39:$39,COUNTA($2:$2)-14)</f>
        <v>0.67147911592273002</v>
      </c>
      <c r="CQ126" s="83" t="str">
        <f t="shared" si="95"/>
        <v>October</v>
      </c>
      <c r="CR126" s="91">
        <f t="shared" si="96"/>
        <v>2014</v>
      </c>
      <c r="CS126" s="91"/>
      <c r="CT126" s="91"/>
      <c r="CU126" s="91"/>
      <c r="CV126" s="91"/>
      <c r="CW126" s="91"/>
      <c r="CX126" s="91"/>
      <c r="CY126" s="91"/>
      <c r="CZ126" s="91"/>
      <c r="DC126" s="1"/>
      <c r="DD126" s="1"/>
    </row>
    <row r="127" spans="90:109" ht="15" x14ac:dyDescent="0.25">
      <c r="CL127" s="91" t="s">
        <v>43</v>
      </c>
      <c r="CM127" s="93">
        <f>INDEX($2:$2,COUNTA($2:$2)-13)</f>
        <v>41944</v>
      </c>
      <c r="CN127" s="95" t="s">
        <v>150</v>
      </c>
      <c r="CO127" s="94">
        <f>INDEX($37:$37,COUNTA($2:$2)-13)</f>
        <v>1</v>
      </c>
      <c r="CP127" s="94">
        <f>INDEX($39:$39,COUNTA($2:$2)-13)</f>
        <v>0.76879847163248238</v>
      </c>
      <c r="CQ127" s="83" t="str">
        <f t="shared" si="95"/>
        <v>November</v>
      </c>
      <c r="CR127" s="91">
        <f t="shared" si="96"/>
        <v>2014</v>
      </c>
      <c r="CS127" s="91"/>
      <c r="CT127" s="91"/>
      <c r="CU127" s="91"/>
      <c r="CV127" s="91"/>
      <c r="CW127" s="91"/>
      <c r="CX127" s="91"/>
      <c r="CY127" s="91"/>
      <c r="CZ127" s="91"/>
      <c r="DC127" s="1"/>
      <c r="DD127" s="1"/>
    </row>
    <row r="128" spans="90:109" ht="15" x14ac:dyDescent="0.25">
      <c r="CL128" s="91" t="s">
        <v>43</v>
      </c>
      <c r="CM128" s="93">
        <f>INDEX($2:$2,COUNTA($2:$2)-12)</f>
        <v>41974</v>
      </c>
      <c r="CN128" s="95" t="s">
        <v>150</v>
      </c>
      <c r="CO128" s="94">
        <f>INDEX($37:$37,COUNTA($2:$2)-12)</f>
        <v>0</v>
      </c>
      <c r="CP128" s="94">
        <f>INDEX($39:$39,COUNTA($2:$2)-12)</f>
        <v>0.76907174516015597</v>
      </c>
      <c r="CQ128" s="83" t="str">
        <f t="shared" si="95"/>
        <v>December</v>
      </c>
      <c r="CR128" s="91">
        <f t="shared" si="96"/>
        <v>2014</v>
      </c>
      <c r="CS128" s="91"/>
      <c r="CT128" s="91"/>
      <c r="CU128" s="91"/>
      <c r="CV128" s="91"/>
      <c r="CW128" s="91"/>
      <c r="CX128" s="91"/>
      <c r="CY128" s="91"/>
      <c r="CZ128" s="91"/>
      <c r="DC128" s="1"/>
      <c r="DD128" s="1"/>
    </row>
    <row r="129" spans="90:108" ht="15" x14ac:dyDescent="0.25">
      <c r="CL129" s="91" t="s">
        <v>43</v>
      </c>
      <c r="CM129" s="93">
        <f>INDEX($2:$2,COUNTA($2:$2)-11)</f>
        <v>42005</v>
      </c>
      <c r="CN129" s="95" t="s">
        <v>150</v>
      </c>
      <c r="CO129" s="94">
        <f>INDEX($37:$37,COUNTA($2:$2)-11)</f>
        <v>0</v>
      </c>
      <c r="CP129" s="94">
        <f>INDEX($39:$39,COUNTA($2:$2)-11)</f>
        <v>0.58012799402607396</v>
      </c>
      <c r="CQ129" s="83" t="str">
        <f t="shared" si="95"/>
        <v>January</v>
      </c>
      <c r="CR129" s="91">
        <f t="shared" si="96"/>
        <v>2015</v>
      </c>
      <c r="CS129" s="91"/>
      <c r="CT129" s="91"/>
      <c r="CU129" s="91"/>
      <c r="CV129" s="91"/>
      <c r="CW129" s="91"/>
      <c r="CX129" s="91"/>
      <c r="CY129" s="91"/>
      <c r="CZ129" s="91"/>
      <c r="DC129" s="1"/>
      <c r="DD129" s="1"/>
    </row>
    <row r="130" spans="90:108" ht="15" x14ac:dyDescent="0.25">
      <c r="CL130" s="91" t="s">
        <v>43</v>
      </c>
      <c r="CM130" s="93">
        <f>INDEX($2:$2,COUNTA($2:$2)-10)</f>
        <v>42036</v>
      </c>
      <c r="CN130" s="95" t="s">
        <v>150</v>
      </c>
      <c r="CO130" s="94">
        <f>INDEX($37:$37,COUNTA($2:$2)-10)</f>
        <v>3</v>
      </c>
      <c r="CP130" s="94">
        <f>INDEX($39:$39,COUNTA($2:$2)-10)</f>
        <v>0.77301071357580398</v>
      </c>
      <c r="CQ130" s="83" t="str">
        <f t="shared" si="95"/>
        <v>February</v>
      </c>
      <c r="CR130" s="91">
        <f t="shared" si="96"/>
        <v>2015</v>
      </c>
      <c r="CS130" s="91"/>
      <c r="CT130" s="91"/>
      <c r="CU130" s="91"/>
      <c r="CV130" s="91"/>
      <c r="CW130" s="91"/>
      <c r="CX130" s="91"/>
      <c r="CY130" s="91"/>
      <c r="CZ130" s="91"/>
      <c r="DC130" s="1"/>
      <c r="DD130" s="1"/>
    </row>
    <row r="131" spans="90:108" ht="15" x14ac:dyDescent="0.25">
      <c r="CL131" s="91" t="s">
        <v>43</v>
      </c>
      <c r="CM131" s="93">
        <f>INDEX($2:$2,COUNTA($2:$2)-9)</f>
        <v>42064</v>
      </c>
      <c r="CN131" s="95" t="s">
        <v>150</v>
      </c>
      <c r="CO131" s="94">
        <f>INDEX($37:$37,COUNTA($2:$2)-9)</f>
        <v>0</v>
      </c>
      <c r="CP131" s="94">
        <f>INDEX($39:$39,COUNTA($2:$2)-9)</f>
        <v>0.67593544758538227</v>
      </c>
      <c r="CQ131" s="83" t="str">
        <f t="shared" si="95"/>
        <v>March</v>
      </c>
      <c r="CR131" s="91">
        <f t="shared" si="96"/>
        <v>2015</v>
      </c>
      <c r="CS131" s="91"/>
      <c r="CT131" s="91"/>
      <c r="CU131" s="91"/>
      <c r="CV131" s="91"/>
      <c r="CW131" s="91"/>
      <c r="CX131" s="91"/>
      <c r="CY131" s="91"/>
      <c r="CZ131" s="91"/>
      <c r="DC131" s="1"/>
      <c r="DD131" s="1"/>
    </row>
    <row r="132" spans="90:108" ht="15" x14ac:dyDescent="0.25">
      <c r="CL132" s="91" t="s">
        <v>43</v>
      </c>
      <c r="CM132" s="93">
        <f>INDEX($2:$2,COUNTA($2:$2)-8)</f>
        <v>42095</v>
      </c>
      <c r="CN132" s="95" t="s">
        <v>150</v>
      </c>
      <c r="CO132" s="94">
        <f>INDEX($37:$37,COUNTA($2:$2)-8)</f>
        <v>0</v>
      </c>
      <c r="CP132" s="94">
        <f>INDEX($39:$39,COUNTA($2:$2)-8)</f>
        <v>0.67839123453399419</v>
      </c>
      <c r="CQ132" s="83" t="str">
        <f t="shared" si="95"/>
        <v>April</v>
      </c>
      <c r="CR132" s="91">
        <f t="shared" si="96"/>
        <v>2015</v>
      </c>
      <c r="CS132" s="91"/>
      <c r="CT132" s="91"/>
      <c r="CU132" s="91"/>
      <c r="CV132" s="91"/>
      <c r="CW132" s="91"/>
      <c r="CX132" s="91"/>
      <c r="CY132" s="91"/>
      <c r="CZ132" s="91"/>
      <c r="DC132" s="1"/>
      <c r="DD132" s="1"/>
    </row>
    <row r="133" spans="90:108" ht="15" x14ac:dyDescent="0.25">
      <c r="CL133" s="91" t="s">
        <v>43</v>
      </c>
      <c r="CM133" s="93">
        <f>INDEX($2:$2,COUNTA($2:$2)-7)</f>
        <v>42125</v>
      </c>
      <c r="CN133" s="95" t="s">
        <v>150</v>
      </c>
      <c r="CO133" s="94">
        <f>INDEX($37:$37,COUNTA($2:$2)-7)</f>
        <v>1</v>
      </c>
      <c r="CP133" s="94">
        <f>INDEX($39:$39,COUNTA($2:$2)-7)</f>
        <v>0.77437840125445812</v>
      </c>
      <c r="CQ133" s="83" t="str">
        <f t="shared" si="95"/>
        <v>May</v>
      </c>
      <c r="CR133" s="91">
        <f t="shared" si="96"/>
        <v>2015</v>
      </c>
      <c r="CS133" s="91"/>
      <c r="CT133" s="91"/>
      <c r="CU133" s="91"/>
      <c r="CV133" s="91"/>
      <c r="CW133" s="91"/>
      <c r="CX133" s="91"/>
      <c r="CY133" s="91"/>
      <c r="CZ133" s="91"/>
      <c r="DC133" s="1"/>
      <c r="DD133" s="1"/>
    </row>
    <row r="134" spans="90:108" ht="15" x14ac:dyDescent="0.25">
      <c r="CL134" s="91" t="s">
        <v>43</v>
      </c>
      <c r="CM134" s="93">
        <f>INDEX($2:$2,COUNTA($2:$2)-6)</f>
        <v>42156</v>
      </c>
      <c r="CN134" s="95" t="s">
        <v>150</v>
      </c>
      <c r="CO134" s="94">
        <f>INDEX($37:$37,COUNTA($2:$2)-6)</f>
        <v>1</v>
      </c>
      <c r="CP134" s="94">
        <f>INDEX($39:$39,COUNTA($2:$2)-6)</f>
        <v>0.77361825590549227</v>
      </c>
      <c r="CQ134" s="83" t="str">
        <f t="shared" si="95"/>
        <v>June</v>
      </c>
      <c r="CR134" s="91">
        <f t="shared" si="96"/>
        <v>2015</v>
      </c>
      <c r="CS134" s="91"/>
      <c r="CT134" s="91"/>
      <c r="CU134" s="91"/>
      <c r="CV134" s="91"/>
      <c r="CW134" s="91"/>
      <c r="CX134" s="91"/>
      <c r="CY134" s="91"/>
      <c r="CZ134" s="91"/>
      <c r="DC134" s="1"/>
      <c r="DD134" s="1"/>
    </row>
    <row r="135" spans="90:108" ht="15" x14ac:dyDescent="0.25">
      <c r="CL135" s="91" t="s">
        <v>43</v>
      </c>
      <c r="CM135" s="93">
        <f>INDEX($2:$2,COUNTA($2:$2)-5)</f>
        <v>42186</v>
      </c>
      <c r="CN135" s="95" t="s">
        <v>150</v>
      </c>
      <c r="CO135" s="94">
        <f>INDEX($37:$37,COUNTA($2:$2)-5)</f>
        <v>0</v>
      </c>
      <c r="CP135" s="94">
        <f>INDEX($39:$39,COUNTA($2:$2)-5)</f>
        <v>0.74098111707340031</v>
      </c>
      <c r="CQ135" s="83" t="str">
        <f t="shared" si="95"/>
        <v>July</v>
      </c>
      <c r="CR135" s="91">
        <f t="shared" si="96"/>
        <v>2015</v>
      </c>
      <c r="CS135" s="91"/>
      <c r="CT135" s="91"/>
      <c r="CU135" s="91"/>
      <c r="CV135" s="91"/>
      <c r="CW135" s="91"/>
      <c r="CX135" s="91"/>
      <c r="CY135" s="91"/>
      <c r="CZ135" s="91"/>
      <c r="DC135" s="1"/>
      <c r="DD135" s="1"/>
    </row>
    <row r="136" spans="90:108" ht="15" x14ac:dyDescent="0.25">
      <c r="CL136" s="91" t="s">
        <v>43</v>
      </c>
      <c r="CM136" s="93">
        <f>INDEX($2:$2,COUNTA($2:$2)-4)</f>
        <v>42217</v>
      </c>
      <c r="CN136" s="95" t="s">
        <v>150</v>
      </c>
      <c r="CO136" s="94">
        <f>INDEX($37:$37,COUNTA($2:$2)-4)</f>
        <v>0</v>
      </c>
      <c r="CP136" s="94">
        <f>INDEX($39:$39,COUNTA($2:$2)-4)</f>
        <v>0.75172145269776092</v>
      </c>
      <c r="CQ136" s="83" t="str">
        <f t="shared" si="95"/>
        <v>August</v>
      </c>
      <c r="CR136" s="91">
        <f t="shared" si="96"/>
        <v>2015</v>
      </c>
      <c r="CS136" s="91"/>
      <c r="CT136" s="91"/>
      <c r="CU136" s="91"/>
      <c r="CV136" s="91"/>
      <c r="CW136" s="91"/>
      <c r="CX136" s="91"/>
      <c r="CY136" s="91"/>
      <c r="CZ136" s="91"/>
      <c r="DC136" s="1"/>
      <c r="DD136" s="1"/>
    </row>
    <row r="137" spans="90:108" ht="15" x14ac:dyDescent="0.25">
      <c r="CL137" s="91" t="s">
        <v>43</v>
      </c>
      <c r="CM137" s="93">
        <f>INDEX($2:$2,COUNTA($2:$2)-3)</f>
        <v>42262</v>
      </c>
      <c r="CN137" s="95" t="s">
        <v>150</v>
      </c>
      <c r="CO137" s="94">
        <f>INDEX($37:$37,COUNTA($2:$2)-3)</f>
        <v>1</v>
      </c>
      <c r="CP137" s="94">
        <f>INDEX($39:$39,COUNTA($2:$2)-3)</f>
        <v>0.73266147238378665</v>
      </c>
      <c r="CQ137" s="83" t="str">
        <f t="shared" si="95"/>
        <v>September</v>
      </c>
      <c r="CR137" s="91">
        <f t="shared" si="96"/>
        <v>2015</v>
      </c>
      <c r="CS137" s="91"/>
      <c r="CT137" s="91"/>
      <c r="CU137" s="91"/>
      <c r="CV137" s="91"/>
      <c r="CW137" s="91"/>
      <c r="CX137" s="91"/>
      <c r="CY137" s="91"/>
      <c r="CZ137" s="91"/>
      <c r="DC137" s="1"/>
      <c r="DD137" s="1"/>
    </row>
    <row r="138" spans="90:108" ht="15" x14ac:dyDescent="0.25">
      <c r="CL138" s="91" t="s">
        <v>43</v>
      </c>
      <c r="CM138" s="93">
        <f>INDEX($2:$2,COUNTA($2:$2)-2)</f>
        <v>42292</v>
      </c>
      <c r="CN138" s="95" t="s">
        <v>150</v>
      </c>
      <c r="CO138" s="94">
        <f>INDEX($37:$37,COUNTA($2:$2)-2)</f>
        <v>1</v>
      </c>
      <c r="CP138" s="94">
        <f>INDEX($39:$39,COUNTA($2:$2)-2)</f>
        <v>0.71600240356636868</v>
      </c>
      <c r="CQ138" s="83" t="str">
        <f t="shared" si="95"/>
        <v>October</v>
      </c>
      <c r="CR138" s="91">
        <f t="shared" si="96"/>
        <v>2015</v>
      </c>
      <c r="CS138" s="91"/>
      <c r="CT138" s="91"/>
      <c r="CU138" s="91"/>
      <c r="CV138" s="91"/>
      <c r="CW138" s="91"/>
      <c r="CX138" s="91"/>
      <c r="CY138" s="91"/>
      <c r="CZ138" s="91"/>
      <c r="DC138" s="1"/>
      <c r="DD138" s="1"/>
    </row>
    <row r="139" spans="90:108" ht="15" x14ac:dyDescent="0.25">
      <c r="CL139" s="91" t="s">
        <v>43</v>
      </c>
      <c r="CM139" s="93">
        <f>INDEX($2:$2,COUNTA($2:$2)-1)</f>
        <v>42323</v>
      </c>
      <c r="CN139" s="95" t="s">
        <v>150</v>
      </c>
      <c r="CO139" s="94">
        <f>INDEX($37:$37,COUNTA($2:$2)-1)</f>
        <v>0</v>
      </c>
      <c r="CP139" s="94">
        <f>INDEX($39:$39,COUNTA($2:$2)-1)</f>
        <v>0.5990861728231901</v>
      </c>
      <c r="CQ139" s="83" t="str">
        <f t="shared" si="95"/>
        <v>November</v>
      </c>
      <c r="CR139" s="91">
        <f t="shared" si="96"/>
        <v>2015</v>
      </c>
      <c r="CS139" s="91"/>
      <c r="CT139" s="91"/>
      <c r="CU139" s="91"/>
      <c r="CV139" s="91"/>
      <c r="CW139" s="91"/>
      <c r="CX139" s="91"/>
      <c r="CY139" s="91"/>
      <c r="CZ139" s="91"/>
      <c r="DC139" s="1"/>
      <c r="DD139" s="1"/>
    </row>
    <row r="140" spans="90:108" ht="15" x14ac:dyDescent="0.25">
      <c r="CL140" s="91" t="s">
        <v>43</v>
      </c>
      <c r="CM140" s="93">
        <f>INDEX($2:$2,COUNTA($2:$2))</f>
        <v>42353</v>
      </c>
      <c r="CN140" s="95" t="s">
        <v>150</v>
      </c>
      <c r="CO140" s="94">
        <f>INDEX($37:$37,COUNTA($2:$2))</f>
        <v>2</v>
      </c>
      <c r="CP140" s="94">
        <f>INDEX($39:$39,COUNTA($2:$2))</f>
        <v>0.69628148549797408</v>
      </c>
      <c r="CQ140" s="83" t="str">
        <f t="shared" si="95"/>
        <v>December</v>
      </c>
      <c r="CR140" s="91">
        <f t="shared" si="96"/>
        <v>2015</v>
      </c>
      <c r="CS140" s="91"/>
      <c r="CT140" s="91"/>
      <c r="CU140" s="91"/>
      <c r="CV140" s="91"/>
      <c r="CW140" s="91"/>
      <c r="CX140" s="91"/>
      <c r="CY140" s="91"/>
      <c r="CZ140" s="91"/>
      <c r="DC140" s="1"/>
      <c r="DD140" s="1"/>
    </row>
    <row r="141" spans="90:108" ht="15" x14ac:dyDescent="0.25">
      <c r="CL141" s="91" t="s">
        <v>43</v>
      </c>
      <c r="CM141" s="93">
        <f>INDEX($2:$2,COUNTA($2:$2)+1)</f>
        <v>42370</v>
      </c>
      <c r="CN141" s="95" t="s">
        <v>150</v>
      </c>
      <c r="CO141" s="94">
        <f>INDEX($37:$37,COUNTA($2:$2)+1)</f>
        <v>0</v>
      </c>
      <c r="CP141" s="94">
        <f>INDEX($39:$39,COUNTA($2:$2)+1)</f>
        <v>0.65200714934025572</v>
      </c>
      <c r="CQ141" s="83" t="str">
        <f t="shared" si="95"/>
        <v>January</v>
      </c>
      <c r="CR141" s="91">
        <f t="shared" si="96"/>
        <v>2016</v>
      </c>
      <c r="CS141" s="96"/>
      <c r="CT141" s="96"/>
      <c r="CU141" s="96"/>
      <c r="CV141" s="96"/>
      <c r="CW141" s="96"/>
      <c r="CX141" s="96"/>
      <c r="CY141" s="96"/>
      <c r="CZ141" s="91"/>
      <c r="DC141" s="1"/>
      <c r="DD141" s="1"/>
    </row>
    <row r="142" spans="90:108" ht="15" x14ac:dyDescent="0.25">
      <c r="CL142" s="91" t="s">
        <v>42</v>
      </c>
      <c r="CM142" s="93">
        <f>INDEX($2:$2,COUNTA($2:$2)-22)</f>
        <v>41671</v>
      </c>
      <c r="CN142" s="93" t="s">
        <v>301</v>
      </c>
      <c r="CO142" s="94">
        <f>INDEX($43:$43,COUNTA($2:$2)-22)+INDEX($44:$44,COUNTA($2:$2)-22)</f>
        <v>3</v>
      </c>
      <c r="CP142" s="94">
        <f>INDEX($46:$46,COUNTA($2:$2)-22)</f>
        <v>2.4166015694618892</v>
      </c>
      <c r="CQ142" s="83" t="str">
        <f t="shared" si="95"/>
        <v>February</v>
      </c>
      <c r="CR142" s="91">
        <f t="shared" si="96"/>
        <v>2014</v>
      </c>
      <c r="CS142" s="94"/>
      <c r="CT142" s="97"/>
      <c r="CU142" s="97"/>
      <c r="CV142" s="94"/>
      <c r="CW142" s="97"/>
      <c r="CX142" s="97"/>
      <c r="CY142" s="97"/>
      <c r="CZ142" s="91"/>
      <c r="DC142" s="1"/>
      <c r="DD142" s="1"/>
    </row>
    <row r="143" spans="90:108" ht="15" x14ac:dyDescent="0.25">
      <c r="CL143" s="91" t="s">
        <v>42</v>
      </c>
      <c r="CM143" s="93">
        <f>INDEX($2:$2,COUNTA($2:$2)-21)</f>
        <v>41699</v>
      </c>
      <c r="CN143" s="93" t="s">
        <v>301</v>
      </c>
      <c r="CO143" s="94">
        <f>INDEX($43:$43,COUNTA($2:$2)-21)+INDEX($44:$44,COUNTA($2:$2)-21)</f>
        <v>1</v>
      </c>
      <c r="CP143" s="94">
        <f>INDEX($46:$46,COUNTA($2:$2)-21)</f>
        <v>2.3066704526817698</v>
      </c>
      <c r="CQ143" s="83" t="str">
        <f t="shared" si="95"/>
        <v>March</v>
      </c>
      <c r="CR143" s="91">
        <f t="shared" si="96"/>
        <v>2014</v>
      </c>
      <c r="CS143" s="94"/>
      <c r="CT143" s="97"/>
      <c r="CU143" s="97"/>
      <c r="CV143" s="94"/>
      <c r="CW143" s="97"/>
      <c r="CX143" s="97"/>
      <c r="CY143" s="97"/>
      <c r="CZ143" s="91"/>
      <c r="DC143" s="1"/>
      <c r="DD143" s="1"/>
    </row>
    <row r="144" spans="90:108" ht="15" x14ac:dyDescent="0.25">
      <c r="CL144" s="91" t="s">
        <v>42</v>
      </c>
      <c r="CM144" s="93">
        <f>INDEX($2:$2,COUNTA($2:$2)-20)</f>
        <v>41730</v>
      </c>
      <c r="CN144" s="93" t="s">
        <v>301</v>
      </c>
      <c r="CO144" s="94">
        <f>INDEX($43:$43,COUNTA($2:$2)-20)+INDEX($44:$44,COUNTA($2:$2)-20)</f>
        <v>2</v>
      </c>
      <c r="CP144" s="94">
        <f>INDEX($46:$46,COUNTA($2:$2)-20)</f>
        <v>2.0999705340976638</v>
      </c>
      <c r="CQ144" s="83" t="str">
        <f t="shared" si="95"/>
        <v>April</v>
      </c>
      <c r="CR144" s="91">
        <f t="shared" si="96"/>
        <v>2014</v>
      </c>
      <c r="CS144" s="94"/>
      <c r="CT144" s="97"/>
      <c r="CU144" s="97"/>
      <c r="CV144" s="94"/>
      <c r="CW144" s="97"/>
      <c r="CX144" s="97"/>
      <c r="CY144" s="97"/>
      <c r="CZ144" s="91"/>
      <c r="DC144" s="1"/>
      <c r="DD144" s="1"/>
    </row>
    <row r="145" spans="90:108" ht="15" x14ac:dyDescent="0.25">
      <c r="CL145" s="91" t="s">
        <v>42</v>
      </c>
      <c r="CM145" s="93">
        <f>INDEX($2:$2,COUNTA($2:$2)-19)</f>
        <v>41760</v>
      </c>
      <c r="CN145" s="93" t="s">
        <v>301</v>
      </c>
      <c r="CO145" s="94">
        <f>INDEX($43:$43,COUNTA($2:$2)-19)+INDEX($44:$44,COUNTA($2:$2)-19)</f>
        <v>2</v>
      </c>
      <c r="CP145" s="94">
        <f>INDEX($46:$46,COUNTA($2:$2)-19)</f>
        <v>2.2179937169518937</v>
      </c>
      <c r="CQ145" s="83" t="str">
        <f t="shared" si="95"/>
        <v>May</v>
      </c>
      <c r="CR145" s="91">
        <f t="shared" si="96"/>
        <v>2014</v>
      </c>
      <c r="CS145" s="94"/>
      <c r="CT145" s="97"/>
      <c r="CU145" s="97"/>
      <c r="CV145" s="94"/>
      <c r="CW145" s="97"/>
      <c r="CX145" s="97"/>
      <c r="CY145" s="97"/>
      <c r="CZ145" s="91"/>
      <c r="DC145" s="1"/>
      <c r="DD145" s="1"/>
    </row>
    <row r="146" spans="90:108" ht="15" x14ac:dyDescent="0.25">
      <c r="CL146" s="91" t="s">
        <v>42</v>
      </c>
      <c r="CM146" s="93">
        <f>INDEX($2:$2,COUNTA($2:$2)-18)</f>
        <v>41791</v>
      </c>
      <c r="CN146" s="93" t="s">
        <v>301</v>
      </c>
      <c r="CO146" s="94">
        <f>INDEX($43:$43,COUNTA($2:$2)-18)+INDEX($44:$44,COUNTA($2:$2)-18)</f>
        <v>2</v>
      </c>
      <c r="CP146" s="94">
        <f>INDEX($46:$46,COUNTA($2:$2)-18)</f>
        <v>2.1151182305766931</v>
      </c>
      <c r="CQ146" s="83" t="str">
        <f t="shared" si="95"/>
        <v>June</v>
      </c>
      <c r="CR146" s="91">
        <f t="shared" si="96"/>
        <v>2014</v>
      </c>
      <c r="CS146" s="94"/>
      <c r="CT146" s="97"/>
      <c r="CU146" s="97"/>
      <c r="CV146" s="94"/>
      <c r="CW146" s="97"/>
      <c r="CX146" s="97"/>
      <c r="CY146" s="97"/>
      <c r="CZ146" s="91"/>
      <c r="DC146" s="1"/>
      <c r="DD146" s="1"/>
    </row>
    <row r="147" spans="90:108" ht="15" x14ac:dyDescent="0.25">
      <c r="CL147" s="91" t="s">
        <v>42</v>
      </c>
      <c r="CM147" s="93">
        <f>INDEX($2:$2,COUNTA($2:$2)-17)</f>
        <v>41821</v>
      </c>
      <c r="CN147" s="93" t="s">
        <v>301</v>
      </c>
      <c r="CO147" s="94">
        <f>INDEX($43:$43,COUNTA($2:$2)-17)+INDEX($44:$44,COUNTA($2:$2)-17)</f>
        <v>1</v>
      </c>
      <c r="CP147" s="94">
        <f>INDEX($46:$46,COUNTA($2:$2)-17)</f>
        <v>2.1175669309967713</v>
      </c>
      <c r="CQ147" s="83" t="str">
        <f t="shared" si="95"/>
        <v>July</v>
      </c>
      <c r="CR147" s="91">
        <f t="shared" si="96"/>
        <v>2014</v>
      </c>
      <c r="CS147" s="94"/>
      <c r="CT147" s="97"/>
      <c r="CU147" s="97"/>
      <c r="CV147" s="94"/>
      <c r="CW147" s="97"/>
      <c r="CX147" s="97"/>
      <c r="CY147" s="97"/>
      <c r="CZ147" s="91"/>
      <c r="DC147" s="1"/>
      <c r="DD147" s="1"/>
    </row>
    <row r="148" spans="90:108" ht="15" x14ac:dyDescent="0.25">
      <c r="CL148" s="91" t="s">
        <v>42</v>
      </c>
      <c r="CM148" s="93">
        <f>INDEX($2:$2,COUNTA($2:$2)-16)</f>
        <v>41852</v>
      </c>
      <c r="CN148" s="93" t="s">
        <v>301</v>
      </c>
      <c r="CO148" s="94">
        <f>INDEX($43:$43,COUNTA($2:$2)-16)+INDEX($44:$44,COUNTA($2:$2)-16)</f>
        <v>3</v>
      </c>
      <c r="CP148" s="94">
        <f>INDEX($46:$46,COUNTA($2:$2)-16)</f>
        <v>2.3231270926148069</v>
      </c>
      <c r="CQ148" s="83" t="str">
        <f t="shared" si="95"/>
        <v>August</v>
      </c>
      <c r="CR148" s="91">
        <f t="shared" si="96"/>
        <v>2014</v>
      </c>
      <c r="CS148" s="94"/>
      <c r="CT148" s="97"/>
      <c r="CU148" s="97"/>
      <c r="CV148" s="94"/>
      <c r="CW148" s="97"/>
      <c r="CX148" s="97"/>
      <c r="CY148" s="97"/>
      <c r="CZ148" s="91"/>
      <c r="DC148" s="1"/>
      <c r="DD148" s="1"/>
    </row>
    <row r="149" spans="90:108" ht="15" x14ac:dyDescent="0.25">
      <c r="CL149" s="91" t="s">
        <v>42</v>
      </c>
      <c r="CM149" s="93">
        <f>INDEX($2:$2,COUNTA($2:$2)-15)</f>
        <v>41883</v>
      </c>
      <c r="CN149" s="93" t="s">
        <v>301</v>
      </c>
      <c r="CO149" s="94">
        <f>INDEX($43:$43,COUNTA($2:$2)-15)+INDEX($44:$44,COUNTA($2:$2)-15)</f>
        <v>2</v>
      </c>
      <c r="CP149" s="94">
        <f>INDEX($46:$46,COUNTA($2:$2)-15)</f>
        <v>2.045586154263344</v>
      </c>
      <c r="CQ149" s="83" t="str">
        <f t="shared" si="95"/>
        <v>September</v>
      </c>
      <c r="CR149" s="91">
        <f t="shared" si="96"/>
        <v>2014</v>
      </c>
      <c r="CS149" s="94"/>
      <c r="CT149" s="97"/>
      <c r="CU149" s="97"/>
      <c r="CV149" s="94"/>
      <c r="CW149" s="97"/>
      <c r="CX149" s="97"/>
      <c r="CY149" s="97"/>
      <c r="CZ149" s="91"/>
      <c r="DC149" s="1"/>
      <c r="DD149" s="1"/>
    </row>
    <row r="150" spans="90:108" ht="15" x14ac:dyDescent="0.25">
      <c r="CL150" s="91" t="s">
        <v>42</v>
      </c>
      <c r="CM150" s="93">
        <f>INDEX($2:$2,COUNTA($2:$2)-14)</f>
        <v>41913</v>
      </c>
      <c r="CN150" s="93" t="s">
        <v>301</v>
      </c>
      <c r="CO150" s="94">
        <f>INDEX($43:$43,COUNTA($2:$2)-14)+INDEX($44:$44,COUNTA($2:$2)-14)</f>
        <v>2</v>
      </c>
      <c r="CP150" s="94">
        <f>INDEX($46:$46,COUNTA($2:$2)-14)</f>
        <v>1.9662868997246685</v>
      </c>
      <c r="CQ150" s="83" t="str">
        <f t="shared" si="95"/>
        <v>October</v>
      </c>
      <c r="CR150" s="91">
        <f t="shared" si="96"/>
        <v>2014</v>
      </c>
      <c r="CS150" s="94"/>
      <c r="CT150" s="97"/>
      <c r="CU150" s="97"/>
      <c r="CV150" s="94"/>
      <c r="CW150" s="97"/>
      <c r="CX150" s="97"/>
      <c r="CY150" s="97"/>
      <c r="CZ150" s="91"/>
      <c r="DC150" s="1"/>
      <c r="DD150" s="1"/>
    </row>
    <row r="151" spans="90:108" ht="15" x14ac:dyDescent="0.25">
      <c r="CL151" s="91" t="s">
        <v>42</v>
      </c>
      <c r="CM151" s="93">
        <f>INDEX($2:$2,COUNTA($2:$2)-13)</f>
        <v>41944</v>
      </c>
      <c r="CN151" s="93" t="s">
        <v>301</v>
      </c>
      <c r="CO151" s="94">
        <f>INDEX($43:$43,COUNTA($2:$2)-13)+INDEX($44:$44,COUNTA($2:$2)-13)</f>
        <v>2</v>
      </c>
      <c r="CP151" s="94">
        <f>INDEX($46:$46,COUNTA($2:$2)-13)</f>
        <v>2.0620818613505647</v>
      </c>
      <c r="CQ151" s="83" t="str">
        <f t="shared" ref="CQ151:CQ214" si="97">CHOOSE(MONTH(CM151),"January","February","March","April","May","June","July","August","September","October","November","December")</f>
        <v>November</v>
      </c>
      <c r="CR151" s="91">
        <f t="shared" ref="CR151:CR214" si="98">YEAR(CM151)</f>
        <v>2014</v>
      </c>
      <c r="CS151" s="94"/>
      <c r="CT151" s="97"/>
      <c r="CU151" s="97"/>
      <c r="CV151" s="94"/>
      <c r="CW151" s="97"/>
      <c r="CX151" s="97"/>
      <c r="CY151" s="97"/>
      <c r="CZ151" s="91"/>
      <c r="DC151" s="1"/>
      <c r="DD151" s="1"/>
    </row>
    <row r="152" spans="90:108" ht="15" x14ac:dyDescent="0.25">
      <c r="CL152" s="91" t="s">
        <v>42</v>
      </c>
      <c r="CM152" s="93">
        <f>INDEX($2:$2,COUNTA($2:$2)-12)</f>
        <v>41974</v>
      </c>
      <c r="CN152" s="93" t="s">
        <v>301</v>
      </c>
      <c r="CO152" s="94">
        <f>INDEX($43:$43,COUNTA($2:$2)-12)+INDEX($44:$44,COUNTA($2:$2)-12)</f>
        <v>1</v>
      </c>
      <c r="CP152" s="94">
        <f>INDEX($46:$46,COUNTA($2:$2)-12)</f>
        <v>1.74845877332901</v>
      </c>
      <c r="CQ152" s="83" t="str">
        <f t="shared" si="97"/>
        <v>December</v>
      </c>
      <c r="CR152" s="91">
        <f t="shared" si="98"/>
        <v>2014</v>
      </c>
      <c r="CS152" s="94"/>
      <c r="CT152" s="97"/>
      <c r="CU152" s="97"/>
      <c r="CV152" s="94"/>
      <c r="CW152" s="97"/>
      <c r="CX152" s="97"/>
      <c r="CY152" s="97"/>
      <c r="CZ152" s="91"/>
      <c r="DC152" s="1"/>
      <c r="DD152" s="1"/>
    </row>
    <row r="153" spans="90:108" ht="15" x14ac:dyDescent="0.25">
      <c r="CL153" s="91" t="s">
        <v>42</v>
      </c>
      <c r="CM153" s="93">
        <f>INDEX($2:$2,COUNTA($2:$2)-11)</f>
        <v>42005</v>
      </c>
      <c r="CN153" s="93" t="s">
        <v>301</v>
      </c>
      <c r="CO153" s="94">
        <f>INDEX($43:$43,COUNTA($2:$2)-11)+INDEX($44:$44,COUNTA($2:$2)-11)</f>
        <v>0</v>
      </c>
      <c r="CP153" s="94">
        <f>INDEX($46:$46,COUNTA($2:$2)-11)</f>
        <v>1.6602427132540258</v>
      </c>
      <c r="CQ153" s="83" t="str">
        <f t="shared" si="97"/>
        <v>January</v>
      </c>
      <c r="CR153" s="91">
        <f t="shared" si="98"/>
        <v>2015</v>
      </c>
      <c r="CS153" s="94"/>
      <c r="CT153" s="97"/>
      <c r="CU153" s="97"/>
      <c r="CV153" s="94"/>
      <c r="CW153" s="97"/>
      <c r="CX153" s="97"/>
      <c r="CY153" s="97"/>
      <c r="CZ153" s="91"/>
      <c r="DC153" s="1"/>
      <c r="DD153" s="1"/>
    </row>
    <row r="154" spans="90:108" ht="15" x14ac:dyDescent="0.25">
      <c r="CL154" s="91" t="s">
        <v>42</v>
      </c>
      <c r="CM154" s="93">
        <f>INDEX($2:$2,COUNTA($2:$2)-10)</f>
        <v>42036</v>
      </c>
      <c r="CN154" s="93" t="s">
        <v>301</v>
      </c>
      <c r="CO154" s="94">
        <f>INDEX($43:$43,COUNTA($2:$2)-10)+INDEX($44:$44,COUNTA($2:$2)-10)</f>
        <v>1</v>
      </c>
      <c r="CP154" s="94">
        <f>INDEX($46:$46,COUNTA($2:$2)-10)</f>
        <v>1.4947680757189716</v>
      </c>
      <c r="CQ154" s="83" t="str">
        <f t="shared" si="97"/>
        <v>February</v>
      </c>
      <c r="CR154" s="91">
        <f t="shared" si="98"/>
        <v>2015</v>
      </c>
      <c r="CS154" s="94"/>
      <c r="CT154" s="97"/>
      <c r="CU154" s="97"/>
      <c r="CV154" s="94"/>
      <c r="CW154" s="97"/>
      <c r="CX154" s="97"/>
      <c r="CY154" s="97"/>
      <c r="CZ154" s="91"/>
      <c r="DC154" s="1"/>
      <c r="DD154" s="1"/>
    </row>
    <row r="155" spans="90:108" ht="15" x14ac:dyDescent="0.25">
      <c r="CL155" s="91" t="s">
        <v>42</v>
      </c>
      <c r="CM155" s="93">
        <f>INDEX($2:$2,COUNTA($2:$2)-9)</f>
        <v>42064</v>
      </c>
      <c r="CN155" s="93" t="s">
        <v>301</v>
      </c>
      <c r="CO155" s="94">
        <f>INDEX($43:$43,COUNTA($2:$2)-9)+INDEX($44:$44,COUNTA($2:$2)-9)</f>
        <v>3</v>
      </c>
      <c r="CP155" s="94">
        <f>INDEX($46:$46,COUNTA($2:$2)-9)</f>
        <v>1.630636839782321</v>
      </c>
      <c r="CQ155" s="83" t="str">
        <f t="shared" si="97"/>
        <v>March</v>
      </c>
      <c r="CR155" s="91">
        <f t="shared" si="98"/>
        <v>2015</v>
      </c>
      <c r="CS155" s="94"/>
      <c r="CT155" s="97"/>
      <c r="CU155" s="97"/>
      <c r="CV155" s="94"/>
      <c r="CW155" s="97"/>
      <c r="CX155" s="97"/>
      <c r="CY155" s="97"/>
      <c r="CZ155" s="91"/>
      <c r="DC155" s="1"/>
      <c r="DD155" s="1"/>
    </row>
    <row r="156" spans="90:108" ht="15" x14ac:dyDescent="0.25">
      <c r="CL156" s="91" t="s">
        <v>42</v>
      </c>
      <c r="CM156" s="93">
        <f>INDEX($2:$2,COUNTA($2:$2)-8)</f>
        <v>42095</v>
      </c>
      <c r="CN156" s="93" t="s">
        <v>301</v>
      </c>
      <c r="CO156" s="94">
        <f>INDEX($43:$43,COUNTA($2:$2)-8)+INDEX($44:$44,COUNTA($2:$2)-8)</f>
        <v>4</v>
      </c>
      <c r="CP156" s="94">
        <f>INDEX($46:$46,COUNTA($2:$2)-8)</f>
        <v>1.7712411279109483</v>
      </c>
      <c r="CQ156" s="83" t="str">
        <f t="shared" si="97"/>
        <v>April</v>
      </c>
      <c r="CR156" s="91">
        <f t="shared" si="98"/>
        <v>2015</v>
      </c>
      <c r="CS156" s="94"/>
      <c r="CT156" s="97"/>
      <c r="CU156" s="97"/>
      <c r="CV156" s="94"/>
      <c r="CW156" s="97"/>
      <c r="CX156" s="97"/>
      <c r="CY156" s="97"/>
      <c r="CZ156" s="91"/>
      <c r="DC156" s="1"/>
      <c r="DD156" s="1"/>
    </row>
    <row r="157" spans="90:108" ht="15" x14ac:dyDescent="0.25">
      <c r="CL157" s="91" t="s">
        <v>42</v>
      </c>
      <c r="CM157" s="93">
        <f>INDEX($2:$2,COUNTA($2:$2)-7)</f>
        <v>42125</v>
      </c>
      <c r="CN157" s="93" t="s">
        <v>301</v>
      </c>
      <c r="CO157" s="94">
        <f>INDEX($43:$43,COUNTA($2:$2)-7)+INDEX($44:$44,COUNTA($2:$2)-7)</f>
        <v>2</v>
      </c>
      <c r="CP157" s="94">
        <f>INDEX($46:$46,COUNTA($2:$2)-7)</f>
        <v>1.7685460698177389</v>
      </c>
      <c r="CQ157" s="83" t="str">
        <f t="shared" si="97"/>
        <v>May</v>
      </c>
      <c r="CR157" s="91">
        <f t="shared" si="98"/>
        <v>2015</v>
      </c>
      <c r="CS157" s="94"/>
      <c r="CT157" s="97"/>
      <c r="CU157" s="97"/>
      <c r="CV157" s="94"/>
      <c r="CW157" s="97"/>
      <c r="CX157" s="97"/>
      <c r="CY157" s="97"/>
      <c r="CZ157" s="91"/>
      <c r="DC157" s="1"/>
      <c r="DD157" s="1"/>
    </row>
    <row r="158" spans="90:108" ht="15" x14ac:dyDescent="0.25">
      <c r="CL158" s="91" t="s">
        <v>42</v>
      </c>
      <c r="CM158" s="93">
        <f>INDEX($2:$2,COUNTA($2:$2)-6)</f>
        <v>42156</v>
      </c>
      <c r="CN158" s="93" t="s">
        <v>301</v>
      </c>
      <c r="CO158" s="94">
        <f>INDEX($43:$43,COUNTA($2:$2)-6)+INDEX($44:$44,COUNTA($2:$2)-6)</f>
        <v>1</v>
      </c>
      <c r="CP158" s="94">
        <f>INDEX($46:$46,COUNTA($2:$2)-6)</f>
        <v>1.6765680712547526</v>
      </c>
      <c r="CQ158" s="83" t="str">
        <f t="shared" si="97"/>
        <v>June</v>
      </c>
      <c r="CR158" s="91">
        <f t="shared" si="98"/>
        <v>2015</v>
      </c>
      <c r="CS158" s="94"/>
      <c r="CT158" s="97"/>
      <c r="CU158" s="97"/>
      <c r="CV158" s="94"/>
      <c r="CW158" s="97"/>
      <c r="CX158" s="97"/>
      <c r="CY158" s="97"/>
      <c r="CZ158" s="91"/>
      <c r="DC158" s="1"/>
      <c r="DD158" s="1"/>
    </row>
    <row r="159" spans="90:108" ht="15" x14ac:dyDescent="0.25">
      <c r="CL159" s="91" t="s">
        <v>42</v>
      </c>
      <c r="CM159" s="93">
        <f>INDEX($2:$2,COUNTA($2:$2)-5)</f>
        <v>42186</v>
      </c>
      <c r="CN159" s="93" t="s">
        <v>301</v>
      </c>
      <c r="CO159" s="94">
        <f>INDEX($43:$43,COUNTA($2:$2)-5)+INDEX($44:$44,COUNTA($2:$2)-5)</f>
        <v>3</v>
      </c>
      <c r="CP159" s="94">
        <f>INDEX($46:$46,COUNTA($2:$2)-5)</f>
        <v>1.8262013323051818</v>
      </c>
      <c r="CQ159" s="83" t="str">
        <f t="shared" si="97"/>
        <v>July</v>
      </c>
      <c r="CR159" s="91">
        <f t="shared" si="98"/>
        <v>2015</v>
      </c>
      <c r="CS159" s="94"/>
      <c r="CT159" s="97"/>
      <c r="CU159" s="97"/>
      <c r="CV159" s="94"/>
      <c r="CW159" s="97"/>
      <c r="CX159" s="97"/>
      <c r="CY159" s="97"/>
      <c r="CZ159" s="91"/>
      <c r="DC159" s="1"/>
      <c r="DD159" s="1"/>
    </row>
    <row r="160" spans="90:108" ht="15" x14ac:dyDescent="0.25">
      <c r="CL160" s="91" t="s">
        <v>42</v>
      </c>
      <c r="CM160" s="93">
        <f>INDEX($2:$2,COUNTA($2:$2)-4)</f>
        <v>42217</v>
      </c>
      <c r="CN160" s="93" t="s">
        <v>301</v>
      </c>
      <c r="CO160" s="94">
        <f>INDEX($43:$43,COUNTA($2:$2)-4)+INDEX($44:$44,COUNTA($2:$2)-4)</f>
        <v>1</v>
      </c>
      <c r="CP160" s="94">
        <f>INDEX($46:$46,COUNTA($2:$2)-4)</f>
        <v>1.6653805386961009</v>
      </c>
      <c r="CQ160" s="83" t="str">
        <f t="shared" si="97"/>
        <v>August</v>
      </c>
      <c r="CR160" s="91">
        <f t="shared" si="98"/>
        <v>2015</v>
      </c>
      <c r="CS160" s="94"/>
      <c r="CT160" s="97"/>
      <c r="CU160" s="97"/>
      <c r="CV160" s="94"/>
      <c r="CW160" s="97"/>
      <c r="CX160" s="97"/>
      <c r="CY160" s="97"/>
      <c r="CZ160" s="91"/>
      <c r="DC160" s="1"/>
      <c r="DD160" s="1"/>
    </row>
    <row r="161" spans="90:108" ht="15" x14ac:dyDescent="0.25">
      <c r="CL161" s="91" t="s">
        <v>42</v>
      </c>
      <c r="CM161" s="93">
        <f>INDEX($2:$2,COUNTA($2:$2)-3)</f>
        <v>42262</v>
      </c>
      <c r="CN161" s="93" t="s">
        <v>301</v>
      </c>
      <c r="CO161" s="94">
        <f>INDEX($43:$43,COUNTA($2:$2)-3)+INDEX($44:$44,COUNTA($2:$2)-3)</f>
        <v>0</v>
      </c>
      <c r="CP161" s="94">
        <f>INDEX($46:$46,COUNTA($2:$2)-3)</f>
        <v>1.5101069571005039</v>
      </c>
      <c r="CQ161" s="83" t="str">
        <f t="shared" si="97"/>
        <v>September</v>
      </c>
      <c r="CR161" s="91">
        <f t="shared" si="98"/>
        <v>2015</v>
      </c>
      <c r="CS161" s="94"/>
      <c r="CT161" s="97"/>
      <c r="CU161" s="97"/>
      <c r="CV161" s="94"/>
      <c r="CW161" s="97"/>
      <c r="CX161" s="97"/>
      <c r="CY161" s="97"/>
      <c r="CZ161" s="91"/>
      <c r="DC161" s="1"/>
      <c r="DD161" s="1"/>
    </row>
    <row r="162" spans="90:108" ht="15" x14ac:dyDescent="0.25">
      <c r="CL162" s="91" t="s">
        <v>42</v>
      </c>
      <c r="CM162" s="93">
        <f>INDEX($2:$2,COUNTA($2:$2)-2)</f>
        <v>42292</v>
      </c>
      <c r="CN162" s="93" t="s">
        <v>301</v>
      </c>
      <c r="CO162" s="94">
        <f>INDEX($43:$43,COUNTA($2:$2)-2)+INDEX($44:$44,COUNTA($2:$2)-2)</f>
        <v>2</v>
      </c>
      <c r="CP162" s="94">
        <f>INDEX($46:$46,COUNTA($2:$2)-2)</f>
        <v>1.5076874343826159</v>
      </c>
      <c r="CQ162" s="83" t="str">
        <f t="shared" si="97"/>
        <v>October</v>
      </c>
      <c r="CR162" s="91">
        <f t="shared" si="98"/>
        <v>2015</v>
      </c>
      <c r="CS162" s="94"/>
      <c r="CT162" s="97"/>
      <c r="CU162" s="97"/>
      <c r="CV162" s="94"/>
      <c r="CW162" s="97"/>
      <c r="CX162" s="97"/>
      <c r="CY162" s="97"/>
      <c r="CZ162" s="91"/>
      <c r="DC162" s="1"/>
      <c r="DD162" s="1"/>
    </row>
    <row r="163" spans="90:108" ht="15" x14ac:dyDescent="0.25">
      <c r="CL163" s="91" t="s">
        <v>42</v>
      </c>
      <c r="CM163" s="93">
        <f>INDEX($2:$2,COUNTA($2:$2)-1)</f>
        <v>42323</v>
      </c>
      <c r="CN163" s="93" t="s">
        <v>301</v>
      </c>
      <c r="CO163" s="94">
        <f>INDEX($43:$43,COUNTA($2:$2)-1)+INDEX($44:$44,COUNTA($2:$2)-1)</f>
        <v>1</v>
      </c>
      <c r="CP163" s="94">
        <f>INDEX($46:$46,COUNTA($2:$2)-1)</f>
        <v>1.4220819234451387</v>
      </c>
      <c r="CQ163" s="83" t="str">
        <f t="shared" si="97"/>
        <v>November</v>
      </c>
      <c r="CR163" s="91">
        <f t="shared" si="98"/>
        <v>2015</v>
      </c>
      <c r="CS163" s="94"/>
      <c r="CT163" s="97"/>
      <c r="CU163" s="97"/>
      <c r="CV163" s="94"/>
      <c r="CW163" s="97"/>
      <c r="CX163" s="97"/>
      <c r="CY163" s="97"/>
      <c r="CZ163" s="91"/>
      <c r="DC163" s="1"/>
      <c r="DD163" s="1"/>
    </row>
    <row r="164" spans="90:108" ht="15" x14ac:dyDescent="0.25">
      <c r="CL164" s="91" t="s">
        <v>42</v>
      </c>
      <c r="CM164" s="93">
        <f>INDEX($2:$2,COUNTA($2:$2))</f>
        <v>42353</v>
      </c>
      <c r="CN164" s="93" t="s">
        <v>301</v>
      </c>
      <c r="CO164" s="94">
        <f>INDEX($43:$43,COUNTA($2:$2))+INDEX($44:$44,COUNTA($2:$2))</f>
        <v>1</v>
      </c>
      <c r="CP164" s="94">
        <f>INDEX($46:$46,COUNTA($2:$2))</f>
        <v>1.4180638949737099</v>
      </c>
      <c r="CQ164" s="83" t="str">
        <f t="shared" si="97"/>
        <v>December</v>
      </c>
      <c r="CR164" s="91">
        <f t="shared" si="98"/>
        <v>2015</v>
      </c>
      <c r="CS164" s="94"/>
      <c r="CT164" s="97"/>
      <c r="CU164" s="97"/>
      <c r="CV164" s="94"/>
      <c r="CW164" s="97"/>
      <c r="CX164" s="97"/>
      <c r="CY164" s="97"/>
      <c r="CZ164" s="91"/>
      <c r="DC164" s="1"/>
      <c r="DD164" s="1"/>
    </row>
    <row r="165" spans="90:108" ht="15" x14ac:dyDescent="0.25">
      <c r="CL165" s="91" t="s">
        <v>42</v>
      </c>
      <c r="CM165" s="93">
        <f>INDEX($2:$2,COUNTA($2:$2)+1)</f>
        <v>42370</v>
      </c>
      <c r="CN165" s="93" t="s">
        <v>301</v>
      </c>
      <c r="CO165" s="94">
        <f>INDEX($43:$43,COUNTA($2:$2)+1)+INDEX($44:$44,COUNTA($2:$2)+1)</f>
        <v>1</v>
      </c>
      <c r="CP165" s="94">
        <f>INDEX($46:$46,COUNTA($2:$2)+1)</f>
        <v>1.5016778246334628</v>
      </c>
      <c r="CQ165" s="83" t="str">
        <f t="shared" si="97"/>
        <v>January</v>
      </c>
      <c r="CR165" s="91">
        <f t="shared" si="98"/>
        <v>2016</v>
      </c>
      <c r="CS165" s="94"/>
      <c r="CT165" s="97"/>
      <c r="CU165" s="97"/>
      <c r="CV165" s="94"/>
      <c r="CW165" s="97"/>
      <c r="CX165" s="97"/>
      <c r="CY165" s="97"/>
      <c r="CZ165" s="91"/>
      <c r="DC165" s="1"/>
      <c r="DD165" s="1"/>
    </row>
    <row r="166" spans="90:108" ht="15" x14ac:dyDescent="0.25">
      <c r="CL166" s="91" t="s">
        <v>42</v>
      </c>
      <c r="CM166" s="93">
        <f>INDEX($2:$2,COUNTA($2:$2)-22)</f>
        <v>41671</v>
      </c>
      <c r="CN166" s="95" t="s">
        <v>137</v>
      </c>
      <c r="CO166" s="94">
        <f>INDEX($47:$47,COUNTA($2:$2)-22)</f>
        <v>1</v>
      </c>
      <c r="CP166" s="94">
        <f>INDEX($49:$49,COUNTA($2:$2)-22)</f>
        <v>0.88579521171174336</v>
      </c>
      <c r="CQ166" s="83" t="str">
        <f t="shared" si="97"/>
        <v>February</v>
      </c>
      <c r="CR166" s="91">
        <f t="shared" si="98"/>
        <v>2014</v>
      </c>
      <c r="CS166" s="91"/>
      <c r="CT166" s="91"/>
      <c r="CU166" s="91"/>
      <c r="CV166" s="91"/>
      <c r="CW166" s="91"/>
      <c r="CX166" s="91"/>
      <c r="CY166" s="91"/>
      <c r="CZ166" s="91"/>
      <c r="DC166" s="1"/>
      <c r="DD166" s="1"/>
    </row>
    <row r="167" spans="90:108" ht="15" x14ac:dyDescent="0.25">
      <c r="CL167" s="91" t="s">
        <v>42</v>
      </c>
      <c r="CM167" s="93">
        <f>INDEX($2:$2,COUNTA($2:$2)-21)</f>
        <v>41699</v>
      </c>
      <c r="CN167" s="95" t="s">
        <v>137</v>
      </c>
      <c r="CO167" s="94">
        <f>INDEX($47:$47,COUNTA($2:$2)-21)</f>
        <v>2</v>
      </c>
      <c r="CP167" s="94">
        <f>INDEX($49:$49,COUNTA($2:$2)-21)</f>
        <v>0.92394145153950757</v>
      </c>
      <c r="CQ167" s="83" t="str">
        <f t="shared" si="97"/>
        <v>March</v>
      </c>
      <c r="CR167" s="91">
        <f t="shared" si="98"/>
        <v>2014</v>
      </c>
      <c r="CS167" s="91"/>
      <c r="CT167" s="91"/>
      <c r="CU167" s="91"/>
      <c r="CV167" s="91"/>
      <c r="CW167" s="91"/>
      <c r="CX167" s="91"/>
      <c r="CY167" s="91"/>
      <c r="CZ167" s="91"/>
      <c r="DC167" s="1"/>
      <c r="DD167" s="1"/>
    </row>
    <row r="168" spans="90:108" ht="15" x14ac:dyDescent="0.25">
      <c r="CL168" s="91" t="s">
        <v>42</v>
      </c>
      <c r="CM168" s="93">
        <f>INDEX($2:$2,COUNTA($2:$2)-20)</f>
        <v>41730</v>
      </c>
      <c r="CN168" s="95" t="s">
        <v>137</v>
      </c>
      <c r="CO168" s="94">
        <f>INDEX($47:$47,COUNTA($2:$2)-20)</f>
        <v>0</v>
      </c>
      <c r="CP168" s="94">
        <f>INDEX($49:$49,COUNTA($2:$2)-20)</f>
        <v>0.81644810917761834</v>
      </c>
      <c r="CQ168" s="83" t="str">
        <f t="shared" si="97"/>
        <v>April</v>
      </c>
      <c r="CR168" s="91">
        <f t="shared" si="98"/>
        <v>2014</v>
      </c>
      <c r="CS168" s="91"/>
      <c r="CT168" s="91"/>
      <c r="CU168" s="91"/>
      <c r="CV168" s="91"/>
      <c r="CW168" s="91"/>
      <c r="CX168" s="91"/>
      <c r="CY168" s="91"/>
      <c r="CZ168" s="91"/>
      <c r="DC168" s="1"/>
      <c r="DD168" s="1"/>
    </row>
    <row r="169" spans="90:108" ht="15" x14ac:dyDescent="0.25">
      <c r="CL169" s="91" t="s">
        <v>42</v>
      </c>
      <c r="CM169" s="93">
        <f>INDEX($2:$2,COUNTA($2:$2)-19)</f>
        <v>41760</v>
      </c>
      <c r="CN169" s="95" t="s">
        <v>137</v>
      </c>
      <c r="CO169" s="94">
        <f>INDEX($47:$47,COUNTA($2:$2)-19)</f>
        <v>3</v>
      </c>
      <c r="CP169" s="94">
        <f>INDEX($49:$49,COUNTA($2:$2)-19)</f>
        <v>0.82337499656273105</v>
      </c>
      <c r="CQ169" s="83" t="str">
        <f t="shared" si="97"/>
        <v>May</v>
      </c>
      <c r="CR169" s="91">
        <f t="shared" si="98"/>
        <v>2014</v>
      </c>
      <c r="CS169" s="91"/>
      <c r="CT169" s="91"/>
      <c r="CU169" s="91"/>
      <c r="CV169" s="91"/>
      <c r="CW169" s="91"/>
      <c r="CX169" s="91"/>
      <c r="CY169" s="91"/>
      <c r="CZ169" s="91"/>
      <c r="DC169" s="1"/>
      <c r="DD169" s="1"/>
    </row>
    <row r="170" spans="90:108" ht="15" x14ac:dyDescent="0.25">
      <c r="CL170" s="91" t="s">
        <v>42</v>
      </c>
      <c r="CM170" s="93">
        <f>INDEX($2:$2,COUNTA($2:$2)-18)</f>
        <v>41791</v>
      </c>
      <c r="CN170" s="95" t="s">
        <v>137</v>
      </c>
      <c r="CO170" s="94">
        <f>INDEX($47:$47,COUNTA($2:$2)-18)</f>
        <v>1</v>
      </c>
      <c r="CP170" s="94">
        <f>INDEX($49:$49,COUNTA($2:$2)-18)</f>
        <v>0.73558444453396243</v>
      </c>
      <c r="CQ170" s="83" t="str">
        <f t="shared" si="97"/>
        <v>June</v>
      </c>
      <c r="CR170" s="91">
        <f t="shared" si="98"/>
        <v>2014</v>
      </c>
      <c r="CS170" s="91"/>
      <c r="CT170" s="91"/>
      <c r="CU170" s="91"/>
      <c r="CV170" s="91"/>
      <c r="CW170" s="91"/>
      <c r="CX170" s="91"/>
      <c r="CY170" s="91"/>
      <c r="CZ170" s="91"/>
      <c r="DC170" s="1"/>
      <c r="DD170" s="1"/>
    </row>
    <row r="171" spans="90:108" ht="15" x14ac:dyDescent="0.25">
      <c r="CL171" s="91" t="s">
        <v>42</v>
      </c>
      <c r="CM171" s="93">
        <f>INDEX($2:$2,COUNTA($2:$2)-17)</f>
        <v>41821</v>
      </c>
      <c r="CN171" s="95" t="s">
        <v>137</v>
      </c>
      <c r="CO171" s="94">
        <f>INDEX($47:$47,COUNTA($2:$2)-17)</f>
        <v>0</v>
      </c>
      <c r="CP171" s="94">
        <f>INDEX($49:$49,COUNTA($2:$2)-17)</f>
        <v>0.60398540232327169</v>
      </c>
      <c r="CQ171" s="83" t="str">
        <f t="shared" si="97"/>
        <v>July</v>
      </c>
      <c r="CR171" s="91">
        <f t="shared" si="98"/>
        <v>2014</v>
      </c>
      <c r="CS171" s="91"/>
      <c r="CT171" s="91"/>
      <c r="CU171" s="91"/>
      <c r="CV171" s="91"/>
      <c r="CW171" s="91"/>
      <c r="CX171" s="91"/>
      <c r="CY171" s="91"/>
      <c r="CZ171" s="91"/>
      <c r="DC171" s="1"/>
      <c r="DD171" s="1"/>
    </row>
    <row r="172" spans="90:108" ht="15" x14ac:dyDescent="0.25">
      <c r="CL172" s="91" t="s">
        <v>42</v>
      </c>
      <c r="CM172" s="93">
        <f>INDEX($2:$2,COUNTA($2:$2)-16)</f>
        <v>41852</v>
      </c>
      <c r="CN172" s="95" t="s">
        <v>137</v>
      </c>
      <c r="CO172" s="94">
        <f>INDEX($47:$47,COUNTA($2:$2)-16)</f>
        <v>1</v>
      </c>
      <c r="CP172" s="94">
        <f>INDEX($49:$49,COUNTA($2:$2)-16)</f>
        <v>0.62138501913909139</v>
      </c>
      <c r="CQ172" s="83" t="str">
        <f t="shared" si="97"/>
        <v>August</v>
      </c>
      <c r="CR172" s="91">
        <f t="shared" si="98"/>
        <v>2014</v>
      </c>
      <c r="CS172" s="91"/>
      <c r="CT172" s="91"/>
      <c r="CU172" s="91"/>
      <c r="CV172" s="91"/>
      <c r="CW172" s="91"/>
      <c r="CX172" s="91"/>
      <c r="CY172" s="91"/>
      <c r="CZ172" s="91"/>
      <c r="DC172" s="1"/>
      <c r="DD172" s="1"/>
    </row>
    <row r="173" spans="90:108" ht="15" x14ac:dyDescent="0.25">
      <c r="CL173" s="91" t="s">
        <v>42</v>
      </c>
      <c r="CM173" s="93">
        <f>INDEX($2:$2,COUNTA($2:$2)-15)</f>
        <v>41883</v>
      </c>
      <c r="CN173" s="95" t="s">
        <v>137</v>
      </c>
      <c r="CO173" s="94">
        <f>INDEX($47:$47,COUNTA($2:$2)-15)</f>
        <v>1</v>
      </c>
      <c r="CP173" s="94">
        <f>INDEX($49:$49,COUNTA($2:$2)-15)</f>
        <v>0.46722029553314715</v>
      </c>
      <c r="CQ173" s="83" t="str">
        <f t="shared" si="97"/>
        <v>September</v>
      </c>
      <c r="CR173" s="91">
        <f t="shared" si="98"/>
        <v>2014</v>
      </c>
      <c r="CS173" s="91"/>
      <c r="CT173" s="91"/>
      <c r="CU173" s="91"/>
      <c r="CV173" s="91"/>
      <c r="CW173" s="91"/>
      <c r="CX173" s="91"/>
      <c r="CY173" s="91"/>
      <c r="CZ173" s="91"/>
      <c r="DC173" s="1"/>
      <c r="DD173" s="1"/>
    </row>
    <row r="174" spans="90:108" ht="15" x14ac:dyDescent="0.25">
      <c r="CL174" s="91" t="s">
        <v>42</v>
      </c>
      <c r="CM174" s="93">
        <f>INDEX($2:$2,COUNTA($2:$2)-14)</f>
        <v>41913</v>
      </c>
      <c r="CN174" s="95" t="s">
        <v>137</v>
      </c>
      <c r="CO174" s="94">
        <f>INDEX($47:$47,COUNTA($2:$2)-14)</f>
        <v>0</v>
      </c>
      <c r="CP174" s="94">
        <f>INDEX($49:$49,COUNTA($2:$2)-14)</f>
        <v>0.4071545681151586</v>
      </c>
      <c r="CQ174" s="83" t="str">
        <f t="shared" si="97"/>
        <v>October</v>
      </c>
      <c r="CR174" s="91">
        <f t="shared" si="98"/>
        <v>2014</v>
      </c>
      <c r="CS174" s="91"/>
      <c r="CT174" s="91"/>
      <c r="CU174" s="91"/>
      <c r="CV174" s="91"/>
      <c r="CW174" s="91"/>
      <c r="CX174" s="91"/>
      <c r="CY174" s="91"/>
      <c r="CZ174" s="91"/>
      <c r="DC174" s="1"/>
      <c r="DD174" s="1"/>
    </row>
    <row r="175" spans="90:108" ht="15" x14ac:dyDescent="0.25">
      <c r="CL175" s="91" t="s">
        <v>42</v>
      </c>
      <c r="CM175" s="93">
        <f>INDEX($2:$2,COUNTA($2:$2)-13)</f>
        <v>41944</v>
      </c>
      <c r="CN175" s="95" t="s">
        <v>137</v>
      </c>
      <c r="CO175" s="94">
        <f>INDEX($47:$47,COUNTA($2:$2)-13)</f>
        <v>0</v>
      </c>
      <c r="CP175" s="94">
        <f>INDEX($49:$49,COUNTA($2:$2)-13)</f>
        <v>0.35296832527155964</v>
      </c>
      <c r="CQ175" s="83" t="str">
        <f t="shared" si="97"/>
        <v>November</v>
      </c>
      <c r="CR175" s="91">
        <f t="shared" si="98"/>
        <v>2014</v>
      </c>
      <c r="CS175" s="91"/>
      <c r="CT175" s="91"/>
      <c r="CU175" s="91"/>
      <c r="CV175" s="91"/>
      <c r="CW175" s="91"/>
      <c r="CX175" s="91"/>
      <c r="CY175" s="91"/>
      <c r="CZ175" s="91"/>
      <c r="DC175" s="1"/>
      <c r="DD175" s="1"/>
    </row>
    <row r="176" spans="90:108" ht="15" x14ac:dyDescent="0.25">
      <c r="CL176" s="91" t="s">
        <v>42</v>
      </c>
      <c r="CM176" s="93">
        <f>INDEX($2:$2,COUNTA($2:$2)-12)</f>
        <v>41974</v>
      </c>
      <c r="CN176" s="95" t="s">
        <v>137</v>
      </c>
      <c r="CO176" s="94">
        <f>INDEX($47:$47,COUNTA($2:$2)-12)</f>
        <v>2</v>
      </c>
      <c r="CP176" s="94">
        <f>INDEX($49:$49,COUNTA($2:$2)-12)</f>
        <v>0.41448660606597421</v>
      </c>
      <c r="CQ176" s="83" t="str">
        <f t="shared" si="97"/>
        <v>December</v>
      </c>
      <c r="CR176" s="91">
        <f t="shared" si="98"/>
        <v>2014</v>
      </c>
      <c r="CS176" s="91"/>
      <c r="CT176" s="91"/>
      <c r="CU176" s="91"/>
      <c r="CV176" s="91"/>
      <c r="CW176" s="91"/>
      <c r="CX176" s="91"/>
      <c r="CY176" s="91"/>
      <c r="CZ176" s="91"/>
      <c r="DC176" s="1"/>
      <c r="DD176" s="1"/>
    </row>
    <row r="177" spans="90:108" ht="15" x14ac:dyDescent="0.25">
      <c r="CL177" s="91" t="s">
        <v>42</v>
      </c>
      <c r="CM177" s="93">
        <f>INDEX($2:$2,COUNTA($2:$2)-11)</f>
        <v>42005</v>
      </c>
      <c r="CN177" s="95" t="s">
        <v>137</v>
      </c>
      <c r="CO177" s="94">
        <f>INDEX($47:$47,COUNTA($2:$2)-11)</f>
        <v>2</v>
      </c>
      <c r="CP177" s="94">
        <f>INDEX($49:$49,COUNTA($2:$2)-11)</f>
        <v>0.48752643733073925</v>
      </c>
      <c r="CQ177" s="83" t="str">
        <f t="shared" si="97"/>
        <v>January</v>
      </c>
      <c r="CR177" s="91">
        <f t="shared" si="98"/>
        <v>2015</v>
      </c>
      <c r="CS177" s="91"/>
      <c r="CT177" s="91"/>
      <c r="CU177" s="91"/>
      <c r="CV177" s="91"/>
      <c r="CW177" s="91"/>
      <c r="CX177" s="91"/>
      <c r="CY177" s="91"/>
      <c r="CZ177" s="91"/>
      <c r="DC177" s="1"/>
      <c r="DD177" s="1"/>
    </row>
    <row r="178" spans="90:108" ht="15" x14ac:dyDescent="0.25">
      <c r="CL178" s="91" t="s">
        <v>42</v>
      </c>
      <c r="CM178" s="93">
        <f>INDEX($2:$2,COUNTA($2:$2)-10)</f>
        <v>42036</v>
      </c>
      <c r="CN178" s="95" t="s">
        <v>137</v>
      </c>
      <c r="CO178" s="94">
        <f>INDEX($47:$47,COUNTA($2:$2)-10)</f>
        <v>0</v>
      </c>
      <c r="CP178" s="94">
        <f>INDEX($49:$49,COUNTA($2:$2)-10)</f>
        <v>0.44899012186843484</v>
      </c>
      <c r="CQ178" s="83" t="str">
        <f t="shared" si="97"/>
        <v>February</v>
      </c>
      <c r="CR178" s="91">
        <f t="shared" si="98"/>
        <v>2015</v>
      </c>
      <c r="CS178" s="91"/>
      <c r="CT178" s="91"/>
      <c r="CU178" s="91"/>
      <c r="CV178" s="91"/>
      <c r="CW178" s="91"/>
      <c r="CX178" s="91"/>
      <c r="CY178" s="91"/>
      <c r="CZ178" s="91"/>
      <c r="DC178" s="1"/>
      <c r="DD178" s="1"/>
    </row>
    <row r="179" spans="90:108" ht="15" x14ac:dyDescent="0.25">
      <c r="CL179" s="91" t="s">
        <v>42</v>
      </c>
      <c r="CM179" s="93">
        <f>INDEX($2:$2,COUNTA($2:$2)-9)</f>
        <v>42064</v>
      </c>
      <c r="CN179" s="95" t="s">
        <v>137</v>
      </c>
      <c r="CO179" s="94">
        <f>INDEX($47:$47,COUNTA($2:$2)-9)</f>
        <v>0</v>
      </c>
      <c r="CP179" s="94">
        <f>INDEX($49:$49,COUNTA($2:$2)-9)</f>
        <v>0.37313349715461391</v>
      </c>
      <c r="CQ179" s="83" t="str">
        <f t="shared" si="97"/>
        <v>March</v>
      </c>
      <c r="CR179" s="91">
        <f t="shared" si="98"/>
        <v>2015</v>
      </c>
      <c r="CS179" s="91"/>
      <c r="CT179" s="91"/>
      <c r="CU179" s="91"/>
      <c r="CV179" s="91"/>
      <c r="CW179" s="91"/>
      <c r="CX179" s="91"/>
      <c r="CY179" s="91"/>
      <c r="CZ179" s="91"/>
      <c r="DC179" s="1"/>
      <c r="DD179" s="1"/>
    </row>
    <row r="180" spans="90:108" ht="15" x14ac:dyDescent="0.25">
      <c r="CL180" s="91" t="s">
        <v>42</v>
      </c>
      <c r="CM180" s="93">
        <f>INDEX($2:$2,COUNTA($2:$2)-8)</f>
        <v>42095</v>
      </c>
      <c r="CN180" s="95" t="s">
        <v>137</v>
      </c>
      <c r="CO180" s="94">
        <f>INDEX($47:$47,COUNTA($2:$2)-8)</f>
        <v>2</v>
      </c>
      <c r="CP180" s="94">
        <f>INDEX($49:$49,COUNTA($2:$2)-8)</f>
        <v>0.44872749016134633</v>
      </c>
      <c r="CQ180" s="83" t="str">
        <f t="shared" si="97"/>
        <v>April</v>
      </c>
      <c r="CR180" s="91">
        <f t="shared" si="98"/>
        <v>2015</v>
      </c>
      <c r="CS180" s="91"/>
      <c r="CT180" s="91"/>
      <c r="CU180" s="91"/>
      <c r="CV180" s="91"/>
      <c r="CW180" s="91"/>
      <c r="CX180" s="91"/>
      <c r="CY180" s="91"/>
      <c r="CZ180" s="91"/>
      <c r="DC180" s="1"/>
      <c r="DD180" s="1"/>
    </row>
    <row r="181" spans="90:108" ht="15" x14ac:dyDescent="0.25">
      <c r="CL181" s="91" t="s">
        <v>42</v>
      </c>
      <c r="CM181" s="93">
        <f>INDEX($2:$2,COUNTA($2:$2)-7)</f>
        <v>42125</v>
      </c>
      <c r="CN181" s="95" t="s">
        <v>137</v>
      </c>
      <c r="CO181" s="94">
        <f>INDEX($47:$47,COUNTA($2:$2)-7)</f>
        <v>0</v>
      </c>
      <c r="CP181" s="94">
        <f>INDEX($49:$49,COUNTA($2:$2)-7)</f>
        <v>0.33728312294038815</v>
      </c>
      <c r="CQ181" s="83" t="str">
        <f t="shared" si="97"/>
        <v>May</v>
      </c>
      <c r="CR181" s="91">
        <f t="shared" si="98"/>
        <v>2015</v>
      </c>
      <c r="CS181" s="91"/>
      <c r="CT181" s="91"/>
      <c r="CU181" s="91"/>
      <c r="CV181" s="91"/>
      <c r="CW181" s="91"/>
      <c r="CX181" s="91"/>
      <c r="CY181" s="91"/>
      <c r="CZ181" s="91"/>
      <c r="DC181" s="1"/>
      <c r="DD181" s="1"/>
    </row>
    <row r="182" spans="90:108" ht="15" x14ac:dyDescent="0.25">
      <c r="CL182" s="91" t="s">
        <v>42</v>
      </c>
      <c r="CM182" s="93">
        <f>INDEX($2:$2,COUNTA($2:$2)-6)</f>
        <v>42156</v>
      </c>
      <c r="CN182" s="95" t="s">
        <v>137</v>
      </c>
      <c r="CO182" s="94">
        <f>INDEX($47:$47,COUNTA($2:$2)-6)</f>
        <v>0</v>
      </c>
      <c r="CP182" s="94">
        <f>INDEX($49:$49,COUNTA($2:$2)-6)</f>
        <v>0.29877509102619587</v>
      </c>
      <c r="CQ182" s="83" t="str">
        <f t="shared" si="97"/>
        <v>June</v>
      </c>
      <c r="CR182" s="91">
        <f t="shared" si="98"/>
        <v>2015</v>
      </c>
      <c r="CS182" s="91"/>
      <c r="CT182" s="91"/>
      <c r="CU182" s="91"/>
      <c r="CV182" s="91"/>
      <c r="CW182" s="91"/>
      <c r="CX182" s="91"/>
      <c r="CY182" s="91"/>
      <c r="CZ182" s="91"/>
      <c r="DC182" s="1"/>
      <c r="DD182" s="1"/>
    </row>
    <row r="183" spans="90:108" ht="15" x14ac:dyDescent="0.25">
      <c r="CL183" s="91" t="s">
        <v>42</v>
      </c>
      <c r="CM183" s="93">
        <f>INDEX($2:$2,COUNTA($2:$2)-5)</f>
        <v>42186</v>
      </c>
      <c r="CN183" s="95" t="s">
        <v>137</v>
      </c>
      <c r="CO183" s="94">
        <f>INDEX($47:$47,COUNTA($2:$2)-5)</f>
        <v>1</v>
      </c>
      <c r="CP183" s="94">
        <f>INDEX($49:$49,COUNTA($2:$2)-5)</f>
        <v>0.32415593494734685</v>
      </c>
      <c r="CQ183" s="83" t="str">
        <f t="shared" si="97"/>
        <v>July</v>
      </c>
      <c r="CR183" s="91">
        <f t="shared" si="98"/>
        <v>2015</v>
      </c>
      <c r="CS183" s="91"/>
      <c r="CT183" s="91"/>
      <c r="CU183" s="91"/>
      <c r="CV183" s="91"/>
      <c r="CW183" s="91"/>
      <c r="CX183" s="91"/>
      <c r="CY183" s="91"/>
      <c r="CZ183" s="91"/>
      <c r="DC183" s="1"/>
      <c r="DD183" s="1"/>
    </row>
    <row r="184" spans="90:108" ht="15" x14ac:dyDescent="0.25">
      <c r="CL184" s="91" t="s">
        <v>42</v>
      </c>
      <c r="CM184" s="93">
        <f>INDEX($2:$2,COUNTA($2:$2)-4)</f>
        <v>42217</v>
      </c>
      <c r="CN184" s="95" t="s">
        <v>137</v>
      </c>
      <c r="CO184" s="94">
        <f>INDEX($47:$47,COUNTA($2:$2)-4)</f>
        <v>2</v>
      </c>
      <c r="CP184" s="94">
        <f>INDEX($49:$49,COUNTA($2:$2)-4)</f>
        <v>0.36725286350009922</v>
      </c>
      <c r="CQ184" s="83" t="str">
        <f t="shared" si="97"/>
        <v>August</v>
      </c>
      <c r="CR184" s="91">
        <f t="shared" si="98"/>
        <v>2015</v>
      </c>
      <c r="CS184" s="91"/>
      <c r="CT184" s="91"/>
      <c r="CU184" s="91"/>
      <c r="CV184" s="91"/>
      <c r="CW184" s="91"/>
      <c r="CX184" s="91"/>
      <c r="CY184" s="91"/>
      <c r="CZ184" s="91"/>
      <c r="DC184" s="1"/>
      <c r="DD184" s="1"/>
    </row>
    <row r="185" spans="90:108" ht="15" x14ac:dyDescent="0.25">
      <c r="CL185" s="91" t="s">
        <v>42</v>
      </c>
      <c r="CM185" s="93">
        <f>INDEX($2:$2,COUNTA($2:$2)-3)</f>
        <v>42262</v>
      </c>
      <c r="CN185" s="95" t="s">
        <v>137</v>
      </c>
      <c r="CO185" s="94">
        <f>INDEX($47:$47,COUNTA($2:$2)-3)</f>
        <v>0</v>
      </c>
      <c r="CP185" s="94">
        <f>INDEX($49:$49,COUNTA($2:$2)-3)</f>
        <v>0.32998227835068855</v>
      </c>
      <c r="CQ185" s="83" t="str">
        <f t="shared" si="97"/>
        <v>September</v>
      </c>
      <c r="CR185" s="91">
        <f t="shared" si="98"/>
        <v>2015</v>
      </c>
      <c r="CS185" s="91"/>
      <c r="CT185" s="91"/>
      <c r="CU185" s="91"/>
      <c r="CV185" s="91"/>
      <c r="CW185" s="91"/>
      <c r="CX185" s="91"/>
      <c r="CY185" s="91"/>
      <c r="CZ185" s="91"/>
      <c r="DC185" s="1"/>
      <c r="DD185" s="1"/>
    </row>
    <row r="186" spans="90:108" ht="15" x14ac:dyDescent="0.25">
      <c r="CL186" s="91" t="s">
        <v>42</v>
      </c>
      <c r="CM186" s="93">
        <f>INDEX($2:$2,COUNTA($2:$2)-2)</f>
        <v>42292</v>
      </c>
      <c r="CN186" s="95" t="s">
        <v>137</v>
      </c>
      <c r="CO186" s="94">
        <f>INDEX($47:$47,COUNTA($2:$2)-2)</f>
        <v>1</v>
      </c>
      <c r="CP186" s="94">
        <f>INDEX($49:$49,COUNTA($2:$2)-2)</f>
        <v>0.36610959905345974</v>
      </c>
      <c r="CQ186" s="83" t="str">
        <f t="shared" si="97"/>
        <v>October</v>
      </c>
      <c r="CR186" s="91">
        <f t="shared" si="98"/>
        <v>2015</v>
      </c>
      <c r="CS186" s="91"/>
      <c r="CT186" s="91"/>
      <c r="CU186" s="91"/>
      <c r="CV186" s="91"/>
      <c r="CW186" s="91"/>
      <c r="CX186" s="91"/>
      <c r="CY186" s="91"/>
      <c r="CZ186" s="91"/>
      <c r="DC186" s="1"/>
      <c r="DD186" s="1"/>
    </row>
    <row r="187" spans="90:108" ht="15" x14ac:dyDescent="0.25">
      <c r="CL187" s="91" t="s">
        <v>42</v>
      </c>
      <c r="CM187" s="93">
        <f>INDEX($2:$2,COUNTA($2:$2)-1)</f>
        <v>42323</v>
      </c>
      <c r="CN187" s="95" t="s">
        <v>137</v>
      </c>
      <c r="CO187" s="94">
        <f>INDEX($47:$47,COUNTA($2:$2)-1)</f>
        <v>1</v>
      </c>
      <c r="CP187" s="94">
        <f>INDEX($49:$49,COUNTA($2:$2)-1)</f>
        <v>0.39773006436809288</v>
      </c>
      <c r="CQ187" s="83" t="str">
        <f t="shared" si="97"/>
        <v>November</v>
      </c>
      <c r="CR187" s="91">
        <f t="shared" si="98"/>
        <v>2015</v>
      </c>
      <c r="CS187" s="91"/>
      <c r="CT187" s="91"/>
      <c r="CU187" s="91"/>
      <c r="CV187" s="91"/>
      <c r="CW187" s="91"/>
      <c r="CX187" s="91"/>
      <c r="CY187" s="91"/>
      <c r="CZ187" s="91"/>
      <c r="DC187" s="1"/>
      <c r="DD187" s="1"/>
    </row>
    <row r="188" spans="90:108" x14ac:dyDescent="0.2">
      <c r="CL188" s="91" t="s">
        <v>42</v>
      </c>
      <c r="CM188" s="93">
        <f>INDEX($2:$2,COUNTA($2:$2))</f>
        <v>42353</v>
      </c>
      <c r="CN188" s="95" t="s">
        <v>137</v>
      </c>
      <c r="CO188" s="94">
        <f>INDEX($47:$47,COUNTA($2:$2))</f>
        <v>0</v>
      </c>
      <c r="CP188" s="94">
        <f>INDEX($49:$49,COUNTA($2:$2))</f>
        <v>0.3095086253741377</v>
      </c>
      <c r="CQ188" s="83" t="str">
        <f t="shared" si="97"/>
        <v>December</v>
      </c>
      <c r="CR188" s="91">
        <f t="shared" si="98"/>
        <v>2015</v>
      </c>
      <c r="CS188" s="91"/>
      <c r="CT188" s="91"/>
      <c r="CU188" s="91"/>
      <c r="CV188" s="91"/>
      <c r="CW188" s="91"/>
      <c r="CX188" s="91"/>
      <c r="CY188" s="91"/>
      <c r="CZ188" s="91"/>
    </row>
    <row r="189" spans="90:108" x14ac:dyDescent="0.2">
      <c r="CL189" s="91" t="s">
        <v>42</v>
      </c>
      <c r="CM189" s="93">
        <f>INDEX($2:$2,COUNTA($2:$2)+1)</f>
        <v>42370</v>
      </c>
      <c r="CN189" s="95" t="s">
        <v>137</v>
      </c>
      <c r="CO189" s="94">
        <f>INDEX($47:$47,COUNTA($2:$2)+1)</f>
        <v>0</v>
      </c>
      <c r="CP189" s="94">
        <f>INDEX($49:$49,COUNTA($2:$2)+1)</f>
        <v>0.23509151674200338</v>
      </c>
      <c r="CQ189" s="83" t="str">
        <f t="shared" si="97"/>
        <v>January</v>
      </c>
      <c r="CR189" s="91">
        <f t="shared" si="98"/>
        <v>2016</v>
      </c>
      <c r="CS189" s="91"/>
      <c r="CT189" s="91"/>
      <c r="CU189" s="91"/>
      <c r="CV189" s="91"/>
      <c r="CW189" s="91"/>
      <c r="CX189" s="91"/>
      <c r="CY189" s="91"/>
      <c r="CZ189" s="91"/>
    </row>
    <row r="190" spans="90:108" x14ac:dyDescent="0.2">
      <c r="CL190" s="91" t="s">
        <v>42</v>
      </c>
      <c r="CM190" s="93">
        <f>INDEX($2:$2,COUNTA($2:$2)-22)</f>
        <v>41671</v>
      </c>
      <c r="CN190" s="95" t="s">
        <v>302</v>
      </c>
      <c r="CO190" s="94">
        <f>INDEX($50:$50,COUNTA($2:$2)-22)</f>
        <v>3</v>
      </c>
      <c r="CP190" s="94">
        <f>INDEX($52:$52,COUNTA($2:$2)-22)</f>
        <v>0.70863616936939466</v>
      </c>
      <c r="CQ190" s="83" t="str">
        <f t="shared" si="97"/>
        <v>February</v>
      </c>
      <c r="CR190" s="91">
        <f t="shared" si="98"/>
        <v>2014</v>
      </c>
      <c r="CS190" s="91"/>
      <c r="CT190" s="91"/>
      <c r="CU190" s="91"/>
      <c r="CV190" s="91"/>
      <c r="CW190" s="91"/>
      <c r="CX190" s="91"/>
      <c r="CY190" s="91"/>
      <c r="CZ190" s="91"/>
    </row>
    <row r="191" spans="90:108" x14ac:dyDescent="0.2">
      <c r="CL191" s="91" t="s">
        <v>42</v>
      </c>
      <c r="CM191" s="93">
        <f>INDEX($2:$2,COUNTA($2:$2)-21)</f>
        <v>41699</v>
      </c>
      <c r="CN191" s="95" t="s">
        <v>302</v>
      </c>
      <c r="CO191" s="94">
        <f>INDEX($50:$50,COUNTA($2:$2)-21)</f>
        <v>2</v>
      </c>
      <c r="CP191" s="94">
        <f>INDEX($52:$52,COUNTA($2:$2)-21)</f>
        <v>0.80844877009706928</v>
      </c>
      <c r="CQ191" s="83" t="str">
        <f t="shared" si="97"/>
        <v>March</v>
      </c>
      <c r="CR191" s="91">
        <f t="shared" si="98"/>
        <v>2014</v>
      </c>
      <c r="CS191" s="91"/>
      <c r="CT191" s="91"/>
      <c r="CU191" s="91"/>
      <c r="CV191" s="91"/>
      <c r="CW191" s="91"/>
      <c r="CX191" s="91"/>
      <c r="CY191" s="91"/>
      <c r="CZ191" s="91"/>
    </row>
    <row r="192" spans="90:108" x14ac:dyDescent="0.2">
      <c r="CL192" s="91" t="s">
        <v>42</v>
      </c>
      <c r="CM192" s="93">
        <f>INDEX($2:$2,COUNTA($2:$2)-20)</f>
        <v>41730</v>
      </c>
      <c r="CN192" s="95" t="s">
        <v>302</v>
      </c>
      <c r="CO192" s="94">
        <f>INDEX($50:$50,COUNTA($2:$2)-20)</f>
        <v>1</v>
      </c>
      <c r="CP192" s="94">
        <f>INDEX($52:$52,COUNTA($2:$2)-20)</f>
        <v>0.76201823523244383</v>
      </c>
      <c r="CQ192" s="83" t="str">
        <f t="shared" si="97"/>
        <v>April</v>
      </c>
      <c r="CR192" s="91">
        <f t="shared" si="98"/>
        <v>2014</v>
      </c>
      <c r="CS192" s="91"/>
      <c r="CT192" s="91"/>
      <c r="CU192" s="91"/>
      <c r="CV192" s="91"/>
      <c r="CW192" s="91"/>
      <c r="CX192" s="91"/>
      <c r="CY192" s="91"/>
      <c r="CZ192" s="91"/>
    </row>
    <row r="193" spans="90:104" x14ac:dyDescent="0.2">
      <c r="CL193" s="91" t="s">
        <v>42</v>
      </c>
      <c r="CM193" s="93">
        <f>INDEX($2:$2,COUNTA($2:$2)-19)</f>
        <v>41760</v>
      </c>
      <c r="CN193" s="95" t="s">
        <v>302</v>
      </c>
      <c r="CO193" s="94">
        <f>INDEX($50:$50,COUNTA($2:$2)-19)</f>
        <v>0</v>
      </c>
      <c r="CP193" s="94">
        <f>INDEX($52:$52,COUNTA($2:$2)-19)</f>
        <v>0.72045312199238976</v>
      </c>
      <c r="CQ193" s="83" t="str">
        <f t="shared" si="97"/>
        <v>May</v>
      </c>
      <c r="CR193" s="91">
        <f t="shared" si="98"/>
        <v>2014</v>
      </c>
      <c r="CS193" s="91"/>
      <c r="CT193" s="91"/>
      <c r="CU193" s="91"/>
      <c r="CV193" s="91"/>
      <c r="CW193" s="91"/>
      <c r="CX193" s="91"/>
      <c r="CY193" s="91"/>
      <c r="CZ193" s="91"/>
    </row>
    <row r="194" spans="90:104" x14ac:dyDescent="0.2">
      <c r="CL194" s="91" t="s">
        <v>42</v>
      </c>
      <c r="CM194" s="93">
        <f>INDEX($2:$2,COUNTA($2:$2)-18)</f>
        <v>41791</v>
      </c>
      <c r="CN194" s="95" t="s">
        <v>302</v>
      </c>
      <c r="CO194" s="94">
        <f>INDEX($50:$50,COUNTA($2:$2)-18)</f>
        <v>1</v>
      </c>
      <c r="CP194" s="94">
        <f>INDEX($52:$52,COUNTA($2:$2)-18)</f>
        <v>0.73558444453396243</v>
      </c>
      <c r="CQ194" s="83" t="str">
        <f t="shared" si="97"/>
        <v>June</v>
      </c>
      <c r="CR194" s="91">
        <f t="shared" si="98"/>
        <v>2014</v>
      </c>
      <c r="CS194" s="91"/>
      <c r="CT194" s="91"/>
      <c r="CU194" s="91"/>
      <c r="CV194" s="91"/>
      <c r="CW194" s="91"/>
      <c r="CX194" s="91"/>
      <c r="CY194" s="91"/>
      <c r="CZ194" s="91"/>
    </row>
    <row r="195" spans="90:104" x14ac:dyDescent="0.2">
      <c r="CL195" s="91" t="s">
        <v>42</v>
      </c>
      <c r="CM195" s="93">
        <f>INDEX($2:$2,COUNTA($2:$2)-17)</f>
        <v>41821</v>
      </c>
      <c r="CN195" s="95" t="s">
        <v>302</v>
      </c>
      <c r="CO195" s="94">
        <f>INDEX($50:$50,COUNTA($2:$2)-17)</f>
        <v>2</v>
      </c>
      <c r="CP195" s="94">
        <f>INDEX($52:$52,COUNTA($2:$2)-17)</f>
        <v>0.78982706457658602</v>
      </c>
      <c r="CQ195" s="83" t="str">
        <f t="shared" si="97"/>
        <v>July</v>
      </c>
      <c r="CR195" s="91">
        <f t="shared" si="98"/>
        <v>2014</v>
      </c>
      <c r="CS195" s="91"/>
      <c r="CT195" s="91"/>
      <c r="CU195" s="91"/>
      <c r="CV195" s="91"/>
      <c r="CW195" s="91"/>
      <c r="CX195" s="91"/>
      <c r="CY195" s="91"/>
      <c r="CZ195" s="91"/>
    </row>
    <row r="196" spans="90:104" x14ac:dyDescent="0.2">
      <c r="CL196" s="91" t="s">
        <v>42</v>
      </c>
      <c r="CM196" s="93">
        <f>INDEX($2:$2,COUNTA($2:$2)-16)</f>
        <v>41852</v>
      </c>
      <c r="CN196" s="95" t="s">
        <v>302</v>
      </c>
      <c r="CO196" s="94">
        <f>INDEX($50:$50,COUNTA($2:$2)-16)</f>
        <v>0</v>
      </c>
      <c r="CP196" s="94">
        <f>INDEX($52:$52,COUNTA($2:$2)-16)</f>
        <v>0.75453895181175379</v>
      </c>
      <c r="CQ196" s="83" t="str">
        <f t="shared" si="97"/>
        <v>August</v>
      </c>
      <c r="CR196" s="91">
        <f t="shared" si="98"/>
        <v>2014</v>
      </c>
      <c r="CS196" s="91"/>
      <c r="CT196" s="91"/>
      <c r="CU196" s="91"/>
      <c r="CV196" s="91"/>
      <c r="CW196" s="91"/>
      <c r="CX196" s="91"/>
      <c r="CY196" s="91"/>
      <c r="CZ196" s="91"/>
    </row>
    <row r="197" spans="90:104" x14ac:dyDescent="0.2">
      <c r="CL197" s="91" t="s">
        <v>42</v>
      </c>
      <c r="CM197" s="93">
        <f>INDEX($2:$2,COUNTA($2:$2)-15)</f>
        <v>41883</v>
      </c>
      <c r="CN197" s="95" t="s">
        <v>302</v>
      </c>
      <c r="CO197" s="94">
        <f>INDEX($50:$50,COUNTA($2:$2)-15)</f>
        <v>1</v>
      </c>
      <c r="CP197" s="94">
        <f>INDEX($52:$52,COUNTA($2:$2)-15)</f>
        <v>0.67959315713912316</v>
      </c>
      <c r="CQ197" s="83" t="str">
        <f t="shared" si="97"/>
        <v>September</v>
      </c>
      <c r="CR197" s="91">
        <f t="shared" si="98"/>
        <v>2014</v>
      </c>
      <c r="CS197" s="91"/>
      <c r="CT197" s="91"/>
      <c r="CU197" s="91"/>
      <c r="CV197" s="91"/>
      <c r="CW197" s="91"/>
      <c r="CX197" s="91"/>
      <c r="CY197" s="91"/>
      <c r="CZ197" s="91"/>
    </row>
    <row r="198" spans="90:104" x14ac:dyDescent="0.2">
      <c r="CL198" s="91" t="s">
        <v>42</v>
      </c>
      <c r="CM198" s="93">
        <f>INDEX($2:$2,COUNTA($2:$2)-14)</f>
        <v>41913</v>
      </c>
      <c r="CN198" s="95" t="s">
        <v>302</v>
      </c>
      <c r="CO198" s="94">
        <f>INDEX($50:$50,COUNTA($2:$2)-14)</f>
        <v>0</v>
      </c>
      <c r="CP198" s="94">
        <f>INDEX($52:$52,COUNTA($2:$2)-14)</f>
        <v>0.65144730898425374</v>
      </c>
      <c r="CQ198" s="83" t="str">
        <f t="shared" si="97"/>
        <v>October</v>
      </c>
      <c r="CR198" s="91">
        <f t="shared" si="98"/>
        <v>2014</v>
      </c>
      <c r="CS198" s="91"/>
      <c r="CT198" s="91"/>
      <c r="CU198" s="91"/>
      <c r="CV198" s="91"/>
      <c r="CW198" s="91"/>
      <c r="CX198" s="91"/>
      <c r="CY198" s="91"/>
      <c r="CZ198" s="91"/>
    </row>
    <row r="199" spans="90:104" x14ac:dyDescent="0.2">
      <c r="CL199" s="91" t="s">
        <v>42</v>
      </c>
      <c r="CM199" s="93">
        <f>INDEX($2:$2,COUNTA($2:$2)-13)</f>
        <v>41944</v>
      </c>
      <c r="CN199" s="95" t="s">
        <v>302</v>
      </c>
      <c r="CO199" s="94">
        <f>INDEX($50:$50,COUNTA($2:$2)-13)</f>
        <v>0</v>
      </c>
      <c r="CP199" s="94">
        <f>INDEX($52:$52,COUNTA($2:$2)-13)</f>
        <v>0.62749924492721709</v>
      </c>
      <c r="CQ199" s="83" t="str">
        <f t="shared" si="97"/>
        <v>November</v>
      </c>
      <c r="CR199" s="91">
        <f t="shared" si="98"/>
        <v>2014</v>
      </c>
      <c r="CS199" s="91"/>
      <c r="CT199" s="91"/>
      <c r="CU199" s="91"/>
      <c r="CV199" s="91"/>
      <c r="CW199" s="91"/>
      <c r="CX199" s="91"/>
      <c r="CY199" s="91"/>
      <c r="CZ199" s="91"/>
    </row>
    <row r="200" spans="90:104" x14ac:dyDescent="0.2">
      <c r="CL200" s="91" t="s">
        <v>42</v>
      </c>
      <c r="CM200" s="93">
        <f>INDEX($2:$2,COUNTA($2:$2)-12)</f>
        <v>41974</v>
      </c>
      <c r="CN200" s="95" t="s">
        <v>302</v>
      </c>
      <c r="CO200" s="94">
        <f>INDEX($50:$50,COUNTA($2:$2)-12)</f>
        <v>0</v>
      </c>
      <c r="CP200" s="94">
        <f>INDEX($52:$52,COUNTA($2:$2)-12)</f>
        <v>0.48984780716887866</v>
      </c>
      <c r="CQ200" s="83" t="str">
        <f t="shared" si="97"/>
        <v>December</v>
      </c>
      <c r="CR200" s="91">
        <f t="shared" si="98"/>
        <v>2014</v>
      </c>
      <c r="CS200" s="91"/>
      <c r="CT200" s="91"/>
      <c r="CU200" s="91"/>
      <c r="CV200" s="91"/>
      <c r="CW200" s="91"/>
      <c r="CX200" s="91"/>
      <c r="CY200" s="91"/>
      <c r="CZ200" s="91"/>
    </row>
    <row r="201" spans="90:104" x14ac:dyDescent="0.2">
      <c r="CL201" s="91" t="s">
        <v>42</v>
      </c>
      <c r="CM201" s="93">
        <f>INDEX($2:$2,COUNTA($2:$2)-11)</f>
        <v>42005</v>
      </c>
      <c r="CN201" s="95" t="s">
        <v>302</v>
      </c>
      <c r="CO201" s="94">
        <f>INDEX($50:$50,COUNTA($2:$2)-11)</f>
        <v>3</v>
      </c>
      <c r="CP201" s="94">
        <f>INDEX($52:$52,COUNTA($2:$2)-11)</f>
        <v>0.48752643733073925</v>
      </c>
      <c r="CQ201" s="83" t="str">
        <f t="shared" si="97"/>
        <v>January</v>
      </c>
      <c r="CR201" s="91">
        <f t="shared" si="98"/>
        <v>2015</v>
      </c>
      <c r="CS201" s="91"/>
      <c r="CT201" s="91"/>
      <c r="CU201" s="91"/>
      <c r="CV201" s="91"/>
      <c r="CW201" s="91"/>
      <c r="CX201" s="91"/>
      <c r="CY201" s="91"/>
      <c r="CZ201" s="91"/>
    </row>
    <row r="202" spans="90:104" x14ac:dyDescent="0.2">
      <c r="CL202" s="91" t="s">
        <v>42</v>
      </c>
      <c r="CM202" s="93">
        <f>INDEX($2:$2,COUNTA($2:$2)-10)</f>
        <v>42036</v>
      </c>
      <c r="CN202" s="95" t="s">
        <v>302</v>
      </c>
      <c r="CO202" s="94">
        <f>INDEX($50:$50,COUNTA($2:$2)-10)</f>
        <v>1</v>
      </c>
      <c r="CP202" s="94">
        <f>INDEX($52:$52,COUNTA($2:$2)-10)</f>
        <v>0.41157427837939858</v>
      </c>
      <c r="CQ202" s="83" t="str">
        <f t="shared" si="97"/>
        <v>February</v>
      </c>
      <c r="CR202" s="91">
        <f t="shared" si="98"/>
        <v>2015</v>
      </c>
      <c r="CS202" s="91"/>
      <c r="CT202" s="91"/>
      <c r="CU202" s="91"/>
      <c r="CV202" s="91"/>
      <c r="CW202" s="91"/>
      <c r="CX202" s="91"/>
      <c r="CY202" s="91"/>
      <c r="CZ202" s="91"/>
    </row>
    <row r="203" spans="90:104" x14ac:dyDescent="0.2">
      <c r="CL203" s="91" t="s">
        <v>42</v>
      </c>
      <c r="CM203" s="93">
        <f>INDEX($2:$2,COUNTA($2:$2)-9)</f>
        <v>42064</v>
      </c>
      <c r="CN203" s="95" t="s">
        <v>302</v>
      </c>
      <c r="CO203" s="94">
        <f>INDEX($50:$50,COUNTA($2:$2)-9)</f>
        <v>0</v>
      </c>
      <c r="CP203" s="94">
        <f>INDEX($52:$52,COUNTA($2:$2)-9)</f>
        <v>0.33582014743915251</v>
      </c>
      <c r="CQ203" s="83" t="str">
        <f t="shared" si="97"/>
        <v>March</v>
      </c>
      <c r="CR203" s="91">
        <f t="shared" si="98"/>
        <v>2015</v>
      </c>
      <c r="CS203" s="91"/>
      <c r="CT203" s="91"/>
      <c r="CU203" s="91"/>
      <c r="CV203" s="91"/>
      <c r="CW203" s="91"/>
      <c r="CX203" s="91"/>
      <c r="CY203" s="91"/>
      <c r="CZ203" s="91"/>
    </row>
    <row r="204" spans="90:104" x14ac:dyDescent="0.2">
      <c r="CL204" s="91" t="s">
        <v>42</v>
      </c>
      <c r="CM204" s="93">
        <f>INDEX($2:$2,COUNTA($2:$2)-8)</f>
        <v>42095</v>
      </c>
      <c r="CN204" s="95" t="s">
        <v>302</v>
      </c>
      <c r="CO204" s="94">
        <f>INDEX($50:$50,COUNTA($2:$2)-8)</f>
        <v>0</v>
      </c>
      <c r="CP204" s="94">
        <f>INDEX($52:$52,COUNTA($2:$2)-8)</f>
        <v>0.29915166010756428</v>
      </c>
      <c r="CQ204" s="83" t="str">
        <f t="shared" si="97"/>
        <v>April</v>
      </c>
      <c r="CR204" s="91">
        <f t="shared" si="98"/>
        <v>2015</v>
      </c>
      <c r="CS204" s="91"/>
      <c r="CT204" s="91"/>
      <c r="CU204" s="91"/>
      <c r="CV204" s="91"/>
      <c r="CW204" s="91"/>
      <c r="CX204" s="91"/>
      <c r="CY204" s="91"/>
      <c r="CZ204" s="91"/>
    </row>
    <row r="205" spans="90:104" x14ac:dyDescent="0.2">
      <c r="CL205" s="91" t="s">
        <v>42</v>
      </c>
      <c r="CM205" s="93">
        <f>INDEX($2:$2,COUNTA($2:$2)-7)</f>
        <v>42125</v>
      </c>
      <c r="CN205" s="95" t="s">
        <v>302</v>
      </c>
      <c r="CO205" s="94">
        <f>INDEX($50:$50,COUNTA($2:$2)-7)</f>
        <v>1</v>
      </c>
      <c r="CP205" s="94">
        <f>INDEX($52:$52,COUNTA($2:$2)-7)</f>
        <v>0.33728312294038815</v>
      </c>
      <c r="CQ205" s="83" t="str">
        <f t="shared" si="97"/>
        <v>May</v>
      </c>
      <c r="CR205" s="91">
        <f t="shared" si="98"/>
        <v>2015</v>
      </c>
      <c r="CS205" s="91"/>
      <c r="CT205" s="91"/>
      <c r="CU205" s="91"/>
      <c r="CV205" s="91"/>
      <c r="CW205" s="91"/>
      <c r="CX205" s="91"/>
      <c r="CY205" s="91"/>
      <c r="CZ205" s="91"/>
    </row>
    <row r="206" spans="90:104" x14ac:dyDescent="0.2">
      <c r="CL206" s="91" t="s">
        <v>42</v>
      </c>
      <c r="CM206" s="93">
        <f>INDEX($2:$2,COUNTA($2:$2)-6)</f>
        <v>42156</v>
      </c>
      <c r="CN206" s="95" t="s">
        <v>302</v>
      </c>
      <c r="CO206" s="94">
        <f>INDEX($50:$50,COUNTA($2:$2)-6)</f>
        <v>3</v>
      </c>
      <c r="CP206" s="94">
        <f>INDEX($52:$52,COUNTA($2:$2)-6)</f>
        <v>0.41081575016101929</v>
      </c>
      <c r="CQ206" s="83" t="str">
        <f t="shared" si="97"/>
        <v>June</v>
      </c>
      <c r="CR206" s="91">
        <f t="shared" si="98"/>
        <v>2015</v>
      </c>
      <c r="CS206" s="91"/>
      <c r="CT206" s="91"/>
      <c r="CU206" s="91"/>
      <c r="CV206" s="91"/>
      <c r="CW206" s="91"/>
      <c r="CX206" s="91"/>
      <c r="CY206" s="91"/>
      <c r="CZ206" s="91"/>
    </row>
    <row r="207" spans="90:104" x14ac:dyDescent="0.2">
      <c r="CL207" s="91" t="s">
        <v>42</v>
      </c>
      <c r="CM207" s="93">
        <f>INDEX($2:$2,COUNTA($2:$2)-5)</f>
        <v>42186</v>
      </c>
      <c r="CN207" s="95" t="s">
        <v>302</v>
      </c>
      <c r="CO207" s="94">
        <f>INDEX($50:$50,COUNTA($2:$2)-5)</f>
        <v>1</v>
      </c>
      <c r="CP207" s="94">
        <f>INDEX($52:$52,COUNTA($2:$2)-5)</f>
        <v>0.36017326105260761</v>
      </c>
      <c r="CQ207" s="83" t="str">
        <f t="shared" si="97"/>
        <v>July</v>
      </c>
      <c r="CR207" s="91">
        <f t="shared" si="98"/>
        <v>2015</v>
      </c>
      <c r="CS207" s="91"/>
      <c r="CT207" s="91"/>
      <c r="CU207" s="91"/>
      <c r="CV207" s="91"/>
      <c r="CW207" s="91"/>
      <c r="CX207" s="91"/>
      <c r="CY207" s="91"/>
      <c r="CZ207" s="91"/>
    </row>
    <row r="208" spans="90:104" x14ac:dyDescent="0.2">
      <c r="CL208" s="91" t="s">
        <v>42</v>
      </c>
      <c r="CM208" s="93">
        <f>INDEX($2:$2,COUNTA($2:$2)-4)</f>
        <v>42217</v>
      </c>
      <c r="CN208" s="95" t="s">
        <v>302</v>
      </c>
      <c r="CO208" s="94">
        <f>INDEX($50:$50,COUNTA($2:$2)-4)</f>
        <v>0</v>
      </c>
      <c r="CP208" s="94">
        <f>INDEX($52:$52,COUNTA($2:$2)-4)</f>
        <v>0.36725286350009922</v>
      </c>
      <c r="CQ208" s="83" t="str">
        <f t="shared" si="97"/>
        <v>August</v>
      </c>
      <c r="CR208" s="91">
        <f t="shared" si="98"/>
        <v>2015</v>
      </c>
      <c r="CS208" s="91"/>
      <c r="CT208" s="91"/>
      <c r="CU208" s="91"/>
      <c r="CV208" s="91"/>
      <c r="CW208" s="91"/>
      <c r="CX208" s="91"/>
      <c r="CY208" s="91"/>
      <c r="CZ208" s="91"/>
    </row>
    <row r="209" spans="90:104" x14ac:dyDescent="0.2">
      <c r="CL209" s="91" t="s">
        <v>42</v>
      </c>
      <c r="CM209" s="93">
        <f>INDEX($2:$2,COUNTA($2:$2)-3)</f>
        <v>42262</v>
      </c>
      <c r="CN209" s="95" t="s">
        <v>302</v>
      </c>
      <c r="CO209" s="94">
        <f>INDEX($50:$50,COUNTA($2:$2)-3)</f>
        <v>1</v>
      </c>
      <c r="CP209" s="94">
        <f>INDEX($52:$52,COUNTA($2:$2)-3)</f>
        <v>0.36664697594520956</v>
      </c>
      <c r="CQ209" s="83" t="str">
        <f t="shared" si="97"/>
        <v>September</v>
      </c>
      <c r="CR209" s="91">
        <f t="shared" si="98"/>
        <v>2015</v>
      </c>
      <c r="CS209" s="91"/>
      <c r="CT209" s="91"/>
      <c r="CU209" s="91"/>
      <c r="CV209" s="91"/>
      <c r="CW209" s="91"/>
      <c r="CX209" s="91"/>
      <c r="CY209" s="91"/>
      <c r="CZ209" s="91"/>
    </row>
    <row r="210" spans="90:104" x14ac:dyDescent="0.2">
      <c r="CL210" s="91" t="s">
        <v>42</v>
      </c>
      <c r="CM210" s="93">
        <f>INDEX($2:$2,COUNTA($2:$2)-2)</f>
        <v>42292</v>
      </c>
      <c r="CN210" s="95" t="s">
        <v>302</v>
      </c>
      <c r="CO210" s="94">
        <f>INDEX($50:$50,COUNTA($2:$2)-2)</f>
        <v>0</v>
      </c>
      <c r="CP210" s="94">
        <f>INDEX($52:$52,COUNTA($2:$2)-2)</f>
        <v>0.36610959905345974</v>
      </c>
      <c r="CQ210" s="83" t="str">
        <f t="shared" si="97"/>
        <v>October</v>
      </c>
      <c r="CR210" s="91">
        <f t="shared" si="98"/>
        <v>2015</v>
      </c>
      <c r="CS210" s="91"/>
      <c r="CT210" s="91"/>
      <c r="CU210" s="91"/>
      <c r="CV210" s="91"/>
      <c r="CW210" s="91"/>
      <c r="CX210" s="91"/>
      <c r="CY210" s="91"/>
      <c r="CZ210" s="91"/>
    </row>
    <row r="211" spans="90:104" x14ac:dyDescent="0.2">
      <c r="CL211" s="91" t="s">
        <v>42</v>
      </c>
      <c r="CM211" s="93">
        <f>INDEX($2:$2,COUNTA($2:$2)-1)</f>
        <v>42323</v>
      </c>
      <c r="CN211" s="95" t="s">
        <v>302</v>
      </c>
      <c r="CO211" s="94">
        <f>INDEX($50:$50,COUNTA($2:$2)-1)</f>
        <v>0</v>
      </c>
      <c r="CP211" s="94">
        <f>INDEX($52:$52,COUNTA($2:$2)-1)</f>
        <v>0.36157278578917534</v>
      </c>
      <c r="CQ211" s="83" t="str">
        <f t="shared" si="97"/>
        <v>November</v>
      </c>
      <c r="CR211" s="91">
        <f t="shared" si="98"/>
        <v>2015</v>
      </c>
      <c r="CS211" s="91"/>
      <c r="CT211" s="91"/>
      <c r="CU211" s="91"/>
      <c r="CV211" s="91"/>
      <c r="CW211" s="91"/>
      <c r="CX211" s="91"/>
      <c r="CY211" s="91"/>
      <c r="CZ211" s="91"/>
    </row>
    <row r="212" spans="90:104" x14ac:dyDescent="0.2">
      <c r="CL212" s="91" t="s">
        <v>42</v>
      </c>
      <c r="CM212" s="93">
        <f>INDEX($2:$2,COUNTA($2:$2))</f>
        <v>42353</v>
      </c>
      <c r="CN212" s="95" t="s">
        <v>302</v>
      </c>
      <c r="CO212" s="94">
        <f>INDEX($50:$50,COUNTA($2:$2))</f>
        <v>1</v>
      </c>
      <c r="CP212" s="94">
        <f>INDEX($52:$52,COUNTA($2:$2))</f>
        <v>0.3782883199017239</v>
      </c>
      <c r="CQ212" s="83" t="str">
        <f t="shared" si="97"/>
        <v>December</v>
      </c>
      <c r="CR212" s="91">
        <f t="shared" si="98"/>
        <v>2015</v>
      </c>
      <c r="CS212" s="91"/>
      <c r="CT212" s="91"/>
      <c r="CU212" s="91"/>
      <c r="CV212" s="91"/>
      <c r="CW212" s="91"/>
      <c r="CX212" s="91"/>
      <c r="CY212" s="91"/>
      <c r="CZ212" s="91"/>
    </row>
    <row r="213" spans="90:104" x14ac:dyDescent="0.2">
      <c r="CL213" s="91" t="s">
        <v>42</v>
      </c>
      <c r="CM213" s="93">
        <f>INDEX($2:$2,COUNTA($2:$2)+1)</f>
        <v>42370</v>
      </c>
      <c r="CN213" s="95" t="s">
        <v>302</v>
      </c>
      <c r="CO213" s="94">
        <f>INDEX($50:$50,COUNTA($2:$2)+1)</f>
        <v>2</v>
      </c>
      <c r="CP213" s="94">
        <f>INDEX($52:$52,COUNTA($2:$2)+1)</f>
        <v>0.33584502391714766</v>
      </c>
      <c r="CQ213" s="83" t="str">
        <f t="shared" si="97"/>
        <v>January</v>
      </c>
      <c r="CR213" s="91">
        <f t="shared" si="98"/>
        <v>2016</v>
      </c>
      <c r="CS213" s="91"/>
      <c r="CT213" s="91"/>
      <c r="CU213" s="91"/>
      <c r="CV213" s="91"/>
      <c r="CW213" s="91"/>
      <c r="CX213" s="91"/>
      <c r="CY213" s="91"/>
      <c r="CZ213" s="91"/>
    </row>
    <row r="214" spans="90:104" x14ac:dyDescent="0.2">
      <c r="CL214" s="91" t="s">
        <v>42</v>
      </c>
      <c r="CM214" s="93">
        <f>INDEX($2:$2,COUNTA($2:$2)-22)</f>
        <v>41671</v>
      </c>
      <c r="CN214" s="95" t="s">
        <v>303</v>
      </c>
      <c r="CO214" s="94">
        <f>INDEX($33:$33,COUNTA($2:$2)-22)+INDEX($34:$34,COUNTA($2:$2)-22)</f>
        <v>0</v>
      </c>
      <c r="CP214" s="94">
        <f>INDEX($56:$56,COUNTA($2:$2)-22)</f>
        <v>0.2362120564564649</v>
      </c>
      <c r="CQ214" s="83" t="str">
        <f t="shared" si="97"/>
        <v>February</v>
      </c>
      <c r="CR214" s="91">
        <f t="shared" si="98"/>
        <v>2014</v>
      </c>
      <c r="CS214" s="91"/>
      <c r="CT214" s="91"/>
      <c r="CU214" s="91"/>
      <c r="CV214" s="91"/>
      <c r="CW214" s="91"/>
      <c r="CX214" s="91"/>
      <c r="CY214" s="91"/>
      <c r="CZ214" s="91"/>
    </row>
    <row r="215" spans="90:104" x14ac:dyDescent="0.2">
      <c r="CL215" s="91" t="s">
        <v>42</v>
      </c>
      <c r="CM215" s="93">
        <f>INDEX($2:$2,COUNTA($2:$2)-21)</f>
        <v>41699</v>
      </c>
      <c r="CN215" s="95" t="s">
        <v>303</v>
      </c>
      <c r="CO215" s="94">
        <f>INDEX($33:$33,COUNTA($2:$2)-21)+INDEX($34:$34,COUNTA($2:$2)-21)</f>
        <v>0</v>
      </c>
      <c r="CP215" s="94">
        <f>INDEX($56:$56,COUNTA($2:$2)-21)</f>
        <v>0.23098536288487689</v>
      </c>
      <c r="CQ215" s="83" t="str">
        <f t="shared" ref="CQ215:CQ278" si="99">CHOOSE(MONTH(CM215),"January","February","March","April","May","June","July","August","September","October","November","December")</f>
        <v>March</v>
      </c>
      <c r="CR215" s="91">
        <f t="shared" ref="CR215:CR278" si="100">YEAR(CM215)</f>
        <v>2014</v>
      </c>
      <c r="CS215" s="91"/>
      <c r="CT215" s="91"/>
      <c r="CU215" s="91"/>
      <c r="CV215" s="91"/>
      <c r="CW215" s="91"/>
      <c r="CX215" s="91"/>
      <c r="CY215" s="91"/>
      <c r="CZ215" s="91"/>
    </row>
    <row r="216" spans="90:104" x14ac:dyDescent="0.2">
      <c r="CL216" s="91" t="s">
        <v>42</v>
      </c>
      <c r="CM216" s="93">
        <f>INDEX($2:$2,COUNTA($2:$2)-20)</f>
        <v>41730</v>
      </c>
      <c r="CN216" s="95" t="s">
        <v>303</v>
      </c>
      <c r="CO216" s="94">
        <f>INDEX($53:$53,COUNTA($2:$2)-20)+INDEX($54:$54,COUNTA($2:$2)-20)</f>
        <v>0</v>
      </c>
      <c r="CP216" s="94">
        <f>INDEX($56:$56,COUNTA($2:$2)-20)</f>
        <v>0.16328962183552367</v>
      </c>
      <c r="CQ216" s="83" t="str">
        <f t="shared" si="99"/>
        <v>April</v>
      </c>
      <c r="CR216" s="91">
        <f t="shared" si="100"/>
        <v>2014</v>
      </c>
      <c r="CS216" s="91"/>
      <c r="CT216" s="91"/>
      <c r="CU216" s="91"/>
      <c r="CV216" s="91"/>
      <c r="CW216" s="91"/>
      <c r="CX216" s="91"/>
      <c r="CY216" s="91"/>
      <c r="CZ216" s="91"/>
    </row>
    <row r="217" spans="90:104" x14ac:dyDescent="0.2">
      <c r="CL217" s="91" t="s">
        <v>42</v>
      </c>
      <c r="CM217" s="93">
        <f>INDEX($2:$2,COUNTA($2:$2)-19)</f>
        <v>41760</v>
      </c>
      <c r="CN217" s="95" t="s">
        <v>303</v>
      </c>
      <c r="CO217" s="94">
        <f>INDEX($53:$53,COUNTA($2:$2)-19)+INDEX($54:$54,COUNTA($2:$2)-19)</f>
        <v>0</v>
      </c>
      <c r="CP217" s="94">
        <f>INDEX($56:$56,COUNTA($2:$2)-19)</f>
        <v>0.15438281185551206</v>
      </c>
      <c r="CQ217" s="83" t="str">
        <f t="shared" si="99"/>
        <v>May</v>
      </c>
      <c r="CR217" s="91">
        <f t="shared" si="100"/>
        <v>2014</v>
      </c>
      <c r="CS217" s="91"/>
      <c r="CT217" s="91"/>
      <c r="CU217" s="91"/>
      <c r="CV217" s="91"/>
      <c r="CW217" s="91"/>
      <c r="CX217" s="91"/>
      <c r="CY217" s="91"/>
      <c r="CZ217" s="91"/>
    </row>
    <row r="218" spans="90:104" x14ac:dyDescent="0.2">
      <c r="CL218" s="91" t="s">
        <v>42</v>
      </c>
      <c r="CM218" s="93">
        <f>INDEX($2:$2,COUNTA($2:$2)-18)</f>
        <v>41791</v>
      </c>
      <c r="CN218" s="95" t="s">
        <v>303</v>
      </c>
      <c r="CO218" s="94">
        <f>INDEX($53:$53,COUNTA($2:$2)-18)+INDEX($54:$54,COUNTA($2:$2)-18)</f>
        <v>0</v>
      </c>
      <c r="CP218" s="94">
        <f>INDEX($56:$56,COUNTA($2:$2)-18)</f>
        <v>0.1471168889067925</v>
      </c>
      <c r="CQ218" s="83" t="str">
        <f t="shared" si="99"/>
        <v>June</v>
      </c>
      <c r="CR218" s="91">
        <f t="shared" si="100"/>
        <v>2014</v>
      </c>
      <c r="CS218" s="91"/>
      <c r="CT218" s="91"/>
      <c r="CU218" s="91"/>
      <c r="CV218" s="91"/>
      <c r="CW218" s="91"/>
      <c r="CX218" s="91"/>
      <c r="CY218" s="91"/>
      <c r="CZ218" s="91"/>
    </row>
    <row r="219" spans="90:104" x14ac:dyDescent="0.2">
      <c r="CL219" s="91" t="s">
        <v>42</v>
      </c>
      <c r="CM219" s="93">
        <f>INDEX($2:$2,COUNTA($2:$2)-17)</f>
        <v>41821</v>
      </c>
      <c r="CN219" s="95" t="s">
        <v>303</v>
      </c>
      <c r="CO219" s="94">
        <f>INDEX($53:$53,COUNTA($2:$2)-17)+INDEX($54:$54,COUNTA($2:$2)-17)</f>
        <v>0</v>
      </c>
      <c r="CP219" s="94">
        <f>INDEX($56:$56,COUNTA($2:$2)-17)</f>
        <v>0.13938124668998578</v>
      </c>
      <c r="CQ219" s="83" t="str">
        <f t="shared" si="99"/>
        <v>July</v>
      </c>
      <c r="CR219" s="91">
        <f t="shared" si="100"/>
        <v>2014</v>
      </c>
      <c r="CS219" s="91"/>
      <c r="CT219" s="91"/>
      <c r="CU219" s="91"/>
      <c r="CV219" s="91"/>
      <c r="CW219" s="91"/>
      <c r="CX219" s="91"/>
      <c r="CY219" s="91"/>
      <c r="CZ219" s="91"/>
    </row>
    <row r="220" spans="90:104" x14ac:dyDescent="0.2">
      <c r="CL220" s="91" t="s">
        <v>42</v>
      </c>
      <c r="CM220" s="93">
        <f>INDEX($2:$2,COUNTA($2:$2)-16)</f>
        <v>41852</v>
      </c>
      <c r="CN220" s="95" t="s">
        <v>303</v>
      </c>
      <c r="CO220" s="94">
        <f>INDEX($53:$53,COUNTA($2:$2)-16)+INDEX($54:$54,COUNTA($2:$2)-16)</f>
        <v>0</v>
      </c>
      <c r="CP220" s="94">
        <f>INDEX($56:$56,COUNTA($2:$2)-16)</f>
        <v>0.13315393267266246</v>
      </c>
      <c r="CQ220" s="83" t="str">
        <f t="shared" si="99"/>
        <v>August</v>
      </c>
      <c r="CR220" s="91">
        <f t="shared" si="100"/>
        <v>2014</v>
      </c>
      <c r="CS220" s="91"/>
      <c r="CT220" s="91"/>
      <c r="CU220" s="91"/>
      <c r="CV220" s="91"/>
      <c r="CW220" s="91"/>
      <c r="CX220" s="91"/>
      <c r="CY220" s="91"/>
      <c r="CZ220" s="91"/>
    </row>
    <row r="221" spans="90:104" x14ac:dyDescent="0.2">
      <c r="CL221" s="91" t="s">
        <v>42</v>
      </c>
      <c r="CM221" s="93">
        <f>INDEX($2:$2,COUNTA($2:$2)-15)</f>
        <v>41883</v>
      </c>
      <c r="CN221" s="95" t="s">
        <v>303</v>
      </c>
      <c r="CO221" s="94">
        <f>INDEX($53:$53,COUNTA($2:$2)-15)+INDEX($54:$54,COUNTA($2:$2)-15)</f>
        <v>0</v>
      </c>
      <c r="CP221" s="94">
        <f>INDEX($56:$56,COUNTA($2:$2)-15)</f>
        <v>0.12742371696358559</v>
      </c>
      <c r="CQ221" s="83" t="str">
        <f t="shared" si="99"/>
        <v>September</v>
      </c>
      <c r="CR221" s="91">
        <f t="shared" si="100"/>
        <v>2014</v>
      </c>
      <c r="CS221" s="91"/>
      <c r="CT221" s="91"/>
      <c r="CU221" s="91"/>
      <c r="CV221" s="91"/>
      <c r="CW221" s="91"/>
      <c r="CX221" s="91"/>
      <c r="CY221" s="91"/>
      <c r="CZ221" s="91"/>
    </row>
    <row r="222" spans="90:104" x14ac:dyDescent="0.2">
      <c r="CL222" s="91" t="s">
        <v>42</v>
      </c>
      <c r="CM222" s="93">
        <f>INDEX($2:$2,COUNTA($2:$2)-14)</f>
        <v>41913</v>
      </c>
      <c r="CN222" s="95" t="s">
        <v>303</v>
      </c>
      <c r="CO222" s="94">
        <f>INDEX($53:$53,COUNTA($2:$2)-14)+INDEX($54:$54,COUNTA($2:$2)-14)</f>
        <v>0</v>
      </c>
      <c r="CP222" s="94">
        <f>INDEX($56:$56,COUNTA($2:$2)-14)</f>
        <v>8.1430913623031717E-2</v>
      </c>
      <c r="CQ222" s="83" t="str">
        <f t="shared" si="99"/>
        <v>October</v>
      </c>
      <c r="CR222" s="91">
        <f t="shared" si="100"/>
        <v>2014</v>
      </c>
      <c r="CS222" s="91"/>
      <c r="CT222" s="91"/>
      <c r="CU222" s="91"/>
      <c r="CV222" s="91"/>
      <c r="CW222" s="91"/>
      <c r="CX222" s="91"/>
      <c r="CY222" s="91"/>
      <c r="CZ222" s="91"/>
    </row>
    <row r="223" spans="90:104" x14ac:dyDescent="0.2">
      <c r="CL223" s="91" t="s">
        <v>42</v>
      </c>
      <c r="CM223" s="93">
        <f>INDEX($2:$2,COUNTA($2:$2)-13)</f>
        <v>41944</v>
      </c>
      <c r="CN223" s="95" t="s">
        <v>303</v>
      </c>
      <c r="CO223" s="94">
        <f>INDEX($53:$53,COUNTA($2:$2)-13)+INDEX($54:$54,COUNTA($2:$2)-13)</f>
        <v>1</v>
      </c>
      <c r="CP223" s="94">
        <f>INDEX($56:$56,COUNTA($2:$2)-13)</f>
        <v>0.11765610842385321</v>
      </c>
      <c r="CQ223" s="83" t="str">
        <f t="shared" si="99"/>
        <v>November</v>
      </c>
      <c r="CR223" s="91">
        <f t="shared" si="100"/>
        <v>2014</v>
      </c>
      <c r="CS223" s="91"/>
      <c r="CT223" s="91"/>
      <c r="CU223" s="91"/>
      <c r="CV223" s="91"/>
      <c r="CW223" s="91"/>
      <c r="CX223" s="91"/>
      <c r="CY223" s="91"/>
      <c r="CZ223" s="91"/>
    </row>
    <row r="224" spans="90:104" x14ac:dyDescent="0.2">
      <c r="CL224" s="91" t="s">
        <v>42</v>
      </c>
      <c r="CM224" s="93">
        <f>INDEX($2:$2,COUNTA($2:$2)-12)</f>
        <v>41974</v>
      </c>
      <c r="CN224" s="95" t="s">
        <v>303</v>
      </c>
      <c r="CO224" s="94">
        <f>INDEX($53:$53,COUNTA($2:$2)-12)+INDEX($54:$54,COUNTA($2:$2)-12)</f>
        <v>0</v>
      </c>
      <c r="CP224" s="94">
        <f>INDEX($56:$56,COUNTA($2:$2)-12)</f>
        <v>7.536120110290441E-2</v>
      </c>
      <c r="CQ224" s="83" t="str">
        <f t="shared" si="99"/>
        <v>December</v>
      </c>
      <c r="CR224" s="91">
        <f t="shared" si="100"/>
        <v>2014</v>
      </c>
      <c r="CS224" s="91"/>
      <c r="CT224" s="91"/>
      <c r="CU224" s="91"/>
      <c r="CV224" s="91"/>
      <c r="CW224" s="91"/>
      <c r="CX224" s="91"/>
      <c r="CY224" s="91"/>
      <c r="CZ224" s="91"/>
    </row>
    <row r="225" spans="90:104" x14ac:dyDescent="0.2">
      <c r="CL225" s="91" t="s">
        <v>42</v>
      </c>
      <c r="CM225" s="93">
        <f>INDEX($2:$2,COUNTA($2:$2)-11)</f>
        <v>42005</v>
      </c>
      <c r="CN225" s="95" t="s">
        <v>303</v>
      </c>
      <c r="CO225" s="94">
        <f>INDEX($53:$53,COUNTA($2:$2)-11)+INDEX($54:$54,COUNTA($2:$2)-11)</f>
        <v>0</v>
      </c>
      <c r="CP225" s="94">
        <f>INDEX($56:$56,COUNTA($2:$2)-11)</f>
        <v>3.7502033640826098E-2</v>
      </c>
      <c r="CQ225" s="83" t="str">
        <f t="shared" si="99"/>
        <v>January</v>
      </c>
      <c r="CR225" s="91">
        <f t="shared" si="100"/>
        <v>2015</v>
      </c>
      <c r="CS225" s="91"/>
      <c r="CT225" s="91"/>
      <c r="CU225" s="91"/>
      <c r="CV225" s="91"/>
      <c r="CW225" s="91"/>
      <c r="CX225" s="91"/>
      <c r="CY225" s="91"/>
      <c r="CZ225" s="91"/>
    </row>
    <row r="226" spans="90:104" x14ac:dyDescent="0.2">
      <c r="CL226" s="91" t="s">
        <v>42</v>
      </c>
      <c r="CM226" s="93">
        <f>INDEX($2:$2,COUNTA($2:$2)-10)</f>
        <v>42036</v>
      </c>
      <c r="CN226" s="95" t="s">
        <v>303</v>
      </c>
      <c r="CO226" s="94">
        <f>INDEX($53:$53,COUNTA($2:$2)-10)+INDEX($54:$54,COUNTA($2:$2)-10)</f>
        <v>2</v>
      </c>
      <c r="CP226" s="94">
        <f>INDEX($56:$56,COUNTA($2:$2)-10)</f>
        <v>0.11224753046710871</v>
      </c>
      <c r="CQ226" s="83" t="str">
        <f t="shared" si="99"/>
        <v>February</v>
      </c>
      <c r="CR226" s="91">
        <f t="shared" si="100"/>
        <v>2015</v>
      </c>
      <c r="CS226" s="91"/>
      <c r="CT226" s="91"/>
      <c r="CU226" s="91"/>
      <c r="CV226" s="91"/>
      <c r="CW226" s="91"/>
      <c r="CX226" s="91"/>
      <c r="CY226" s="91"/>
      <c r="CZ226" s="91"/>
    </row>
    <row r="227" spans="90:104" x14ac:dyDescent="0.2">
      <c r="CL227" s="91" t="s">
        <v>42</v>
      </c>
      <c r="CM227" s="93">
        <f>INDEX($2:$2,COUNTA($2:$2)-9)</f>
        <v>42064</v>
      </c>
      <c r="CN227" s="95" t="s">
        <v>303</v>
      </c>
      <c r="CO227" s="94">
        <f>INDEX($53:$53,COUNTA($2:$2)-9)+INDEX($54:$54,COUNTA($2:$2)-9)</f>
        <v>0</v>
      </c>
      <c r="CP227" s="94">
        <f>INDEX($56:$56,COUNTA($2:$2)-9)</f>
        <v>0.11194004914638418</v>
      </c>
      <c r="CQ227" s="83" t="str">
        <f t="shared" si="99"/>
        <v>March</v>
      </c>
      <c r="CR227" s="91">
        <f t="shared" si="100"/>
        <v>2015</v>
      </c>
      <c r="CS227" s="91"/>
      <c r="CT227" s="91"/>
      <c r="CU227" s="91"/>
      <c r="CV227" s="91"/>
      <c r="CW227" s="91"/>
      <c r="CX227" s="91"/>
      <c r="CY227" s="91"/>
      <c r="CZ227" s="91"/>
    </row>
    <row r="228" spans="90:104" x14ac:dyDescent="0.2">
      <c r="CL228" s="91" t="s">
        <v>42</v>
      </c>
      <c r="CM228" s="93">
        <f>INDEX($2:$2,COUNTA($2:$2)-8)</f>
        <v>42095</v>
      </c>
      <c r="CN228" s="95" t="s">
        <v>303</v>
      </c>
      <c r="CO228" s="94">
        <f>INDEX($53:$53,COUNTA($2:$2)-8)+INDEX($54:$54,COUNTA($2:$2)-8)</f>
        <v>0</v>
      </c>
      <c r="CP228" s="94">
        <f>INDEX($56:$56,COUNTA($2:$2)-8)</f>
        <v>0.11218187254033658</v>
      </c>
      <c r="CQ228" s="83" t="str">
        <f t="shared" si="99"/>
        <v>April</v>
      </c>
      <c r="CR228" s="91">
        <f t="shared" si="100"/>
        <v>2015</v>
      </c>
      <c r="CS228" s="91"/>
      <c r="CT228" s="91"/>
      <c r="CU228" s="91"/>
      <c r="CV228" s="91"/>
      <c r="CW228" s="91"/>
      <c r="CX228" s="91"/>
      <c r="CY228" s="91"/>
      <c r="CZ228" s="91"/>
    </row>
    <row r="229" spans="90:104" x14ac:dyDescent="0.2">
      <c r="CL229" s="91" t="s">
        <v>42</v>
      </c>
      <c r="CM229" s="93">
        <f>INDEX($2:$2,COUNTA($2:$2)-7)</f>
        <v>42125</v>
      </c>
      <c r="CN229" s="95" t="s">
        <v>303</v>
      </c>
      <c r="CO229" s="94">
        <f>INDEX($53:$53,COUNTA($2:$2)-7)+INDEX($54:$54,COUNTA($2:$2)-7)</f>
        <v>2</v>
      </c>
      <c r="CP229" s="94">
        <f>INDEX($56:$56,COUNTA($2:$2)-7)</f>
        <v>0.18737951274466008</v>
      </c>
      <c r="CQ229" s="83" t="str">
        <f t="shared" si="99"/>
        <v>May</v>
      </c>
      <c r="CR229" s="91">
        <f t="shared" si="100"/>
        <v>2015</v>
      </c>
      <c r="CS229" s="91"/>
      <c r="CT229" s="91"/>
      <c r="CU229" s="91"/>
      <c r="CV229" s="91"/>
      <c r="CW229" s="91"/>
      <c r="CX229" s="91"/>
      <c r="CY229" s="91"/>
      <c r="CZ229" s="91"/>
    </row>
    <row r="230" spans="90:104" x14ac:dyDescent="0.2">
      <c r="CL230" s="91" t="s">
        <v>42</v>
      </c>
      <c r="CM230" s="93">
        <f>INDEX($2:$2,COUNTA($2:$2)-6)</f>
        <v>42156</v>
      </c>
      <c r="CN230" s="95" t="s">
        <v>303</v>
      </c>
      <c r="CO230" s="94">
        <f>INDEX($53:$53,COUNTA($2:$2)-6)+INDEX($54:$54,COUNTA($2:$2)-6)</f>
        <v>1</v>
      </c>
      <c r="CP230" s="94">
        <f>INDEX($56:$56,COUNTA($2:$2)-6)</f>
        <v>0.22408131826964689</v>
      </c>
      <c r="CQ230" s="83" t="str">
        <f t="shared" si="99"/>
        <v>June</v>
      </c>
      <c r="CR230" s="91">
        <f t="shared" si="100"/>
        <v>2015</v>
      </c>
      <c r="CS230" s="91"/>
      <c r="CT230" s="91"/>
      <c r="CU230" s="91"/>
      <c r="CV230" s="91"/>
      <c r="CW230" s="91"/>
      <c r="CX230" s="91"/>
      <c r="CY230" s="91"/>
      <c r="CZ230" s="91"/>
    </row>
    <row r="231" spans="90:104" x14ac:dyDescent="0.2">
      <c r="CL231" s="91" t="s">
        <v>42</v>
      </c>
      <c r="CM231" s="93">
        <f>INDEX($2:$2,COUNTA($2:$2)-5)</f>
        <v>42186</v>
      </c>
      <c r="CN231" s="95" t="s">
        <v>303</v>
      </c>
      <c r="CO231" s="94">
        <f>INDEX($53:$53,COUNTA($2:$2)-5)+INDEX($54:$54,COUNTA($2:$2)-5)</f>
        <v>0</v>
      </c>
      <c r="CP231" s="94">
        <f>INDEX($56:$56,COUNTA($2:$2)-5)</f>
        <v>0.21610395663156454</v>
      </c>
      <c r="CQ231" s="83" t="str">
        <f t="shared" si="99"/>
        <v>July</v>
      </c>
      <c r="CR231" s="91">
        <f t="shared" si="100"/>
        <v>2015</v>
      </c>
      <c r="CS231" s="91"/>
      <c r="CT231" s="91"/>
      <c r="CU231" s="91"/>
      <c r="CV231" s="91"/>
      <c r="CW231" s="91"/>
      <c r="CX231" s="91"/>
      <c r="CY231" s="91"/>
      <c r="CZ231" s="91"/>
    </row>
    <row r="232" spans="90:104" x14ac:dyDescent="0.2">
      <c r="CL232" s="91" t="s">
        <v>42</v>
      </c>
      <c r="CM232" s="93">
        <f>INDEX($2:$2,COUNTA($2:$2)-4)</f>
        <v>42217</v>
      </c>
      <c r="CN232" s="95" t="s">
        <v>303</v>
      </c>
      <c r="CO232" s="94">
        <f>INDEX($53:$53,COUNTA($2:$2)-4)+INDEX($54:$54,COUNTA($2:$2)-4)</f>
        <v>1</v>
      </c>
      <c r="CP232" s="94">
        <f>INDEX($56:$56,COUNTA($2:$2)-4)</f>
        <v>0.25707700445006948</v>
      </c>
      <c r="CQ232" s="83" t="str">
        <f t="shared" si="99"/>
        <v>August</v>
      </c>
      <c r="CR232" s="91">
        <f t="shared" si="100"/>
        <v>2015</v>
      </c>
      <c r="CS232" s="91"/>
      <c r="CT232" s="91"/>
      <c r="CU232" s="91"/>
      <c r="CV232" s="91"/>
      <c r="CW232" s="91"/>
      <c r="CX232" s="91"/>
      <c r="CY232" s="91"/>
      <c r="CZ232" s="91"/>
    </row>
    <row r="233" spans="90:104" x14ac:dyDescent="0.2">
      <c r="CL233" s="91" t="s">
        <v>42</v>
      </c>
      <c r="CM233" s="93">
        <f>INDEX($2:$2,COUNTA($2:$2)-3)</f>
        <v>42262</v>
      </c>
      <c r="CN233" s="95" t="s">
        <v>303</v>
      </c>
      <c r="CO233" s="94">
        <f>INDEX($53:$53,COUNTA($2:$2)-3)+INDEX($54:$54,COUNTA($2:$2)-3)</f>
        <v>1</v>
      </c>
      <c r="CP233" s="94">
        <f>INDEX($56:$56,COUNTA($2:$2)-3)</f>
        <v>0.2933175807561676</v>
      </c>
      <c r="CQ233" s="83" t="str">
        <f t="shared" si="99"/>
        <v>September</v>
      </c>
      <c r="CR233" s="91">
        <f t="shared" si="100"/>
        <v>2015</v>
      </c>
      <c r="CS233" s="91"/>
      <c r="CT233" s="91"/>
      <c r="CU233" s="91"/>
      <c r="CV233" s="91"/>
      <c r="CW233" s="91"/>
      <c r="CX233" s="91"/>
      <c r="CY233" s="91"/>
      <c r="CZ233" s="91"/>
    </row>
    <row r="234" spans="90:104" x14ac:dyDescent="0.2">
      <c r="CL234" s="91" t="s">
        <v>42</v>
      </c>
      <c r="CM234" s="93">
        <f>INDEX($2:$2,COUNTA($2:$2)-2)</f>
        <v>42292</v>
      </c>
      <c r="CN234" s="95" t="s">
        <v>303</v>
      </c>
      <c r="CO234" s="94">
        <f>INDEX($53:$53,COUNTA($2:$2)-2)+INDEX($54:$54,COUNTA($2:$2)-2)</f>
        <v>1</v>
      </c>
      <c r="CP234" s="94">
        <f>INDEX($56:$56,COUNTA($2:$2)-2)</f>
        <v>0.32949863914811378</v>
      </c>
      <c r="CQ234" s="83" t="str">
        <f t="shared" si="99"/>
        <v>October</v>
      </c>
      <c r="CR234" s="91">
        <f t="shared" si="100"/>
        <v>2015</v>
      </c>
      <c r="CS234" s="91"/>
      <c r="CT234" s="91"/>
      <c r="CU234" s="91"/>
      <c r="CV234" s="91"/>
      <c r="CW234" s="91"/>
      <c r="CX234" s="91"/>
      <c r="CY234" s="91"/>
      <c r="CZ234" s="91"/>
    </row>
    <row r="235" spans="90:104" x14ac:dyDescent="0.2">
      <c r="CL235" s="91" t="s">
        <v>42</v>
      </c>
      <c r="CM235" s="93">
        <f>INDEX($2:$2,COUNTA($2:$2)-1)</f>
        <v>42323</v>
      </c>
      <c r="CN235" s="95" t="s">
        <v>303</v>
      </c>
      <c r="CO235" s="94">
        <f>INDEX($53:$53,COUNTA($2:$2)-1)+INDEX($54:$54,COUNTA($2:$2)-1)</f>
        <v>0</v>
      </c>
      <c r="CP235" s="94">
        <f>INDEX($56:$56,COUNTA($2:$2)-1)</f>
        <v>0.28925822863134032</v>
      </c>
      <c r="CQ235" s="83" t="str">
        <f t="shared" si="99"/>
        <v>November</v>
      </c>
      <c r="CR235" s="91">
        <f t="shared" si="100"/>
        <v>2015</v>
      </c>
      <c r="CS235" s="91"/>
      <c r="CT235" s="91"/>
      <c r="CU235" s="91"/>
      <c r="CV235" s="91"/>
      <c r="CW235" s="91"/>
      <c r="CX235" s="91"/>
      <c r="CY235" s="91"/>
      <c r="CZ235" s="91"/>
    </row>
    <row r="236" spans="90:104" x14ac:dyDescent="0.2">
      <c r="CL236" s="91" t="s">
        <v>42</v>
      </c>
      <c r="CM236" s="93">
        <f>INDEX($2:$2,COUNTA($2:$2))</f>
        <v>42353</v>
      </c>
      <c r="CN236" s="95" t="s">
        <v>303</v>
      </c>
      <c r="CO236" s="94">
        <f>INDEX($53:$53,COUNTA($2:$2))+INDEX($54:$54,COUNTA($2:$2))</f>
        <v>0</v>
      </c>
      <c r="CP236" s="94">
        <f>INDEX($56:$56,COUNTA($2:$2))</f>
        <v>0.27511877811034463</v>
      </c>
      <c r="CQ236" s="83" t="str">
        <f t="shared" si="99"/>
        <v>December</v>
      </c>
      <c r="CR236" s="91">
        <f t="shared" si="100"/>
        <v>2015</v>
      </c>
      <c r="CS236" s="91"/>
      <c r="CT236" s="91"/>
      <c r="CU236" s="91"/>
      <c r="CV236" s="91"/>
      <c r="CW236" s="91"/>
      <c r="CX236" s="91"/>
      <c r="CY236" s="91"/>
      <c r="CZ236" s="91"/>
    </row>
    <row r="237" spans="90:104" x14ac:dyDescent="0.2">
      <c r="CL237" s="91" t="s">
        <v>42</v>
      </c>
      <c r="CM237" s="93">
        <f>INDEX($2:$2,COUNTA($2:$2)+1)</f>
        <v>42370</v>
      </c>
      <c r="CN237" s="95" t="s">
        <v>303</v>
      </c>
      <c r="CO237" s="94">
        <f>INDEX($53:$53,COUNTA($2:$2)+1)+INDEX($54:$54,COUNTA($2:$2)+1)</f>
        <v>1</v>
      </c>
      <c r="CP237" s="94">
        <f>INDEX($56:$56,COUNTA($2:$2)+1)</f>
        <v>0.30226052152543287</v>
      </c>
      <c r="CQ237" s="83" t="str">
        <f t="shared" si="99"/>
        <v>January</v>
      </c>
      <c r="CR237" s="91">
        <f t="shared" si="100"/>
        <v>2016</v>
      </c>
      <c r="CS237" s="91"/>
      <c r="CT237" s="91"/>
      <c r="CU237" s="91"/>
      <c r="CV237" s="91"/>
      <c r="CW237" s="91"/>
      <c r="CX237" s="91"/>
      <c r="CY237" s="91"/>
      <c r="CZ237" s="91"/>
    </row>
    <row r="238" spans="90:104" x14ac:dyDescent="0.2">
      <c r="CL238" s="91" t="s">
        <v>42</v>
      </c>
      <c r="CM238" s="93">
        <f>INDEX($2:$2,COUNTA($2:$2)-22)</f>
        <v>41671</v>
      </c>
      <c r="CN238" s="95" t="s">
        <v>150</v>
      </c>
      <c r="CO238" s="94">
        <f>INDEX($57:$57,COUNTA($2:$2)-22)</f>
        <v>0</v>
      </c>
      <c r="CP238" s="94">
        <f>INDEX($59:$59,COUNTA($2:$2)-22)</f>
        <v>0.53147712702704597</v>
      </c>
      <c r="CQ238" s="83" t="str">
        <f t="shared" si="99"/>
        <v>February</v>
      </c>
      <c r="CR238" s="91">
        <f t="shared" si="100"/>
        <v>2014</v>
      </c>
      <c r="CS238" s="91"/>
      <c r="CT238" s="91"/>
      <c r="CU238" s="91"/>
      <c r="CV238" s="91"/>
      <c r="CW238" s="91"/>
      <c r="CX238" s="91"/>
      <c r="CY238" s="91"/>
      <c r="CZ238" s="91"/>
    </row>
    <row r="239" spans="90:104" x14ac:dyDescent="0.2">
      <c r="CL239" s="91" t="s">
        <v>42</v>
      </c>
      <c r="CM239" s="93">
        <f>INDEX($2:$2,COUNTA($2:$2)-21)</f>
        <v>41699</v>
      </c>
      <c r="CN239" s="95" t="s">
        <v>150</v>
      </c>
      <c r="CO239" s="94">
        <f>INDEX($57:$57,COUNTA($2:$2)-21)</f>
        <v>1</v>
      </c>
      <c r="CP239" s="94">
        <f>INDEX($59:$59,COUNTA($2:$2)-21)</f>
        <v>0.57746340721219225</v>
      </c>
      <c r="CQ239" s="83" t="str">
        <f t="shared" si="99"/>
        <v>March</v>
      </c>
      <c r="CR239" s="91">
        <f t="shared" si="100"/>
        <v>2014</v>
      </c>
      <c r="CS239" s="91"/>
      <c r="CT239" s="91"/>
      <c r="CU239" s="91"/>
      <c r="CV239" s="91"/>
      <c r="CW239" s="91"/>
      <c r="CX239" s="91"/>
      <c r="CY239" s="91"/>
      <c r="CZ239" s="91"/>
    </row>
    <row r="240" spans="90:104" x14ac:dyDescent="0.2">
      <c r="CL240" s="91" t="s">
        <v>42</v>
      </c>
      <c r="CM240" s="93">
        <f>INDEX($2:$2,COUNTA($2:$2)-20)</f>
        <v>41730</v>
      </c>
      <c r="CN240" s="95" t="s">
        <v>150</v>
      </c>
      <c r="CO240" s="94">
        <f>INDEX($57:$57,COUNTA($2:$2)-20)</f>
        <v>0</v>
      </c>
      <c r="CP240" s="94">
        <f>INDEX($59:$59,COUNTA($2:$2)-20)</f>
        <v>0.38100911761622192</v>
      </c>
      <c r="CQ240" s="83" t="str">
        <f t="shared" si="99"/>
        <v>April</v>
      </c>
      <c r="CR240" s="91">
        <f t="shared" si="100"/>
        <v>2014</v>
      </c>
      <c r="CS240" s="91"/>
      <c r="CT240" s="91"/>
      <c r="CU240" s="91"/>
      <c r="CV240" s="91"/>
      <c r="CW240" s="91"/>
      <c r="CX240" s="91"/>
      <c r="CY240" s="91"/>
      <c r="CZ240" s="91"/>
    </row>
    <row r="241" spans="90:104" x14ac:dyDescent="0.2">
      <c r="CL241" s="91" t="s">
        <v>42</v>
      </c>
      <c r="CM241" s="93">
        <f>INDEX($2:$2,COUNTA($2:$2)-19)</f>
        <v>41760</v>
      </c>
      <c r="CN241" s="95" t="s">
        <v>150</v>
      </c>
      <c r="CO241" s="94">
        <f>INDEX($57:$57,COUNTA($2:$2)-19)</f>
        <v>0</v>
      </c>
      <c r="CP241" s="94">
        <f>INDEX($59:$59,COUNTA($2:$2)-19)</f>
        <v>0.30876562371102412</v>
      </c>
      <c r="CQ241" s="83" t="str">
        <f t="shared" si="99"/>
        <v>May</v>
      </c>
      <c r="CR241" s="91">
        <f t="shared" si="100"/>
        <v>2014</v>
      </c>
      <c r="CS241" s="91"/>
      <c r="CT241" s="91"/>
      <c r="CU241" s="91"/>
      <c r="CV241" s="91"/>
      <c r="CW241" s="91"/>
      <c r="CX241" s="91"/>
      <c r="CY241" s="91"/>
      <c r="CZ241" s="91"/>
    </row>
    <row r="242" spans="90:104" x14ac:dyDescent="0.2">
      <c r="CL242" s="91" t="s">
        <v>42</v>
      </c>
      <c r="CM242" s="93">
        <f>INDEX($2:$2,COUNTA($2:$2)-18)</f>
        <v>41791</v>
      </c>
      <c r="CN242" s="95" t="s">
        <v>150</v>
      </c>
      <c r="CO242" s="94">
        <f>INDEX($57:$57,COUNTA($2:$2)-18)</f>
        <v>1</v>
      </c>
      <c r="CP242" s="94">
        <f>INDEX($59:$59,COUNTA($2:$2)-18)</f>
        <v>0.3432727407825158</v>
      </c>
      <c r="CQ242" s="83" t="str">
        <f t="shared" si="99"/>
        <v>June</v>
      </c>
      <c r="CR242" s="91">
        <f t="shared" si="100"/>
        <v>2014</v>
      </c>
      <c r="CS242" s="91"/>
      <c r="CT242" s="91"/>
      <c r="CU242" s="91"/>
      <c r="CV242" s="91"/>
      <c r="CW242" s="91"/>
      <c r="CX242" s="91"/>
      <c r="CY242" s="91"/>
      <c r="CZ242" s="91"/>
    </row>
    <row r="243" spans="90:104" x14ac:dyDescent="0.2">
      <c r="CL243" s="91" t="s">
        <v>42</v>
      </c>
      <c r="CM243" s="93">
        <f>INDEX($2:$2,COUNTA($2:$2)-17)</f>
        <v>41821</v>
      </c>
      <c r="CN243" s="95" t="s">
        <v>150</v>
      </c>
      <c r="CO243" s="94">
        <f>INDEX($57:$57,COUNTA($2:$2)-17)</f>
        <v>0</v>
      </c>
      <c r="CP243" s="94">
        <f>INDEX($59:$59,COUNTA($2:$2)-17)</f>
        <v>0.32522290894330014</v>
      </c>
      <c r="CQ243" s="83" t="str">
        <f t="shared" si="99"/>
        <v>July</v>
      </c>
      <c r="CR243" s="91">
        <f t="shared" si="100"/>
        <v>2014</v>
      </c>
      <c r="CS243" s="91"/>
      <c r="CT243" s="91"/>
      <c r="CU243" s="91"/>
      <c r="CV243" s="91"/>
      <c r="CW243" s="91"/>
      <c r="CX243" s="91"/>
      <c r="CY243" s="91"/>
      <c r="CZ243" s="91"/>
    </row>
    <row r="244" spans="90:104" x14ac:dyDescent="0.2">
      <c r="CL244" s="91" t="s">
        <v>42</v>
      </c>
      <c r="CM244" s="93">
        <f>INDEX($2:$2,COUNTA($2:$2)-16)</f>
        <v>41852</v>
      </c>
      <c r="CN244" s="95" t="s">
        <v>150</v>
      </c>
      <c r="CO244" s="94">
        <f>INDEX($57:$57,COUNTA($2:$2)-16)</f>
        <v>0</v>
      </c>
      <c r="CP244" s="94">
        <f>INDEX($59:$59,COUNTA($2:$2)-16)</f>
        <v>0.31069250956954569</v>
      </c>
      <c r="CQ244" s="83" t="str">
        <f t="shared" si="99"/>
        <v>August</v>
      </c>
      <c r="CR244" s="91">
        <f t="shared" si="100"/>
        <v>2014</v>
      </c>
      <c r="CS244" s="91"/>
      <c r="CT244" s="91"/>
      <c r="CU244" s="91"/>
      <c r="CV244" s="91"/>
      <c r="CW244" s="91"/>
      <c r="CX244" s="91"/>
      <c r="CY244" s="91"/>
      <c r="CZ244" s="91"/>
    </row>
    <row r="245" spans="90:104" x14ac:dyDescent="0.2">
      <c r="CL245" s="91" t="s">
        <v>42</v>
      </c>
      <c r="CM245" s="93">
        <f>INDEX($2:$2,COUNTA($2:$2)-15)</f>
        <v>41883</v>
      </c>
      <c r="CN245" s="95" t="s">
        <v>150</v>
      </c>
      <c r="CO245" s="94">
        <f>INDEX($57:$57,COUNTA($2:$2)-15)</f>
        <v>1</v>
      </c>
      <c r="CP245" s="94">
        <f>INDEX($59:$59,COUNTA($2:$2)-15)</f>
        <v>0.29732200624836641</v>
      </c>
      <c r="CQ245" s="83" t="str">
        <f t="shared" si="99"/>
        <v>September</v>
      </c>
      <c r="CR245" s="91">
        <f t="shared" si="100"/>
        <v>2014</v>
      </c>
      <c r="CS245" s="91"/>
      <c r="CT245" s="91"/>
      <c r="CU245" s="91"/>
      <c r="CV245" s="91"/>
      <c r="CW245" s="91"/>
      <c r="CX245" s="91"/>
      <c r="CY245" s="91"/>
      <c r="CZ245" s="91"/>
    </row>
    <row r="246" spans="90:104" x14ac:dyDescent="0.2">
      <c r="CL246" s="91" t="s">
        <v>42</v>
      </c>
      <c r="CM246" s="93">
        <f>INDEX($2:$2,COUNTA($2:$2)-14)</f>
        <v>41913</v>
      </c>
      <c r="CN246" s="95" t="s">
        <v>150</v>
      </c>
      <c r="CO246" s="94">
        <f>INDEX($57:$57,COUNTA($2:$2)-14)</f>
        <v>1</v>
      </c>
      <c r="CP246" s="94">
        <f>INDEX($59:$59,COUNTA($2:$2)-14)</f>
        <v>0.28500819768061103</v>
      </c>
      <c r="CQ246" s="83" t="str">
        <f t="shared" si="99"/>
        <v>October</v>
      </c>
      <c r="CR246" s="91">
        <f t="shared" si="100"/>
        <v>2014</v>
      </c>
      <c r="CS246" s="91"/>
      <c r="CT246" s="91"/>
      <c r="CU246" s="91"/>
      <c r="CV246" s="91"/>
      <c r="CW246" s="91"/>
      <c r="CX246" s="91"/>
      <c r="CY246" s="91"/>
      <c r="CZ246" s="91"/>
    </row>
    <row r="247" spans="90:104" x14ac:dyDescent="0.2">
      <c r="CL247" s="91" t="s">
        <v>42</v>
      </c>
      <c r="CM247" s="93">
        <f>INDEX($2:$2,COUNTA($2:$2)-13)</f>
        <v>41944</v>
      </c>
      <c r="CN247" s="95" t="s">
        <v>150</v>
      </c>
      <c r="CO247" s="94">
        <f>INDEX($57:$57,COUNTA($2:$2)-13)</f>
        <v>1</v>
      </c>
      <c r="CP247" s="94">
        <f>INDEX($59:$59,COUNTA($2:$2)-13)</f>
        <v>0.27453091965565751</v>
      </c>
      <c r="CQ247" s="83" t="str">
        <f t="shared" si="99"/>
        <v>November</v>
      </c>
      <c r="CR247" s="91">
        <f t="shared" si="100"/>
        <v>2014</v>
      </c>
      <c r="CS247" s="91"/>
      <c r="CT247" s="91"/>
      <c r="CU247" s="91"/>
      <c r="CV247" s="91"/>
      <c r="CW247" s="91"/>
      <c r="CX247" s="91"/>
      <c r="CY247" s="91"/>
      <c r="CZ247" s="91"/>
    </row>
    <row r="248" spans="90:104" x14ac:dyDescent="0.2">
      <c r="CL248" s="91" t="s">
        <v>42</v>
      </c>
      <c r="CM248" s="93">
        <f>INDEX($2:$2,COUNTA($2:$2)-12)</f>
        <v>41974</v>
      </c>
      <c r="CN248" s="95" t="s">
        <v>150</v>
      </c>
      <c r="CO248" s="94">
        <f>INDEX($57:$57,COUNTA($2:$2)-12)</f>
        <v>1</v>
      </c>
      <c r="CP248" s="94">
        <f>INDEX($59:$59,COUNTA($2:$2)-12)</f>
        <v>0.22608360330871324</v>
      </c>
      <c r="CQ248" s="83" t="str">
        <f t="shared" si="99"/>
        <v>December</v>
      </c>
      <c r="CR248" s="91">
        <f t="shared" si="100"/>
        <v>2014</v>
      </c>
      <c r="CS248" s="91"/>
      <c r="CT248" s="91"/>
      <c r="CU248" s="91"/>
      <c r="CV248" s="91"/>
      <c r="CW248" s="91"/>
      <c r="CX248" s="91"/>
      <c r="CY248" s="91"/>
      <c r="CZ248" s="91"/>
    </row>
    <row r="249" spans="90:104" x14ac:dyDescent="0.2">
      <c r="CL249" s="91" t="s">
        <v>42</v>
      </c>
      <c r="CM249" s="93">
        <f>INDEX($2:$2,COUNTA($2:$2)-11)</f>
        <v>42005</v>
      </c>
      <c r="CN249" s="95" t="s">
        <v>150</v>
      </c>
      <c r="CO249" s="94">
        <f>INDEX($57:$57,COUNTA($2:$2)-11)</f>
        <v>1</v>
      </c>
      <c r="CP249" s="94">
        <f>INDEX($59:$59,COUNTA($2:$2)-11)</f>
        <v>0.26251423548578262</v>
      </c>
      <c r="CQ249" s="83" t="str">
        <f t="shared" si="99"/>
        <v>January</v>
      </c>
      <c r="CR249" s="91">
        <f t="shared" si="100"/>
        <v>2015</v>
      </c>
      <c r="CS249" s="91"/>
      <c r="CT249" s="91"/>
      <c r="CU249" s="91"/>
      <c r="CV249" s="91"/>
      <c r="CW249" s="91"/>
      <c r="CX249" s="91"/>
      <c r="CY249" s="91"/>
      <c r="CZ249" s="91"/>
    </row>
    <row r="250" spans="90:104" x14ac:dyDescent="0.2">
      <c r="CL250" s="91" t="s">
        <v>42</v>
      </c>
      <c r="CM250" s="93">
        <f>INDEX($2:$2,COUNTA($2:$2)-10)</f>
        <v>42036</v>
      </c>
      <c r="CN250" s="95" t="s">
        <v>150</v>
      </c>
      <c r="CO250" s="94">
        <f>INDEX($57:$57,COUNTA($2:$2)-10)</f>
        <v>1</v>
      </c>
      <c r="CP250" s="94">
        <f>INDEX($59:$59,COUNTA($2:$2)-10)</f>
        <v>0.29932674791228986</v>
      </c>
      <c r="CQ250" s="83" t="str">
        <f t="shared" si="99"/>
        <v>February</v>
      </c>
      <c r="CR250" s="91">
        <f t="shared" si="100"/>
        <v>2015</v>
      </c>
      <c r="CS250" s="91"/>
      <c r="CT250" s="91"/>
      <c r="CU250" s="91"/>
      <c r="CV250" s="91"/>
      <c r="CW250" s="91"/>
      <c r="CX250" s="91"/>
      <c r="CY250" s="91"/>
      <c r="CZ250" s="91"/>
    </row>
    <row r="251" spans="90:104" x14ac:dyDescent="0.2">
      <c r="CL251" s="91" t="s">
        <v>42</v>
      </c>
      <c r="CM251" s="93">
        <f>INDEX($2:$2,COUNTA($2:$2)-9)</f>
        <v>42064</v>
      </c>
      <c r="CN251" s="95" t="s">
        <v>150</v>
      </c>
      <c r="CO251" s="94">
        <f>INDEX($57:$57,COUNTA($2:$2)-9)</f>
        <v>1</v>
      </c>
      <c r="CP251" s="94">
        <f>INDEX($59:$59,COUNTA($2:$2)-9)</f>
        <v>0.2985067977236911</v>
      </c>
      <c r="CQ251" s="83" t="str">
        <f t="shared" si="99"/>
        <v>March</v>
      </c>
      <c r="CR251" s="91">
        <f t="shared" si="100"/>
        <v>2015</v>
      </c>
      <c r="CS251" s="91"/>
      <c r="CT251" s="91"/>
      <c r="CU251" s="91"/>
      <c r="CV251" s="91"/>
      <c r="CW251" s="91"/>
      <c r="CX251" s="91"/>
      <c r="CY251" s="91"/>
      <c r="CZ251" s="91"/>
    </row>
    <row r="252" spans="90:104" x14ac:dyDescent="0.2">
      <c r="CL252" s="91" t="s">
        <v>42</v>
      </c>
      <c r="CM252" s="93">
        <f>INDEX($2:$2,COUNTA($2:$2)-8)</f>
        <v>42095</v>
      </c>
      <c r="CN252" s="95" t="s">
        <v>150</v>
      </c>
      <c r="CO252" s="94">
        <f>INDEX($57:$57,COUNTA($2:$2)-8)</f>
        <v>1</v>
      </c>
      <c r="CP252" s="94">
        <f>INDEX($59:$59,COUNTA($2:$2)-8)</f>
        <v>0.33654561762100976</v>
      </c>
      <c r="CQ252" s="83" t="str">
        <f t="shared" si="99"/>
        <v>April</v>
      </c>
      <c r="CR252" s="91">
        <f t="shared" si="100"/>
        <v>2015</v>
      </c>
      <c r="CS252" s="91"/>
      <c r="CT252" s="91"/>
      <c r="CU252" s="91"/>
      <c r="CV252" s="91"/>
      <c r="CW252" s="91"/>
      <c r="CX252" s="91"/>
      <c r="CY252" s="91"/>
      <c r="CZ252" s="91"/>
    </row>
    <row r="253" spans="90:104" x14ac:dyDescent="0.2">
      <c r="CL253" s="91" t="s">
        <v>42</v>
      </c>
      <c r="CM253" s="93">
        <f>INDEX($2:$2,COUNTA($2:$2)-7)</f>
        <v>42125</v>
      </c>
      <c r="CN253" s="95" t="s">
        <v>150</v>
      </c>
      <c r="CO253" s="94">
        <f>INDEX($57:$57,COUNTA($2:$2)-7)</f>
        <v>0</v>
      </c>
      <c r="CP253" s="94">
        <f>INDEX($59:$59,COUNTA($2:$2)-7)</f>
        <v>0.33728312294038815</v>
      </c>
      <c r="CQ253" s="83" t="str">
        <f t="shared" si="99"/>
        <v>May</v>
      </c>
      <c r="CR253" s="91">
        <f t="shared" si="100"/>
        <v>2015</v>
      </c>
      <c r="CS253" s="91"/>
      <c r="CT253" s="91"/>
      <c r="CU253" s="91"/>
      <c r="CV253" s="91"/>
      <c r="CW253" s="91"/>
      <c r="CX253" s="91"/>
      <c r="CY253" s="91"/>
      <c r="CZ253" s="91"/>
    </row>
    <row r="254" spans="90:104" x14ac:dyDescent="0.2">
      <c r="CL254" s="91" t="s">
        <v>42</v>
      </c>
      <c r="CM254" s="93">
        <f>INDEX($2:$2,COUNTA($2:$2)-6)</f>
        <v>42156</v>
      </c>
      <c r="CN254" s="95" t="s">
        <v>150</v>
      </c>
      <c r="CO254" s="94">
        <f>INDEX($57:$57,COUNTA($2:$2)-6)</f>
        <v>0</v>
      </c>
      <c r="CP254" s="94">
        <f>INDEX($59:$59,COUNTA($2:$2)-6)</f>
        <v>0.29877509102619587</v>
      </c>
      <c r="CQ254" s="83" t="str">
        <f t="shared" si="99"/>
        <v>June</v>
      </c>
      <c r="CR254" s="91">
        <f t="shared" si="100"/>
        <v>2015</v>
      </c>
      <c r="CS254" s="91"/>
      <c r="CT254" s="91"/>
      <c r="CU254" s="91"/>
      <c r="CV254" s="91"/>
      <c r="CW254" s="91"/>
      <c r="CX254" s="91"/>
      <c r="CY254" s="91"/>
      <c r="CZ254" s="91"/>
    </row>
    <row r="255" spans="90:104" x14ac:dyDescent="0.2">
      <c r="CL255" s="91" t="s">
        <v>42</v>
      </c>
      <c r="CM255" s="93">
        <f>INDEX($2:$2,COUNTA($2:$2)-5)</f>
        <v>42186</v>
      </c>
      <c r="CN255" s="95" t="s">
        <v>150</v>
      </c>
      <c r="CO255" s="94">
        <f>INDEX($57:$57,COUNTA($2:$2)-5)</f>
        <v>1</v>
      </c>
      <c r="CP255" s="94">
        <f>INDEX($59:$59,COUNTA($2:$2)-5)</f>
        <v>0.32415593494734685</v>
      </c>
      <c r="CQ255" s="83" t="str">
        <f t="shared" si="99"/>
        <v>July</v>
      </c>
      <c r="CR255" s="91">
        <f t="shared" si="100"/>
        <v>2015</v>
      </c>
      <c r="CS255" s="91"/>
      <c r="CT255" s="91"/>
      <c r="CU255" s="91"/>
      <c r="CV255" s="91"/>
      <c r="CW255" s="91"/>
      <c r="CX255" s="91"/>
      <c r="CY255" s="91"/>
      <c r="CZ255" s="91"/>
    </row>
    <row r="256" spans="90:104" x14ac:dyDescent="0.2">
      <c r="CL256" s="91" t="s">
        <v>42</v>
      </c>
      <c r="CM256" s="93">
        <f>INDEX($2:$2,COUNTA($2:$2)-4)</f>
        <v>42217</v>
      </c>
      <c r="CN256" s="95" t="s">
        <v>150</v>
      </c>
      <c r="CO256" s="94">
        <f>INDEX($57:$57,COUNTA($2:$2)-4)</f>
        <v>3</v>
      </c>
      <c r="CP256" s="94">
        <f>INDEX($59:$59,COUNTA($2:$2)-4)</f>
        <v>0.44070343620011909</v>
      </c>
      <c r="CQ256" s="83" t="str">
        <f t="shared" si="99"/>
        <v>August</v>
      </c>
      <c r="CR256" s="91">
        <f t="shared" si="100"/>
        <v>2015</v>
      </c>
      <c r="CS256" s="91"/>
      <c r="CT256" s="91"/>
      <c r="CU256" s="91"/>
      <c r="CV256" s="91"/>
      <c r="CW256" s="91"/>
      <c r="CX256" s="91"/>
      <c r="CY256" s="91"/>
      <c r="CZ256" s="91"/>
    </row>
    <row r="257" spans="90:104" x14ac:dyDescent="0.2">
      <c r="CL257" s="91" t="s">
        <v>42</v>
      </c>
      <c r="CM257" s="93">
        <f>INDEX($2:$2,COUNTA($2:$2)-3)</f>
        <v>42262</v>
      </c>
      <c r="CN257" s="95" t="s">
        <v>150</v>
      </c>
      <c r="CO257" s="94">
        <f>INDEX($57:$57,COUNTA($2:$2)-3)</f>
        <v>2</v>
      </c>
      <c r="CP257" s="94">
        <f>INDEX($59:$59,COUNTA($2:$2)-3)</f>
        <v>0.47664106872877238</v>
      </c>
      <c r="CQ257" s="83" t="str">
        <f t="shared" si="99"/>
        <v>September</v>
      </c>
      <c r="CR257" s="91">
        <f t="shared" si="100"/>
        <v>2015</v>
      </c>
      <c r="CS257" s="91"/>
      <c r="CT257" s="91"/>
      <c r="CU257" s="91"/>
      <c r="CV257" s="91"/>
      <c r="CW257" s="91"/>
      <c r="CX257" s="91"/>
      <c r="CY257" s="91"/>
      <c r="CZ257" s="91"/>
    </row>
    <row r="258" spans="90:104" x14ac:dyDescent="0.2">
      <c r="CL258" s="91" t="s">
        <v>42</v>
      </c>
      <c r="CM258" s="93">
        <f>INDEX($2:$2,COUNTA($2:$2)-2)</f>
        <v>42292</v>
      </c>
      <c r="CN258" s="95" t="s">
        <v>150</v>
      </c>
      <c r="CO258" s="94">
        <f>INDEX($57:$57,COUNTA($2:$2)-2)</f>
        <v>1</v>
      </c>
      <c r="CP258" s="94">
        <f>INDEX($59:$59,COUNTA($2:$2)-2)</f>
        <v>0.47594247876949769</v>
      </c>
      <c r="CQ258" s="83" t="str">
        <f t="shared" si="99"/>
        <v>October</v>
      </c>
      <c r="CR258" s="91">
        <f t="shared" si="100"/>
        <v>2015</v>
      </c>
      <c r="CS258" s="91"/>
      <c r="CT258" s="91"/>
      <c r="CU258" s="91"/>
      <c r="CV258" s="91"/>
      <c r="CW258" s="91"/>
      <c r="CX258" s="91"/>
      <c r="CY258" s="91"/>
      <c r="CZ258" s="91"/>
    </row>
    <row r="259" spans="90:104" x14ac:dyDescent="0.2">
      <c r="CL259" s="91" t="s">
        <v>42</v>
      </c>
      <c r="CM259" s="93">
        <f>INDEX($2:$2,COUNTA($2:$2)-1)</f>
        <v>42323</v>
      </c>
      <c r="CN259" s="95" t="s">
        <v>150</v>
      </c>
      <c r="CO259" s="94">
        <f>INDEX($57:$57,COUNTA($2:$2)-1)</f>
        <v>0</v>
      </c>
      <c r="CP259" s="94">
        <f>INDEX($59:$59,COUNTA($2:$2)-1)</f>
        <v>0.43388734294701042</v>
      </c>
      <c r="CQ259" s="83" t="str">
        <f t="shared" si="99"/>
        <v>November</v>
      </c>
      <c r="CR259" s="91">
        <f t="shared" si="100"/>
        <v>2015</v>
      </c>
      <c r="CS259" s="91"/>
      <c r="CT259" s="91"/>
      <c r="CU259" s="91"/>
      <c r="CV259" s="91"/>
      <c r="CW259" s="91"/>
      <c r="CX259" s="91"/>
      <c r="CY259" s="91"/>
      <c r="CZ259" s="91"/>
    </row>
    <row r="260" spans="90:104" x14ac:dyDescent="0.2">
      <c r="CL260" s="91" t="s">
        <v>42</v>
      </c>
      <c r="CM260" s="93">
        <f>INDEX($2:$2,COUNTA($2:$2))</f>
        <v>42353</v>
      </c>
      <c r="CN260" s="95" t="s">
        <v>150</v>
      </c>
      <c r="CO260" s="94">
        <f>INDEX($57:$57,COUNTA($2:$2))</f>
        <v>2</v>
      </c>
      <c r="CP260" s="94">
        <f>INDEX($59:$59,COUNTA($2:$2))</f>
        <v>0.44706801442931005</v>
      </c>
      <c r="CQ260" s="83" t="str">
        <f t="shared" si="99"/>
        <v>December</v>
      </c>
      <c r="CR260" s="91">
        <f t="shared" si="100"/>
        <v>2015</v>
      </c>
      <c r="CS260" s="91"/>
      <c r="CT260" s="91"/>
      <c r="CU260" s="91"/>
      <c r="CV260" s="91"/>
      <c r="CW260" s="91"/>
      <c r="CX260" s="91"/>
      <c r="CY260" s="91"/>
      <c r="CZ260" s="91"/>
    </row>
    <row r="261" spans="90:104" x14ac:dyDescent="0.2">
      <c r="CL261" s="91" t="s">
        <v>42</v>
      </c>
      <c r="CM261" s="93">
        <f>INDEX($2:$2,COUNTA($2:$2)+1)</f>
        <v>42370</v>
      </c>
      <c r="CN261" s="95" t="s">
        <v>150</v>
      </c>
      <c r="CO261" s="94">
        <f>INDEX($57:$57,COUNTA($2:$2)+1)</f>
        <v>0</v>
      </c>
      <c r="CP261" s="94">
        <f>INDEX($59:$59,COUNTA($2:$2)+1)</f>
        <v>0.40301402870057718</v>
      </c>
      <c r="CQ261" s="83" t="str">
        <f t="shared" si="99"/>
        <v>January</v>
      </c>
      <c r="CR261" s="91">
        <f t="shared" si="100"/>
        <v>2016</v>
      </c>
      <c r="CS261" s="91"/>
      <c r="CT261" s="91"/>
      <c r="CU261" s="91"/>
      <c r="CV261" s="91"/>
      <c r="CW261" s="91"/>
      <c r="CX261" s="99"/>
      <c r="CY261" s="99"/>
      <c r="CZ261" s="91"/>
    </row>
    <row r="262" spans="90:104" x14ac:dyDescent="0.2">
      <c r="CL262" s="91" t="s">
        <v>42</v>
      </c>
      <c r="CM262" s="93">
        <f>INDEX('Top Incident Types Data'!$2:$2,COUNTA('Top Incident Types Data'!$2:$2)-22)</f>
        <v>41671</v>
      </c>
      <c r="CN262" s="101" t="s">
        <v>316</v>
      </c>
      <c r="CO262" s="101"/>
      <c r="CP262" s="101"/>
      <c r="CQ262" s="83" t="str">
        <f t="shared" si="99"/>
        <v>February</v>
      </c>
      <c r="CR262" s="91">
        <f t="shared" si="100"/>
        <v>2014</v>
      </c>
      <c r="CS262" s="98">
        <f>INDEX(Data!$9:$9,COUNTA(Data!$2:$2)-22)</f>
        <v>1</v>
      </c>
      <c r="CT262" s="97">
        <f>INDEX(Data!$10:$10,COUNTA(Data!$2:$2)-22)</f>
        <v>29.96</v>
      </c>
      <c r="CU262" s="97">
        <f>INDEX(Data!$11:$11,COUNTA(Data!$2:$2)-22)</f>
        <v>0.49278166032234921</v>
      </c>
      <c r="CV262" s="94">
        <f>INDEX(Data!$4:$4,COUNTA(Data!$2:$2)-22)</f>
        <v>9</v>
      </c>
      <c r="CW262" s="97">
        <f>INDEX(Data!$8:$8,COUNTA(Data!$2:$2)-22)</f>
        <v>4.4350349429011429</v>
      </c>
      <c r="CX262" s="100">
        <f>INDEX(Data!$28:$28,COUNTA(Data!$2:$2)-22)</f>
        <v>3.7203398891893218</v>
      </c>
      <c r="CY262" s="100">
        <f>INDEX(Data!$31:$31,COUNTA(Data!$2:$2)-22)</f>
        <v>27.178571428571427</v>
      </c>
    </row>
    <row r="263" spans="90:104" x14ac:dyDescent="0.2">
      <c r="CL263" s="91" t="s">
        <v>42</v>
      </c>
      <c r="CM263" s="93">
        <f>INDEX('Top Incident Types Data'!$2:$2,COUNTA('Top Incident Types Data'!$2:$2)-21)</f>
        <v>41699</v>
      </c>
      <c r="CN263" s="101" t="s">
        <v>316</v>
      </c>
      <c r="CO263" s="101"/>
      <c r="CP263" s="101"/>
      <c r="CQ263" s="83" t="str">
        <f t="shared" si="99"/>
        <v>March</v>
      </c>
      <c r="CR263" s="91">
        <f t="shared" si="100"/>
        <v>2014</v>
      </c>
      <c r="CS263" s="98">
        <f>INDEX(Data!$9:$9,COUNTA(Data!$2:$2)-21)</f>
        <v>3</v>
      </c>
      <c r="CT263" s="97">
        <f>INDEX(Data!$10:$10,COUNTA(Data!$2:$2)-21)</f>
        <v>22.633333333333336</v>
      </c>
      <c r="CU263" s="97">
        <f>INDEX(Data!$11:$11,COUNTA(Data!$2:$2)-21)</f>
        <v>1.4588670963322039</v>
      </c>
      <c r="CV263" s="94">
        <f>INDEX(Data!$4:$4,COUNTA(Data!$2:$2)-21)</f>
        <v>6</v>
      </c>
      <c r="CW263" s="97">
        <f>INDEX(Data!$8:$8,COUNTA(Data!$2:$2)-21)</f>
        <v>2.9177341926644078</v>
      </c>
      <c r="CX263" s="100">
        <f>INDEX(Data!$28:$28,COUNTA(Data!$2:$2)-21)</f>
        <v>3.8112584876004689</v>
      </c>
      <c r="CY263" s="100">
        <f>INDEX(Data!$31:$31,COUNTA(Data!$2:$2)-21)</f>
        <v>26.576249999999998</v>
      </c>
    </row>
    <row r="264" spans="90:104" x14ac:dyDescent="0.2">
      <c r="CL264" s="91" t="s">
        <v>42</v>
      </c>
      <c r="CM264" s="93">
        <f>INDEX('Top Incident Types Data'!$2:$2,COUNTA('Top Incident Types Data'!$2:$2)-20)</f>
        <v>41730</v>
      </c>
      <c r="CN264" s="101" t="s">
        <v>316</v>
      </c>
      <c r="CO264" s="101"/>
      <c r="CP264" s="101"/>
      <c r="CQ264" s="83" t="str">
        <f t="shared" si="99"/>
        <v>April</v>
      </c>
      <c r="CR264" s="91">
        <f t="shared" si="100"/>
        <v>2014</v>
      </c>
      <c r="CS264" s="98">
        <f>INDEX(Data!$9:$9,COUNTA(Data!$2:$2)-20)</f>
        <v>1</v>
      </c>
      <c r="CT264" s="97">
        <f>INDEX(Data!$10:$10,COUNTA(Data!$2:$2)-20)</f>
        <v>86</v>
      </c>
      <c r="CU264" s="97">
        <f>INDEX(Data!$11:$11,COUNTA(Data!$2:$2)-20)</f>
        <v>0.46126008043545547</v>
      </c>
      <c r="CV264" s="94">
        <f>INDEX(Data!$4:$4,COUNTA(Data!$2:$2)-20)</f>
        <v>4</v>
      </c>
      <c r="CW264" s="97">
        <f>INDEX(Data!$8:$8,COUNTA(Data!$2:$2)-20)</f>
        <v>1.8450403217418219</v>
      </c>
      <c r="CX264" s="100">
        <f>INDEX(Data!$28:$28,COUNTA(Data!$2:$2)-20)</f>
        <v>3.3202223106556481</v>
      </c>
      <c r="CY264" s="100">
        <f>INDEX(Data!$31:$31,COUNTA(Data!$2:$2)-20)</f>
        <v>29.065882352941173</v>
      </c>
    </row>
    <row r="265" spans="90:104" x14ac:dyDescent="0.2">
      <c r="CL265" s="91" t="s">
        <v>42</v>
      </c>
      <c r="CM265" s="93">
        <f>INDEX('Top Incident Types Data'!$2:$2,COUNTA('Top Incident Types Data'!$2:$2)-19)</f>
        <v>41760</v>
      </c>
      <c r="CN265" s="101" t="s">
        <v>316</v>
      </c>
      <c r="CO265" s="101"/>
      <c r="CP265" s="101"/>
      <c r="CQ265" s="83" t="str">
        <f t="shared" si="99"/>
        <v>May</v>
      </c>
      <c r="CR265" s="91">
        <f t="shared" si="100"/>
        <v>2014</v>
      </c>
      <c r="CS265" s="98">
        <f>INDEX(Data!$9:$9,COUNTA(Data!$2:$2)-19)</f>
        <v>0</v>
      </c>
      <c r="CT265" s="97">
        <f>INDEX(Data!$26:$26,COUNTA(Data!$2:$2)-19)</f>
        <v>0</v>
      </c>
      <c r="CU265" s="97">
        <f>INDEX(Data!$11:$11,COUNTA(Data!$2:$2)-19)</f>
        <v>0</v>
      </c>
      <c r="CV265" s="94">
        <f>INDEX(Data!$4:$4,COUNTA(Data!$2:$2)-19)</f>
        <v>5</v>
      </c>
      <c r="CW265" s="97">
        <f>INDEX(Data!$8:$8,COUNTA(Data!$2:$2)-19)</f>
        <v>2.2367464107769126</v>
      </c>
      <c r="CX265" s="100">
        <f>INDEX(Data!$28:$28,COUNTA(Data!$2:$2)-19)</f>
        <v>3.2420390489657533</v>
      </c>
      <c r="CY265" s="100">
        <f>INDEX(Data!$31:$31,COUNTA(Data!$2:$2)-19)</f>
        <v>35.53125</v>
      </c>
    </row>
    <row r="266" spans="90:104" x14ac:dyDescent="0.2">
      <c r="CL266" s="91" t="s">
        <v>42</v>
      </c>
      <c r="CM266" s="93">
        <f>INDEX('Top Incident Types Data'!$2:$2,COUNTA('Top Incident Types Data'!$2:$2)-18)</f>
        <v>41791</v>
      </c>
      <c r="CN266" s="101" t="s">
        <v>316</v>
      </c>
      <c r="CO266" s="101"/>
      <c r="CP266" s="101"/>
      <c r="CQ266" s="83" t="str">
        <f t="shared" si="99"/>
        <v>June</v>
      </c>
      <c r="CR266" s="91">
        <f t="shared" si="100"/>
        <v>2014</v>
      </c>
      <c r="CS266" s="98">
        <f>INDEX(Data!$9:$9,COUNTA(Data!$2:$2)-18)</f>
        <v>2</v>
      </c>
      <c r="CT266" s="97">
        <f>INDEX(Data!$10:$10,COUNTA(Data!$2:$2)-18)</f>
        <v>45.6</v>
      </c>
      <c r="CU266" s="97">
        <f>INDEX(Data!$11:$11,COUNTA(Data!$2:$2)-18)</f>
        <v>0.96628193024285136</v>
      </c>
      <c r="CV266" s="94">
        <f>INDEX(Data!$4:$4,COUNTA(Data!$2:$2)-18)</f>
        <v>6</v>
      </c>
      <c r="CW266" s="97">
        <f>INDEX(Data!$8:$8,COUNTA(Data!$2:$2)-18)</f>
        <v>2.8988457907285539</v>
      </c>
      <c r="CX266" s="100">
        <f>INDEX(Data!$28:$28,COUNTA(Data!$2:$2)-18)</f>
        <v>3.1875325929805038</v>
      </c>
      <c r="CY266" s="100">
        <f>INDEX(Data!$31:$31,COUNTA(Data!$2:$2)-18)</f>
        <v>35.799999999999997</v>
      </c>
    </row>
    <row r="267" spans="90:104" x14ac:dyDescent="0.2">
      <c r="CL267" s="91" t="s">
        <v>42</v>
      </c>
      <c r="CM267" s="93">
        <f>INDEX('Top Incident Types Data'!$2:$2,COUNTA('Top Incident Types Data'!$2:$2)-17)</f>
        <v>41821</v>
      </c>
      <c r="CN267" s="101" t="s">
        <v>316</v>
      </c>
      <c r="CO267" s="101"/>
      <c r="CP267" s="101"/>
      <c r="CQ267" s="83" t="str">
        <f t="shared" si="99"/>
        <v>July</v>
      </c>
      <c r="CR267" s="91">
        <f t="shared" si="100"/>
        <v>2014</v>
      </c>
      <c r="CS267" s="98">
        <f>INDEX(Data!$9:$9,COUNTA(Data!$2:$2)-17)</f>
        <v>2</v>
      </c>
      <c r="CT267" s="97">
        <f>INDEX(Data!$10:$10,COUNTA(Data!$2:$2)-17)</f>
        <v>27.15</v>
      </c>
      <c r="CU267" s="97">
        <f>INDEX(Data!$11:$11,COUNTA(Data!$2:$2)-17)</f>
        <v>0.90308053866406113</v>
      </c>
      <c r="CV267" s="94">
        <f>INDEX(Data!$4:$4,COUNTA(Data!$2:$2)-17)</f>
        <v>6</v>
      </c>
      <c r="CW267" s="97">
        <f>INDEX(Data!$8:$8,COUNTA(Data!$2:$2)-17)</f>
        <v>2.7092416159921835</v>
      </c>
      <c r="CX267" s="100">
        <f>INDEX(Data!$28:$28,COUNTA(Data!$2:$2)-17)</f>
        <v>3.2057686738696725</v>
      </c>
      <c r="CY267" s="100">
        <f>INDEX(Data!$31:$31,COUNTA(Data!$2:$2)-17)</f>
        <v>35.057368421052637</v>
      </c>
    </row>
    <row r="268" spans="90:104" x14ac:dyDescent="0.2">
      <c r="CL268" s="91" t="s">
        <v>42</v>
      </c>
      <c r="CM268" s="93">
        <f>INDEX('Top Incident Types Data'!$2:$2,COUNTA('Top Incident Types Data'!$2:$2)-16)</f>
        <v>41852</v>
      </c>
      <c r="CN268" s="101" t="s">
        <v>316</v>
      </c>
      <c r="CO268" s="101"/>
      <c r="CP268" s="101"/>
      <c r="CQ268" s="83" t="str">
        <f t="shared" si="99"/>
        <v>August</v>
      </c>
      <c r="CR268" s="91">
        <f t="shared" si="100"/>
        <v>2014</v>
      </c>
      <c r="CS268" s="98">
        <f>INDEX(Data!$9:$9,COUNTA(Data!$2:$2)-16)</f>
        <v>0</v>
      </c>
      <c r="CT268" s="97" t="e">
        <f>INDEX(Data!$10:$10,COUNTA(Data!$2:$2)-16)</f>
        <v>#DIV/0!</v>
      </c>
      <c r="CU268" s="97">
        <f>INDEX(Data!$11:$11,COUNTA(Data!$2:$2)-16)</f>
        <v>0</v>
      </c>
      <c r="CV268" s="94">
        <f>INDEX(Data!$4:$4,COUNTA(Data!$2:$2)-16)</f>
        <v>4</v>
      </c>
      <c r="CW268" s="97">
        <f>INDEX(Data!$8:$8,COUNTA(Data!$2:$2)-16)</f>
        <v>1.5052729617771492</v>
      </c>
      <c r="CX268" s="97">
        <f>INDEX(Data!$28:$28,COUNTA(Data!$2:$2)-16)</f>
        <v>3.2400790283681196</v>
      </c>
      <c r="CY268" s="97">
        <f>INDEX(Data!$31:$31,COUNTA(Data!$2:$2)-16)</f>
        <v>36.457368421052635</v>
      </c>
    </row>
    <row r="269" spans="90:104" x14ac:dyDescent="0.2">
      <c r="CL269" s="91" t="s">
        <v>42</v>
      </c>
      <c r="CM269" s="93">
        <f>INDEX('Top Incident Types Data'!$2:$2,COUNTA('Top Incident Types Data'!$2:$2)-15)</f>
        <v>41883</v>
      </c>
      <c r="CN269" s="101" t="s">
        <v>316</v>
      </c>
      <c r="CO269" s="101"/>
      <c r="CP269" s="101"/>
      <c r="CQ269" s="83" t="str">
        <f t="shared" si="99"/>
        <v>September</v>
      </c>
      <c r="CR269" s="91">
        <f t="shared" si="100"/>
        <v>2014</v>
      </c>
      <c r="CS269" s="98">
        <f>INDEX(Data!$9:$9,COUNTA(Data!$2:$2)-15)</f>
        <v>1</v>
      </c>
      <c r="CT269" s="97">
        <f>INDEX(Data!$10:$10,COUNTA(Data!$2:$2)-15)</f>
        <v>40.700000000000003</v>
      </c>
      <c r="CU269" s="97">
        <f>INDEX(Data!$11:$11,COUNTA(Data!$2:$2)-15)</f>
        <v>0.47482770935919361</v>
      </c>
      <c r="CV269" s="94">
        <f>INDEX(Data!$4:$4,COUNTA(Data!$2:$2)-15)</f>
        <v>6</v>
      </c>
      <c r="CW269" s="97">
        <f>INDEX(Data!$8:$8,COUNTA(Data!$2:$2)-15)</f>
        <v>2.8489662561551619</v>
      </c>
      <c r="CX269" s="97">
        <f>INDEX(Data!$28:$28,COUNTA(Data!$2:$2)-15)</f>
        <v>2.9307454901624688</v>
      </c>
      <c r="CY269" s="97">
        <f>INDEX(Data!$31:$31,COUNTA(Data!$2:$2)-15)</f>
        <v>40.591764705882355</v>
      </c>
    </row>
    <row r="270" spans="90:104" x14ac:dyDescent="0.2">
      <c r="CL270" s="91" t="s">
        <v>42</v>
      </c>
      <c r="CM270" s="93">
        <f>INDEX('Top Incident Types Data'!$2:$2,COUNTA('Top Incident Types Data'!$2:$2)-14)</f>
        <v>41913</v>
      </c>
      <c r="CN270" s="101" t="s">
        <v>316</v>
      </c>
      <c r="CO270" s="101"/>
      <c r="CP270" s="101"/>
      <c r="CQ270" s="83" t="str">
        <f t="shared" si="99"/>
        <v>October</v>
      </c>
      <c r="CR270" s="91">
        <f t="shared" si="100"/>
        <v>2014</v>
      </c>
      <c r="CS270" s="98">
        <f>INDEX(Data!$9:$9,COUNTA(Data!$2:$2)-14)</f>
        <v>0</v>
      </c>
      <c r="CT270" s="97" t="e">
        <f>INDEX(Data!$10:$10,COUNTA(Data!$2:$2)-14)</f>
        <v>#DIV/0!</v>
      </c>
      <c r="CU270" s="97">
        <f>INDEX(Data!$11:$11,COUNTA(Data!$2:$2)-14)</f>
        <v>0</v>
      </c>
      <c r="CV270" s="94">
        <f>INDEX(Data!$4:$4,COUNTA(Data!$2:$2)-14)</f>
        <v>4</v>
      </c>
      <c r="CW270" s="97">
        <f>INDEX(Data!$8:$8,COUNTA(Data!$2:$2)-14)</f>
        <v>1.8285030947986283</v>
      </c>
      <c r="CX270" s="97">
        <f>INDEX(Data!$28:$28,COUNTA(Data!$2:$2)-14)</f>
        <v>2.7686510631830785</v>
      </c>
      <c r="CY270" s="97">
        <f>INDEX(Data!$31:$31,COUNTA(Data!$2:$2)-14)</f>
        <v>42.378749999999997</v>
      </c>
    </row>
    <row r="271" spans="90:104" x14ac:dyDescent="0.2">
      <c r="CL271" s="91" t="s">
        <v>42</v>
      </c>
      <c r="CM271" s="93">
        <f>INDEX('Top Incident Types Data'!$2:$2,COUNTA('Top Incident Types Data'!$2:$2)-13)</f>
        <v>41944</v>
      </c>
      <c r="CN271" s="101" t="s">
        <v>316</v>
      </c>
      <c r="CO271" s="101"/>
      <c r="CP271" s="101"/>
      <c r="CQ271" s="83" t="str">
        <f t="shared" si="99"/>
        <v>November</v>
      </c>
      <c r="CR271" s="91">
        <f t="shared" si="100"/>
        <v>2014</v>
      </c>
      <c r="CS271" s="98">
        <f>INDEX(Data!$9:$9,COUNTA(Data!$2:$2)-13)</f>
        <v>1</v>
      </c>
      <c r="CT271" s="97">
        <f>INDEX(Data!$10:$10,COUNTA(Data!$2:$2)-13)</f>
        <v>6.7</v>
      </c>
      <c r="CU271" s="97">
        <f>INDEX(Data!$11:$11,COUNTA(Data!$2:$2)-13)</f>
        <v>0.48371764095259961</v>
      </c>
      <c r="CV271" s="94">
        <f>INDEX(Data!$4:$4,COUNTA(Data!$2:$2)-13)</f>
        <v>4</v>
      </c>
      <c r="CW271" s="97">
        <f>INDEX(Data!$8:$8,COUNTA(Data!$2:$2)-13)</f>
        <v>1.9348705638103985</v>
      </c>
      <c r="CX271" s="97">
        <f>INDEX(Data!$28:$28,COUNTA(Data!$2:$2)-13)</f>
        <v>2.7453091965565752</v>
      </c>
      <c r="CY271" s="97">
        <f>INDEX(Data!$31:$31,COUNTA(Data!$2:$2)-13)</f>
        <v>42.077333333333328</v>
      </c>
    </row>
    <row r="272" spans="90:104" x14ac:dyDescent="0.2">
      <c r="CL272" s="91" t="s">
        <v>42</v>
      </c>
      <c r="CM272" s="93">
        <f>INDEX('Top Incident Types Data'!$2:$2,COUNTA('Top Incident Types Data'!$2:$2)-12)</f>
        <v>41974</v>
      </c>
      <c r="CN272" s="101" t="s">
        <v>316</v>
      </c>
      <c r="CO272" s="101"/>
      <c r="CP272" s="101"/>
      <c r="CQ272" s="83" t="str">
        <f t="shared" si="99"/>
        <v>December</v>
      </c>
      <c r="CR272" s="91">
        <f t="shared" si="100"/>
        <v>2014</v>
      </c>
      <c r="CS272" s="98">
        <f>INDEX(Data!$9:$9,COUNTA(Data!$2:$2)-12)</f>
        <v>2</v>
      </c>
      <c r="CT272" s="97">
        <f>INDEX(Data!$10:$10,COUNTA(Data!$2:$2)-12)</f>
        <v>5.95</v>
      </c>
      <c r="CU272" s="97">
        <f>INDEX(Data!$11:$11,COUNTA(Data!$2:$2)-12)</f>
        <v>0.90407601995539866</v>
      </c>
      <c r="CV272" s="94">
        <f>INDEX(Data!$4:$4,COUNTA(Data!$2:$2)-12)</f>
        <v>4</v>
      </c>
      <c r="CW272" s="97">
        <f>INDEX(Data!$8:$8,COUNTA(Data!$2:$2)-12)</f>
        <v>1.8081520399107973</v>
      </c>
      <c r="CX272" s="97">
        <f>INDEX(Data!$28:$28,COUNTA(Data!$2:$2)-12)</f>
        <v>2.3738778347414886</v>
      </c>
      <c r="CY272" s="97">
        <f>INDEX(Data!$31:$31,COUNTA(Data!$2:$2)-12)</f>
        <v>42.875714285714288</v>
      </c>
    </row>
    <row r="273" spans="90:103" x14ac:dyDescent="0.2">
      <c r="CL273" s="91" t="s">
        <v>42</v>
      </c>
      <c r="CM273" s="93">
        <f>INDEX('Top Incident Types Data'!$2:$2,COUNTA('Top Incident Types Data'!$2:$2)-11)</f>
        <v>42005</v>
      </c>
      <c r="CN273" s="101" t="s">
        <v>316</v>
      </c>
      <c r="CO273" s="101"/>
      <c r="CP273" s="101"/>
      <c r="CQ273" s="83" t="str">
        <f t="shared" si="99"/>
        <v>January</v>
      </c>
      <c r="CR273" s="91">
        <f t="shared" si="100"/>
        <v>2015</v>
      </c>
      <c r="CS273" s="98">
        <f>INDEX(Data!$9:$9,COUNTA(Data!$2:$2)-11)</f>
        <v>1</v>
      </c>
      <c r="CT273" s="97">
        <f>INDEX(Data!$10:$10,COUNTA(Data!$2:$2)-11)</f>
        <v>7.4</v>
      </c>
      <c r="CU273" s="97">
        <f>INDEX(Data!$11:$11,COUNTA(Data!$2:$2)-11)</f>
        <v>0.37575908965451082</v>
      </c>
      <c r="CV273" s="94">
        <f>INDEX(Data!$4:$4,COUNTA(Data!$2:$2)-11)</f>
        <v>6</v>
      </c>
      <c r="CW273" s="97">
        <f>INDEX(Data!$8:$8,COUNTA(Data!$2:$2)-11)</f>
        <v>2.2545545379270648</v>
      </c>
      <c r="CX273" s="97">
        <f>INDEX(Data!$28:$28,COUNTA(Data!$2:$2)-11)</f>
        <v>2.4001301530128702</v>
      </c>
      <c r="CY273" s="97">
        <f>INDEX(Data!$31:$31,COUNTA(Data!$2:$2)-11)</f>
        <v>40.882857142857141</v>
      </c>
    </row>
    <row r="274" spans="90:103" x14ac:dyDescent="0.2">
      <c r="CL274" s="91" t="s">
        <v>42</v>
      </c>
      <c r="CM274" s="93">
        <f>INDEX('Top Incident Types Data'!$2:$2,COUNTA('Top Incident Types Data'!$2:$2)-10)</f>
        <v>42036</v>
      </c>
      <c r="CN274" s="101" t="s">
        <v>316</v>
      </c>
      <c r="CO274" s="101"/>
      <c r="CP274" s="101"/>
      <c r="CQ274" s="83" t="str">
        <f t="shared" si="99"/>
        <v>February</v>
      </c>
      <c r="CR274" s="91">
        <f t="shared" si="100"/>
        <v>2015</v>
      </c>
      <c r="CS274" s="98">
        <f>INDEX(Data!$9:$9,COUNTA(Data!$2:$2)-10)</f>
        <v>1</v>
      </c>
      <c r="CT274" s="97">
        <f>INDEX(Data!$10:$10,COUNTA(Data!$2:$2)-10)</f>
        <v>4.8</v>
      </c>
      <c r="CU274" s="97">
        <f>INDEX(Data!$11:$11,COUNTA(Data!$2:$2)-10)</f>
        <v>0.47830375885531579</v>
      </c>
      <c r="CV274" s="94">
        <f>INDEX(Data!$4:$4,COUNTA(Data!$2:$2)-10)</f>
        <v>6</v>
      </c>
      <c r="CW274" s="97">
        <f>INDEX(Data!$8:$8,COUNTA(Data!$2:$2)-10)</f>
        <v>2.8698225531318942</v>
      </c>
      <c r="CX274" s="97">
        <f>INDEX(Data!$28:$28,COUNTA(Data!$2:$2)-10)</f>
        <v>2.2823664528312104</v>
      </c>
      <c r="CY274" s="97">
        <f>INDEX(Data!$31:$31,COUNTA(Data!$2:$2)-10)</f>
        <v>39.085714285714289</v>
      </c>
    </row>
    <row r="275" spans="90:103" x14ac:dyDescent="0.2">
      <c r="CL275" s="91" t="s">
        <v>42</v>
      </c>
      <c r="CM275" s="93">
        <f>INDEX('Top Incident Types Data'!$2:$2,COUNTA('Top Incident Types Data'!$2:$2)-9)</f>
        <v>42064</v>
      </c>
      <c r="CN275" s="101" t="s">
        <v>316</v>
      </c>
      <c r="CO275" s="101"/>
      <c r="CP275" s="101"/>
      <c r="CQ275" s="83" t="str">
        <f t="shared" si="99"/>
        <v>March</v>
      </c>
      <c r="CR275" s="91">
        <f t="shared" si="100"/>
        <v>2015</v>
      </c>
      <c r="CS275" s="98">
        <f>INDEX(Data!$9:$9,COUNTA(Data!$2:$2)-9)</f>
        <v>1</v>
      </c>
      <c r="CT275" s="97">
        <f>INDEX(Data!$10:$10,COUNTA(Data!$2:$2)-9)</f>
        <v>2.2999999999999998</v>
      </c>
      <c r="CU275" s="97">
        <f>INDEX(Data!$11:$11,COUNTA(Data!$2:$2)-9)</f>
        <v>0.46952677335567033</v>
      </c>
      <c r="CV275" s="94">
        <f>INDEX(Data!$4:$4,COUNTA(Data!$2:$2)-9)</f>
        <v>4</v>
      </c>
      <c r="CW275" s="97">
        <f>INDEX(Data!$8:$8,COUNTA(Data!$2:$2)-9)</f>
        <v>1.8781070934226813</v>
      </c>
      <c r="CX275" s="97">
        <f>INDEX(Data!$28:$28,COUNTA(Data!$2:$2)-9)</f>
        <v>2.201487633212222</v>
      </c>
      <c r="CY275" s="97">
        <f>INDEX(Data!$31:$31,COUNTA(Data!$2:$2)-9)</f>
        <v>40.133333333333333</v>
      </c>
    </row>
    <row r="276" spans="90:103" x14ac:dyDescent="0.2">
      <c r="CL276" s="91" t="s">
        <v>42</v>
      </c>
      <c r="CM276" s="93">
        <f>INDEX('Top Incident Types Data'!$2:$2,COUNTA('Top Incident Types Data'!$2:$2)-8)</f>
        <v>42095</v>
      </c>
      <c r="CN276" s="101" t="s">
        <v>316</v>
      </c>
      <c r="CO276" s="101"/>
      <c r="CP276" s="101"/>
      <c r="CQ276" s="83" t="str">
        <f t="shared" si="99"/>
        <v>April</v>
      </c>
      <c r="CR276" s="91">
        <f t="shared" si="100"/>
        <v>2015</v>
      </c>
      <c r="CS276" s="98">
        <f>INDEX(Data!$9:$9,COUNTA(Data!$2:$2)-8)</f>
        <v>2</v>
      </c>
      <c r="CT276" s="97">
        <f>INDEX(Data!$10:$10,COUNTA(Data!$2:$2)-8)</f>
        <v>2.98</v>
      </c>
      <c r="CU276" s="97">
        <f>INDEX(Data!$11:$11,COUNTA(Data!$2:$2)-8)</f>
        <v>0.94777606951672122</v>
      </c>
      <c r="CV276" s="94">
        <f>INDEX(Data!$4:$4,COUNTA(Data!$2:$2)-8)</f>
        <v>7</v>
      </c>
      <c r="CW276" s="97">
        <f>INDEX(Data!$8:$8,COUNTA(Data!$2:$2)-8)</f>
        <v>3.3172162433085237</v>
      </c>
      <c r="CX276" s="97">
        <f>INDEX(Data!$28:$28,COUNTA(Data!$2:$2)-8)</f>
        <v>2.3184253658336229</v>
      </c>
      <c r="CY276" s="97">
        <f>INDEX(Data!$31:$31,COUNTA(Data!$2:$2)-8)</f>
        <v>30.889230769230771</v>
      </c>
    </row>
    <row r="277" spans="90:103" x14ac:dyDescent="0.2">
      <c r="CL277" s="91" t="s">
        <v>42</v>
      </c>
      <c r="CM277" s="93">
        <f>INDEX('Top Incident Types Data'!$2:$2,COUNTA('Top Incident Types Data'!$2:$2)-7)</f>
        <v>42125</v>
      </c>
      <c r="CN277" s="101" t="s">
        <v>316</v>
      </c>
      <c r="CO277" s="101"/>
      <c r="CP277" s="101"/>
      <c r="CQ277" s="83" t="str">
        <f t="shared" si="99"/>
        <v>May</v>
      </c>
      <c r="CR277" s="91">
        <f t="shared" si="100"/>
        <v>2015</v>
      </c>
      <c r="CS277" s="98">
        <f>INDEX(Data!$9:$9,COUNTA(Data!$2:$2)-7)</f>
        <v>2</v>
      </c>
      <c r="CT277" s="97">
        <f>INDEX(Data!$10:$10,COUNTA(Data!$2:$2)-7)</f>
        <v>2.15</v>
      </c>
      <c r="CU277" s="97">
        <f>INDEX(Data!$11:$11,COUNTA(Data!$2:$2)-7)</f>
        <v>0.9187313661181703</v>
      </c>
      <c r="CV277" s="94">
        <f>INDEX(Data!$4:$4,COUNTA(Data!$2:$2)-7)</f>
        <v>8</v>
      </c>
      <c r="CW277" s="97">
        <f>INDEX(Data!$8:$8,COUNTA(Data!$2:$2)-7)</f>
        <v>3.6749254644726812</v>
      </c>
      <c r="CX277" s="97">
        <f>INDEX(Data!$28:$28,COUNTA(Data!$2:$2)-7)</f>
        <v>2.4359336656805812</v>
      </c>
      <c r="CY277" s="97">
        <f>INDEX(Data!$31:$31,COUNTA(Data!$2:$2)-7)</f>
        <v>20.663999999999998</v>
      </c>
    </row>
    <row r="278" spans="90:103" x14ac:dyDescent="0.2">
      <c r="CL278" s="91" t="s">
        <v>42</v>
      </c>
      <c r="CM278" s="93">
        <f>INDEX('Top Incident Types Data'!$2:$2,COUNTA('Top Incident Types Data'!$2:$2)-6)</f>
        <v>42156</v>
      </c>
      <c r="CN278" s="101" t="s">
        <v>316</v>
      </c>
      <c r="CO278" s="101"/>
      <c r="CP278" s="101"/>
      <c r="CQ278" s="83" t="str">
        <f t="shared" si="99"/>
        <v>June</v>
      </c>
      <c r="CR278" s="91">
        <f t="shared" si="100"/>
        <v>2015</v>
      </c>
      <c r="CS278" s="98">
        <f>INDEX(Data!$9:$9,COUNTA(Data!$2:$2)-6)</f>
        <v>2</v>
      </c>
      <c r="CT278" s="97">
        <f>INDEX(Data!$10:$10,COUNTA(Data!$2:$2)-6)</f>
        <v>4.8499999999999996</v>
      </c>
      <c r="CU278" s="97">
        <f>INDEX(Data!$11:$11,COUNTA(Data!$2:$2)-6)</f>
        <v>0.925082430626334</v>
      </c>
      <c r="CV278" s="94">
        <f>INDEX(Data!$4:$4,COUNTA(Data!$2:$2)-6)</f>
        <v>5</v>
      </c>
      <c r="CW278" s="97">
        <f>INDEX(Data!$8:$8,COUNTA(Data!$2:$2)-6)</f>
        <v>2.3127060765658349</v>
      </c>
      <c r="CX278" s="97">
        <f>INDEX(Data!$28:$28,COUNTA(Data!$2:$2)-6)</f>
        <v>2.390200728209567</v>
      </c>
      <c r="CY278" s="97">
        <f>INDEX(Data!$31:$31,COUNTA(Data!$2:$2)-6)</f>
        <v>15.230666666666668</v>
      </c>
    </row>
    <row r="279" spans="90:103" x14ac:dyDescent="0.2">
      <c r="CL279" s="91" t="s">
        <v>42</v>
      </c>
      <c r="CM279" s="93">
        <f>INDEX('Top Incident Types Data'!$2:$2,COUNTA('Top Incident Types Data'!$2:$2)-5)</f>
        <v>42186</v>
      </c>
      <c r="CN279" s="101" t="s">
        <v>316</v>
      </c>
      <c r="CO279" s="101"/>
      <c r="CP279" s="101"/>
      <c r="CQ279" s="83" t="str">
        <f t="shared" ref="CQ279:CQ333" si="101">CHOOSE(MONTH(CM279),"January","February","March","April","May","June","July","August","September","October","November","December")</f>
        <v>July</v>
      </c>
      <c r="CR279" s="91">
        <f t="shared" ref="CR279:CR333" si="102">YEAR(CM279)</f>
        <v>2015</v>
      </c>
      <c r="CS279" s="98">
        <f>INDEX(Data!$9:$9,COUNTA(Data!$2:$2)-5)</f>
        <v>1</v>
      </c>
      <c r="CT279" s="97">
        <f>INDEX(Data!$10:$10,COUNTA(Data!$2:$2)-5)</f>
        <v>1</v>
      </c>
      <c r="CU279" s="97">
        <f>INDEX(Data!$11:$11,COUNTA(Data!$2:$2)-5)</f>
        <v>0.31220113083308199</v>
      </c>
      <c r="CV279" s="94">
        <f>INDEX(Data!$4:$4,COUNTA(Data!$2:$2)-5)</f>
        <v>6</v>
      </c>
      <c r="CW279" s="97">
        <f>INDEX(Data!$8:$8,COUNTA(Data!$2:$2)-5)</f>
        <v>1.8732067849984921</v>
      </c>
      <c r="CX279" s="97">
        <f>INDEX(Data!$28:$28,COUNTA(Data!$2:$2)-5)</f>
        <v>2.3051088707366887</v>
      </c>
      <c r="CY279" s="97">
        <f>INDEX(Data!$31:$31,COUNTA(Data!$2:$2)-5)</f>
        <v>12.511428571428571</v>
      </c>
    </row>
    <row r="280" spans="90:103" x14ac:dyDescent="0.2">
      <c r="CL280" s="91" t="s">
        <v>42</v>
      </c>
      <c r="CM280" s="93">
        <f>INDEX('Top Incident Types Data'!$2:$2,COUNTA('Top Incident Types Data'!$2:$2)-4)</f>
        <v>42217</v>
      </c>
      <c r="CN280" s="101" t="s">
        <v>316</v>
      </c>
      <c r="CO280" s="101"/>
      <c r="CP280" s="101"/>
      <c r="CQ280" s="83" t="str">
        <f t="shared" si="101"/>
        <v>August</v>
      </c>
      <c r="CR280" s="91">
        <f t="shared" si="102"/>
        <v>2015</v>
      </c>
      <c r="CS280" s="98">
        <f>INDEX(Data!$9:$9,COUNTA(Data!$2:$2)-4)</f>
        <v>1</v>
      </c>
      <c r="CT280" s="97">
        <f>INDEX(Data!$10:$10,COUNTA(Data!$2:$2)-4)</f>
        <v>1.53</v>
      </c>
      <c r="CU280" s="97">
        <f>INDEX(Data!$11:$11,COUNTA(Data!$2:$2)-4)</f>
        <v>0.47123010613751298</v>
      </c>
      <c r="CV280" s="94">
        <f>INDEX(Data!$4:$4,COUNTA(Data!$2:$2)-4)</f>
        <v>7</v>
      </c>
      <c r="CW280" s="97">
        <f>INDEX(Data!$8:$8,COUNTA(Data!$2:$2)-4)</f>
        <v>3.298610742962591</v>
      </c>
      <c r="CX280" s="97">
        <f>INDEX(Data!$28:$28,COUNTA(Data!$2:$2)-4)</f>
        <v>2.460594185450665</v>
      </c>
      <c r="CY280" s="97">
        <f>INDEX(Data!$31:$31,COUNTA(Data!$2:$2)-4)</f>
        <v>8.8593333333333337</v>
      </c>
    </row>
    <row r="281" spans="90:103" x14ac:dyDescent="0.2">
      <c r="CL281" s="91" t="s">
        <v>42</v>
      </c>
      <c r="CM281" s="93">
        <f>INDEX('Top Incident Types Data'!$2:$2,COUNTA('Top Incident Types Data'!$2:$2)-3)</f>
        <v>42262</v>
      </c>
      <c r="CN281" s="101" t="s">
        <v>316</v>
      </c>
      <c r="CO281" s="101"/>
      <c r="CP281" s="101"/>
      <c r="CQ281" s="83" t="str">
        <f t="shared" si="101"/>
        <v>September</v>
      </c>
      <c r="CR281" s="91">
        <f t="shared" si="102"/>
        <v>2015</v>
      </c>
      <c r="CS281" s="98">
        <f>INDEX(Data!$9:$9,COUNTA(Data!$2:$2)-3)</f>
        <v>2</v>
      </c>
      <c r="CT281" s="97">
        <f>INDEX(Data!$10:$10,COUNTA(Data!$2:$2)-3)</f>
        <v>2.9</v>
      </c>
      <c r="CU281" s="97">
        <f>INDEX(Data!$11:$11,COUNTA(Data!$2:$2)-3)</f>
        <v>0.92978991327175375</v>
      </c>
      <c r="CV281" s="94">
        <f>INDEX(Data!$4:$4,COUNTA(Data!$2:$2)-3)</f>
        <v>4</v>
      </c>
      <c r="CW281" s="97">
        <f>INDEX(Data!$8:$8,COUNTA(Data!$2:$2)-3)</f>
        <v>1.8595798265435075</v>
      </c>
      <c r="CX281" s="97">
        <f>INDEX(Data!$28:$28,COUNTA(Data!$2:$2)-3)</f>
        <v>2.3832053436438621</v>
      </c>
      <c r="CY281" s="97">
        <f>INDEX(Data!$31:$31,COUNTA(Data!$2:$2)-3)</f>
        <v>6.1243750000000006</v>
      </c>
    </row>
    <row r="282" spans="90:103" x14ac:dyDescent="0.2">
      <c r="CL282" s="91" t="s">
        <v>42</v>
      </c>
      <c r="CM282" s="93">
        <f>INDEX('Top Incident Types Data'!$2:$2,COUNTA('Top Incident Types Data'!$2:$2)-2)</f>
        <v>42292</v>
      </c>
      <c r="CN282" s="101" t="s">
        <v>316</v>
      </c>
      <c r="CO282" s="101"/>
      <c r="CP282" s="101"/>
      <c r="CQ282" s="83" t="str">
        <f t="shared" si="101"/>
        <v>October</v>
      </c>
      <c r="CR282" s="91">
        <f t="shared" si="102"/>
        <v>2015</v>
      </c>
      <c r="CS282" s="98">
        <f>INDEX(Data!$9:$9,COUNTA(Data!$2:$2)-2)</f>
        <v>1</v>
      </c>
      <c r="CT282" s="97">
        <f>INDEX(Data!$10:$10,COUNTA(Data!$2:$2)-2)</f>
        <v>5</v>
      </c>
      <c r="CU282" s="97">
        <f>INDEX(Data!$11:$11,COUNTA(Data!$2:$2)-2)</f>
        <v>0.44891062633851125</v>
      </c>
      <c r="CV282" s="94">
        <f>INDEX(Data!$4:$4,COUNTA(Data!$2:$2)-2)</f>
        <v>5</v>
      </c>
      <c r="CW282" s="97">
        <f>INDEX(Data!$8:$8,COUNTA(Data!$2:$2)-2)</f>
        <v>2.2445531316925562</v>
      </c>
      <c r="CX282" s="97">
        <f>INDEX(Data!$28:$28,COUNTA(Data!$2:$2)-2)</f>
        <v>2.4163233537528344</v>
      </c>
      <c r="CY282" s="97">
        <f>INDEX(Data!$31:$31,COUNTA(Data!$2:$2)-2)</f>
        <v>3.9052941176470588</v>
      </c>
    </row>
    <row r="283" spans="90:103" x14ac:dyDescent="0.2">
      <c r="CL283" s="91" t="s">
        <v>42</v>
      </c>
      <c r="CM283" s="93">
        <f>INDEX('Top Incident Types Data'!$2:$2,COUNTA('Top Incident Types Data'!$2:$2)-1)</f>
        <v>42323</v>
      </c>
      <c r="CN283" s="101" t="s">
        <v>316</v>
      </c>
      <c r="CO283" s="101"/>
      <c r="CP283" s="101"/>
      <c r="CQ283" s="83" t="str">
        <f t="shared" si="101"/>
        <v>November</v>
      </c>
      <c r="CR283" s="91">
        <f t="shared" si="102"/>
        <v>2015</v>
      </c>
      <c r="CS283" s="98">
        <f>INDEX(Data!$9:$9,COUNTA(Data!$2:$2)-1)</f>
        <v>1</v>
      </c>
      <c r="CT283" s="97">
        <f>INDEX(Data!$10:$10,COUNTA(Data!$2:$2)-1)</f>
        <v>7.66</v>
      </c>
      <c r="CU283" s="97">
        <f>INDEX(Data!$11:$11,COUNTA(Data!$2:$2)-1)</f>
        <v>0.41492994574036202</v>
      </c>
      <c r="CV283" s="94">
        <f>INDEX(Data!$4:$4,COUNTA(Data!$2:$2)-1)</f>
        <v>2</v>
      </c>
      <c r="CW283" s="97">
        <f>INDEX(Data!$8:$8,COUNTA(Data!$2:$2)-1)</f>
        <v>0.82985989148072403</v>
      </c>
      <c r="CX283" s="97">
        <f>INDEX(Data!$28:$28,COUNTA(Data!$2:$2)-1)</f>
        <v>2.3140658290507226</v>
      </c>
      <c r="CY283" s="97">
        <f>INDEX(Data!$31:$31,COUNTA(Data!$2:$2)-1)</f>
        <v>3.9617647058823526</v>
      </c>
    </row>
    <row r="284" spans="90:103" x14ac:dyDescent="0.2">
      <c r="CL284" s="91" t="s">
        <v>42</v>
      </c>
      <c r="CM284" s="93">
        <f>INDEX('Top Incident Types Data'!$2:$2,COUNTA('Top Incident Types Data'!$2:$2))</f>
        <v>42353</v>
      </c>
      <c r="CN284" s="101" t="s">
        <v>316</v>
      </c>
      <c r="CO284" s="101"/>
      <c r="CP284" s="101"/>
      <c r="CQ284" s="83" t="str">
        <f t="shared" si="101"/>
        <v>December</v>
      </c>
      <c r="CR284" s="91">
        <f t="shared" si="102"/>
        <v>2015</v>
      </c>
      <c r="CS284" s="98">
        <f>INDEX(Data!$9:$9,COUNTA(Data!$2:$2))</f>
        <v>1</v>
      </c>
      <c r="CT284" s="97">
        <f>INDEX(Data!$10:$10,COUNTA(Data!$2:$2))</f>
        <v>8.0599999999999987</v>
      </c>
      <c r="CU284" s="97">
        <f>INDEX(Data!$11:$11,COUNTA(Data!$2:$2))</f>
        <v>0.27520884274633467</v>
      </c>
      <c r="CV284" s="94">
        <f>INDEX(Data!$4:$4,COUNTA(Data!$2:$2))</f>
        <v>4</v>
      </c>
      <c r="CW284" s="97">
        <f>INDEX(Data!$8:$8,COUNTA(Data!$2:$2))</f>
        <v>1.1008353709853387</v>
      </c>
      <c r="CX284" s="97">
        <f>INDEX(Data!$28:$28,COUNTA(Data!$2:$2))</f>
        <v>2.200950224882757</v>
      </c>
      <c r="CY284" s="97">
        <f>INDEX(Data!$31:$31,COUNTA(Data!$2:$2))</f>
        <v>3.9693749999999999</v>
      </c>
    </row>
    <row r="285" spans="90:103" x14ac:dyDescent="0.2">
      <c r="CL285" s="91" t="s">
        <v>42</v>
      </c>
      <c r="CM285" s="93">
        <f>INDEX('Top Incident Types Data'!$2:$2,COUNTA('Top Incident Types Data'!$2:$2)+1)</f>
        <v>42370</v>
      </c>
      <c r="CN285" s="101" t="s">
        <v>316</v>
      </c>
      <c r="CO285" s="101"/>
      <c r="CP285" s="101"/>
      <c r="CQ285" s="83" t="str">
        <f t="shared" si="101"/>
        <v>January</v>
      </c>
      <c r="CR285" s="91">
        <f t="shared" si="102"/>
        <v>2016</v>
      </c>
      <c r="CS285" s="98">
        <f>INDEX(Data!$9:$9,COUNTA(Data!$2:$2)+1)</f>
        <v>0</v>
      </c>
      <c r="CT285" s="97" t="e">
        <f>INDEX(Data!$10:$10,COUNTA(Data!$2:$2)+1)</f>
        <v>#DIV/0!</v>
      </c>
      <c r="CU285" s="97">
        <f>INDEX(Data!$11:$11,COUNTA(Data!$2:$2)+1)</f>
        <v>0</v>
      </c>
      <c r="CV285" s="94">
        <f>INDEX(Data!$4:$4,COUNTA(Data!$2:$2)+1)</f>
        <v>5</v>
      </c>
      <c r="CW285" s="97">
        <f>INDEX(Data!$8:$8,COUNTA(Data!$2:$2)+1)</f>
        <v>1.4887295121900552</v>
      </c>
      <c r="CX285" s="97">
        <f>INDEX(Data!$28:$28,COUNTA(Data!$2:$2)+1)</f>
        <v>2.1158236506780304</v>
      </c>
      <c r="CY285" s="97">
        <f>INDEX(Data!$31:$31,COUNTA(Data!$2:$2)+1)</f>
        <v>3.7406666666666664</v>
      </c>
    </row>
    <row r="286" spans="90:103" x14ac:dyDescent="0.2">
      <c r="CL286" s="91" t="s">
        <v>43</v>
      </c>
      <c r="CM286" s="93">
        <f>INDEX('Top Incident Types Data'!$2:$2,COUNTA('Top Incident Types Data'!$2:$2)-22)</f>
        <v>41671</v>
      </c>
      <c r="CN286" s="101" t="s">
        <v>316</v>
      </c>
      <c r="CO286" s="101"/>
      <c r="CP286" s="101"/>
      <c r="CQ286" s="83" t="str">
        <f t="shared" si="101"/>
        <v>February</v>
      </c>
      <c r="CR286" s="91">
        <f t="shared" si="102"/>
        <v>2014</v>
      </c>
      <c r="CS286" s="98">
        <f>INDEX(Data!$17:$17,COUNTA(Data!$2:$2)-22)</f>
        <v>1</v>
      </c>
      <c r="CT286" s="97">
        <f>INDEX(Data!$18:$18,COUNTA(Data!$2:$2)-22)</f>
        <v>12.6</v>
      </c>
      <c r="CU286" s="97">
        <f>INDEX(Data!$19:$19,COUNTA(Data!$2:$2)-22)</f>
        <v>1.2541542291146637</v>
      </c>
      <c r="CV286" s="94">
        <f>INDEX(Data!$13:$13,COUNTA(Data!$2:$2)-22)</f>
        <v>3</v>
      </c>
      <c r="CW286" s="97">
        <f>INDEX(Data!$16:$16,COUNTA(Data!$2:$2)-22)</f>
        <v>3.7624626873439913</v>
      </c>
      <c r="CX286" s="97">
        <f>INDEX(Data!$34:$34,COUNTA(Data!$2:$2)-22)</f>
        <v>4.0783985107863785</v>
      </c>
      <c r="CY286" s="97">
        <f>INDEX(Data!$40:$40,COUNTA(Data!$2:$2)-22)</f>
        <v>11.267058823529412</v>
      </c>
    </row>
    <row r="287" spans="90:103" x14ac:dyDescent="0.2">
      <c r="CL287" s="91" t="s">
        <v>43</v>
      </c>
      <c r="CM287" s="93">
        <f>INDEX('Top Incident Types Data'!$2:$2,COUNTA('Top Incident Types Data'!$2:$2)-21)</f>
        <v>41699</v>
      </c>
      <c r="CN287" s="101" t="s">
        <v>316</v>
      </c>
      <c r="CO287" s="101"/>
      <c r="CP287" s="101"/>
      <c r="CQ287" s="83" t="str">
        <f t="shared" si="101"/>
        <v>March</v>
      </c>
      <c r="CR287" s="91">
        <f t="shared" si="102"/>
        <v>2014</v>
      </c>
      <c r="CS287" s="98">
        <f>INDEX(Data!$17:$17,COUNTA(Data!$2:$2)-21)</f>
        <v>1</v>
      </c>
      <c r="CT287" s="97">
        <f>INDEX(Data!$18:$18,COUNTA(Data!$2:$2)-21)</f>
        <v>10.6</v>
      </c>
      <c r="CU287" s="97">
        <f>INDEX(Data!$19:$19,COUNTA(Data!$2:$2)-21)</f>
        <v>1.1728887928423288</v>
      </c>
      <c r="CV287" s="94">
        <f>INDEX(Data!$13:$13,COUNTA(Data!$2:$2)-21)</f>
        <v>3</v>
      </c>
      <c r="CW287" s="97">
        <f>INDEX(Data!$16:$16,COUNTA(Data!$2:$2)-21)</f>
        <v>3.5186663785269863</v>
      </c>
      <c r="CX287" s="97">
        <f>INDEX(Data!$34:$34,COUNTA(Data!$2:$2)-21)</f>
        <v>4.1922810473200336</v>
      </c>
      <c r="CY287" s="97">
        <f>INDEX(Data!$40:$40,COUNTA(Data!$2:$2)-21)</f>
        <v>10.40388888888889</v>
      </c>
    </row>
    <row r="288" spans="90:103" x14ac:dyDescent="0.2">
      <c r="CL288" s="91" t="s">
        <v>43</v>
      </c>
      <c r="CM288" s="93">
        <f>INDEX('Top Incident Types Data'!$2:$2,COUNTA('Top Incident Types Data'!$2:$2)-20)</f>
        <v>41730</v>
      </c>
      <c r="CN288" s="101" t="s">
        <v>316</v>
      </c>
      <c r="CO288" s="101"/>
      <c r="CP288" s="101"/>
      <c r="CQ288" s="83" t="str">
        <f t="shared" si="101"/>
        <v>April</v>
      </c>
      <c r="CR288" s="91">
        <f t="shared" si="102"/>
        <v>2014</v>
      </c>
      <c r="CS288" s="98">
        <f>INDEX(Data!$17:$17,COUNTA(Data!$2:$2)-20)</f>
        <v>0</v>
      </c>
      <c r="CT288" s="97" t="e">
        <f>INDEX(Data!$18:$18,COUNTA(Data!$2:$2)-20)</f>
        <v>#DIV/0!</v>
      </c>
      <c r="CU288" s="97">
        <f>INDEX(Data!$19:$19,COUNTA(Data!$2:$2)-20)</f>
        <v>0</v>
      </c>
      <c r="CV288" s="94">
        <f>INDEX(Data!$13:$13,COUNTA(Data!$2:$2)-20)</f>
        <v>3</v>
      </c>
      <c r="CW288" s="97">
        <f>INDEX(Data!$16:$16,COUNTA(Data!$2:$2)-20)</f>
        <v>3.6316572286956847</v>
      </c>
      <c r="CX288" s="97">
        <f>INDEX(Data!$34:$34,COUNTA(Data!$2:$2)-20)</f>
        <v>3.9096038746920656</v>
      </c>
      <c r="CY288" s="97">
        <f>INDEX(Data!$40:$40,COUNTA(Data!$2:$2)-20)</f>
        <v>10.811333333333332</v>
      </c>
    </row>
    <row r="289" spans="90:103" x14ac:dyDescent="0.2">
      <c r="CL289" s="91" t="s">
        <v>43</v>
      </c>
      <c r="CM289" s="93">
        <f>INDEX('Top Incident Types Data'!$2:$2,COUNTA('Top Incident Types Data'!$2:$2)-19)</f>
        <v>41760</v>
      </c>
      <c r="CN289" s="101" t="s">
        <v>316</v>
      </c>
      <c r="CO289" s="101"/>
      <c r="CP289" s="101"/>
      <c r="CQ289" s="83" t="str">
        <f t="shared" si="101"/>
        <v>May</v>
      </c>
      <c r="CR289" s="91">
        <f t="shared" si="102"/>
        <v>2014</v>
      </c>
      <c r="CS289" s="98">
        <f>INDEX(Data!$17:$17,COUNTA(Data!$2:$2)-19)</f>
        <v>1</v>
      </c>
      <c r="CT289" s="97">
        <f>INDEX(Data!$18:$18,COUNTA(Data!$2:$2)-19)</f>
        <v>4</v>
      </c>
      <c r="CU289" s="97">
        <f>INDEX(Data!$19:$19,COUNTA(Data!$2:$2)-19)</f>
        <v>1.1912495099497327</v>
      </c>
      <c r="CV289" s="94">
        <f>INDEX(Data!$13:$13,COUNTA(Data!$2:$2)-19)</f>
        <v>4</v>
      </c>
      <c r="CW289" s="97">
        <f>INDEX(Data!$16:$16,COUNTA(Data!$2:$2)-19)</f>
        <v>4.7649980397989307</v>
      </c>
      <c r="CX289" s="97">
        <f>INDEX(Data!$34:$34,COUNTA(Data!$2:$2)-19)</f>
        <v>3.9250745017433846</v>
      </c>
      <c r="CY289" s="97">
        <f>INDEX(Data!$40:$40,COUNTA(Data!$2:$2)-19)</f>
        <v>11.539166666666667</v>
      </c>
    </row>
    <row r="290" spans="90:103" x14ac:dyDescent="0.2">
      <c r="CL290" s="91" t="s">
        <v>43</v>
      </c>
      <c r="CM290" s="93">
        <f>INDEX('Top Incident Types Data'!$2:$2,COUNTA('Top Incident Types Data'!$2:$2)-18)</f>
        <v>41791</v>
      </c>
      <c r="CN290" s="101" t="s">
        <v>316</v>
      </c>
      <c r="CO290" s="101"/>
      <c r="CP290" s="101"/>
      <c r="CQ290" s="83" t="str">
        <f t="shared" si="101"/>
        <v>June</v>
      </c>
      <c r="CR290" s="91">
        <f t="shared" si="102"/>
        <v>2014</v>
      </c>
      <c r="CS290" s="98">
        <f>INDEX(Data!$17:$17,COUNTA(Data!$2:$2)-18)</f>
        <v>0</v>
      </c>
      <c r="CT290" s="97" t="e">
        <f>INDEX(Data!$18:$18,COUNTA(Data!$2:$2)-18)</f>
        <v>#DIV/0!</v>
      </c>
      <c r="CU290" s="97">
        <f>INDEX(Data!$19:$19,COUNTA(Data!$2:$2)-18)</f>
        <v>0</v>
      </c>
      <c r="CV290" s="94">
        <f>INDEX(Data!$13:$13,COUNTA(Data!$2:$2)-18)</f>
        <v>1</v>
      </c>
      <c r="CW290" s="97">
        <f>INDEX(Data!$16:$16,COUNTA(Data!$2:$2)-18)</f>
        <v>1.2104968720458205</v>
      </c>
      <c r="CX290" s="97">
        <f>INDEX(Data!$34:$34,COUNTA(Data!$2:$2)-18)</f>
        <v>3.9280821804611739</v>
      </c>
      <c r="CY290" s="97">
        <f>INDEX(Data!$40:$40,COUNTA(Data!$2:$2)-18)</f>
        <v>10.233636363636363</v>
      </c>
    </row>
    <row r="291" spans="90:103" x14ac:dyDescent="0.2">
      <c r="CL291" s="91" t="s">
        <v>43</v>
      </c>
      <c r="CM291" s="93">
        <f>INDEX('Top Incident Types Data'!$2:$2,COUNTA('Top Incident Types Data'!$2:$2)-17)</f>
        <v>41821</v>
      </c>
      <c r="CN291" s="101" t="s">
        <v>316</v>
      </c>
      <c r="CO291" s="101"/>
      <c r="CP291" s="101"/>
      <c r="CQ291" s="83" t="str">
        <f t="shared" si="101"/>
        <v>July</v>
      </c>
      <c r="CR291" s="91">
        <f t="shared" si="102"/>
        <v>2014</v>
      </c>
      <c r="CS291" s="98">
        <f>INDEX(Data!$17:$17,COUNTA(Data!$2:$2)-17)</f>
        <v>1</v>
      </c>
      <c r="CT291" s="97">
        <f>INDEX(Data!$18:$18,COUNTA(Data!$2:$2)-17)</f>
        <v>21.4</v>
      </c>
      <c r="CU291" s="97">
        <f>INDEX(Data!$19:$19,COUNTA(Data!$2:$2)-17)</f>
        <v>1.2073994752400401</v>
      </c>
      <c r="CV291" s="94">
        <f>INDEX(Data!$13:$13,COUNTA(Data!$2:$2)-17)</f>
        <v>2</v>
      </c>
      <c r="CW291" s="97">
        <f>INDEX(Data!$16:$16,COUNTA(Data!$2:$2)-17)</f>
        <v>2.4147989504800802</v>
      </c>
      <c r="CX291" s="97">
        <f>INDEX(Data!$34:$34,COUNTA(Data!$2:$2)-17)</f>
        <v>3.8391272465960791</v>
      </c>
      <c r="CY291" s="97">
        <f>INDEX(Data!$40:$40,COUNTA(Data!$2:$2)-17)</f>
        <v>10.555833333333332</v>
      </c>
    </row>
    <row r="292" spans="90:103" x14ac:dyDescent="0.2">
      <c r="CL292" s="91" t="s">
        <v>43</v>
      </c>
      <c r="CM292" s="93">
        <f>INDEX('Top Incident Types Data'!$2:$2,COUNTA('Top Incident Types Data'!$2:$2)-16)</f>
        <v>41852</v>
      </c>
      <c r="CN292" s="101" t="s">
        <v>316</v>
      </c>
      <c r="CO292" s="101"/>
      <c r="CP292" s="101"/>
      <c r="CQ292" s="83" t="str">
        <f t="shared" si="101"/>
        <v>August</v>
      </c>
      <c r="CR292" s="91">
        <f t="shared" si="102"/>
        <v>2014</v>
      </c>
      <c r="CS292" s="98">
        <f>INDEX(Data!$17:$17,COUNTA(Data!$2:$2)-16)</f>
        <v>0</v>
      </c>
      <c r="CT292" s="97" t="e">
        <f>INDEX(Data!$18:$18,COUNTA(Data!$2:$2)-16)</f>
        <v>#DIV/0!</v>
      </c>
      <c r="CU292" s="97">
        <f>INDEX(Data!$19:$19,COUNTA(Data!$2:$2)-16)</f>
        <v>0</v>
      </c>
      <c r="CV292" s="94">
        <f>INDEX(Data!$13:$13,COUNTA(Data!$2:$2)-16)</f>
        <v>0</v>
      </c>
      <c r="CW292" s="97">
        <f>INDEX(Data!$16:$16,COUNTA(Data!$2:$2)-16)</f>
        <v>0</v>
      </c>
      <c r="CX292" s="97">
        <f>INDEX(Data!$34:$34,COUNTA(Data!$2:$2)-16)</f>
        <v>3.5501069750376582</v>
      </c>
      <c r="CY292" s="97">
        <f>INDEX(Data!$40:$40,COUNTA(Data!$2:$2)-16)</f>
        <v>10.589166666666666</v>
      </c>
    </row>
    <row r="293" spans="90:103" x14ac:dyDescent="0.2">
      <c r="CL293" s="91" t="s">
        <v>43</v>
      </c>
      <c r="CM293" s="93">
        <f>INDEX('Top Incident Types Data'!$2:$2,COUNTA('Top Incident Types Data'!$2:$2)-15)</f>
        <v>41883</v>
      </c>
      <c r="CN293" s="101" t="s">
        <v>316</v>
      </c>
      <c r="CO293" s="101"/>
      <c r="CP293" s="101"/>
      <c r="CQ293" s="83" t="str">
        <f t="shared" si="101"/>
        <v>September</v>
      </c>
      <c r="CR293" s="91">
        <f t="shared" si="102"/>
        <v>2014</v>
      </c>
      <c r="CS293" s="98">
        <f>INDEX(Data!$17:$17,COUNTA(Data!$2:$2)-15)</f>
        <v>2</v>
      </c>
      <c r="CT293" s="97">
        <f>INDEX(Data!$18:$18,COUNTA(Data!$2:$2)-15)</f>
        <v>6.1000000000000005</v>
      </c>
      <c r="CU293" s="97">
        <f>INDEX(Data!$19:$19,COUNTA(Data!$2:$2)-15)</f>
        <v>2.4428720626982656</v>
      </c>
      <c r="CV293" s="94">
        <f>INDEX(Data!$13:$13,COUNTA(Data!$2:$2)-15)</f>
        <v>6</v>
      </c>
      <c r="CW293" s="97">
        <f>INDEX(Data!$16:$16,COUNTA(Data!$2:$2)-15)</f>
        <v>7.3286161880947969</v>
      </c>
      <c r="CX293" s="97">
        <f>INDEX(Data!$34:$34,COUNTA(Data!$2:$2)-15)</f>
        <v>3.6426982712281242</v>
      </c>
      <c r="CY293" s="97">
        <f>INDEX(Data!$40:$40,COUNTA(Data!$2:$2)-15)</f>
        <v>11.206363636363635</v>
      </c>
    </row>
    <row r="294" spans="90:103" x14ac:dyDescent="0.2">
      <c r="CL294" s="91" t="s">
        <v>43</v>
      </c>
      <c r="CM294" s="93">
        <f>INDEX('Top Incident Types Data'!$2:$2,COUNTA('Top Incident Types Data'!$2:$2)-14)</f>
        <v>41913</v>
      </c>
      <c r="CN294" s="101" t="s">
        <v>316</v>
      </c>
      <c r="CO294" s="101"/>
      <c r="CP294" s="101"/>
      <c r="CQ294" s="83" t="str">
        <f t="shared" si="101"/>
        <v>October</v>
      </c>
      <c r="CR294" s="91">
        <f t="shared" si="102"/>
        <v>2014</v>
      </c>
      <c r="CS294" s="98">
        <f>INDEX(Data!$17:$17,COUNTA(Data!$2:$2)-14)</f>
        <v>2</v>
      </c>
      <c r="CT294" s="97">
        <f>INDEX(Data!$18:$18,COUNTA(Data!$2:$2)-14)</f>
        <v>7.6</v>
      </c>
      <c r="CU294" s="97">
        <f>INDEX(Data!$19:$19,COUNTA(Data!$2:$2)-14)</f>
        <v>2.339277456845156</v>
      </c>
      <c r="CV294" s="94">
        <f>INDEX(Data!$13:$13,COUNTA(Data!$2:$2)-14)</f>
        <v>9</v>
      </c>
      <c r="CW294" s="97">
        <f>INDEX(Data!$16:$16,COUNTA(Data!$2:$2)-14)</f>
        <v>10.526748555803202</v>
      </c>
      <c r="CX294" s="97">
        <f>INDEX(Data!$34:$34,COUNTA(Data!$2:$2)-14)</f>
        <v>4.0288746955363806</v>
      </c>
      <c r="CY294" s="97">
        <f>INDEX(Data!$40:$40,COUNTA(Data!$2:$2)-14)</f>
        <v>9.65</v>
      </c>
    </row>
    <row r="295" spans="90:103" x14ac:dyDescent="0.2">
      <c r="CL295" s="91" t="s">
        <v>43</v>
      </c>
      <c r="CM295" s="93">
        <f>INDEX('Top Incident Types Data'!$2:$2,COUNTA('Top Incident Types Data'!$2:$2)-13)</f>
        <v>41944</v>
      </c>
      <c r="CN295" s="101" t="s">
        <v>316</v>
      </c>
      <c r="CO295" s="101"/>
      <c r="CP295" s="101"/>
      <c r="CQ295" s="83" t="str">
        <f t="shared" si="101"/>
        <v>November</v>
      </c>
      <c r="CR295" s="91">
        <f t="shared" si="102"/>
        <v>2014</v>
      </c>
      <c r="CS295" s="98">
        <f>INDEX(Data!$17:$17,COUNTA(Data!$2:$2)-13)</f>
        <v>2</v>
      </c>
      <c r="CT295" s="97">
        <f>INDEX(Data!$18:$18,COUNTA(Data!$2:$2)-13)</f>
        <v>11.15</v>
      </c>
      <c r="CU295" s="97">
        <f>INDEX(Data!$19:$19,COUNTA(Data!$2:$2)-13)</f>
        <v>2.4683686274050012</v>
      </c>
      <c r="CV295" s="94">
        <f>INDEX(Data!$13:$13,COUNTA(Data!$2:$2)-13)</f>
        <v>6</v>
      </c>
      <c r="CW295" s="97">
        <f>INDEX(Data!$16:$16,COUNTA(Data!$2:$2)-13)</f>
        <v>7.4051058822150049</v>
      </c>
      <c r="CX295" s="97">
        <f>INDEX(Data!$34:$34,COUNTA(Data!$2:$2)-13)</f>
        <v>4.3244914029327139</v>
      </c>
      <c r="CY295" s="97">
        <f>INDEX(Data!$40:$40,COUNTA(Data!$2:$2)-13)</f>
        <v>8.65</v>
      </c>
    </row>
    <row r="296" spans="90:103" x14ac:dyDescent="0.2">
      <c r="CL296" s="91" t="s">
        <v>43</v>
      </c>
      <c r="CM296" s="93">
        <f>INDEX('Top Incident Types Data'!$2:$2,COUNTA('Top Incident Types Data'!$2:$2)-12)</f>
        <v>41974</v>
      </c>
      <c r="CN296" s="101" t="s">
        <v>316</v>
      </c>
      <c r="CO296" s="101"/>
      <c r="CP296" s="101"/>
      <c r="CQ296" s="83" t="str">
        <f t="shared" si="101"/>
        <v>December</v>
      </c>
      <c r="CR296" s="91">
        <f t="shared" si="102"/>
        <v>2014</v>
      </c>
      <c r="CS296" s="98">
        <f>INDEX(Data!$17:$17,COUNTA(Data!$2:$2)-12)</f>
        <v>0</v>
      </c>
      <c r="CT296" s="97" t="e">
        <f>INDEX(Data!$18:$18,COUNTA(Data!$2:$2)-12)</f>
        <v>#DIV/0!</v>
      </c>
      <c r="CU296" s="97">
        <f>INDEX(Data!$19:$19,COUNTA(Data!$2:$2)-12)</f>
        <v>0</v>
      </c>
      <c r="CV296" s="94">
        <f>INDEX(Data!$13:$13,COUNTA(Data!$2:$2)-12)</f>
        <v>5</v>
      </c>
      <c r="CW296" s="97">
        <f>INDEX(Data!$16:$16,COUNTA(Data!$2:$2)-12)</f>
        <v>6.0216220792648993</v>
      </c>
      <c r="CX296" s="97">
        <f>INDEX(Data!$34:$34,COUNTA(Data!$2:$2)-12)</f>
        <v>4.5182965028159154</v>
      </c>
      <c r="CY296" s="97">
        <f>INDEX(Data!$40:$40,COUNTA(Data!$2:$2)-12)</f>
        <v>8.684615384615384</v>
      </c>
    </row>
    <row r="297" spans="90:103" x14ac:dyDescent="0.2">
      <c r="CL297" s="91" t="s">
        <v>43</v>
      </c>
      <c r="CM297" s="93">
        <f>INDEX('Top Incident Types Data'!$2:$2,COUNTA('Top Incident Types Data'!$2:$2)-11)</f>
        <v>42005</v>
      </c>
      <c r="CN297" s="101" t="s">
        <v>316</v>
      </c>
      <c r="CO297" s="101"/>
      <c r="CP297" s="101"/>
      <c r="CQ297" s="83" t="str">
        <f t="shared" si="101"/>
        <v>January</v>
      </c>
      <c r="CR297" s="91">
        <f t="shared" si="102"/>
        <v>2015</v>
      </c>
      <c r="CS297" s="98">
        <f>INDEX(Data!$17:$17,COUNTA(Data!$2:$2)-11)</f>
        <v>2</v>
      </c>
      <c r="CT297" s="97">
        <f>INDEX(Data!$18:$18,COUNTA(Data!$2:$2)-11)</f>
        <v>7.4</v>
      </c>
      <c r="CU297" s="97">
        <f>INDEX(Data!$19:$19,COUNTA(Data!$2:$2)-11)</f>
        <v>1.9539131482674723</v>
      </c>
      <c r="CV297" s="94">
        <f>INDEX(Data!$13:$13,COUNTA(Data!$2:$2)-11)</f>
        <v>4</v>
      </c>
      <c r="CW297" s="97">
        <f>INDEX(Data!$16:$16,COUNTA(Data!$2:$2)-11)</f>
        <v>3.9078262965349446</v>
      </c>
      <c r="CX297" s="97">
        <f>INDEX(Data!$34:$34,COUNTA(Data!$2:$2)-11)</f>
        <v>4.4476479541999003</v>
      </c>
      <c r="CY297" s="97">
        <f>INDEX(Data!$40:$40,COUNTA(Data!$2:$2)-11)</f>
        <v>9.8583333333333325</v>
      </c>
    </row>
    <row r="298" spans="90:103" x14ac:dyDescent="0.2">
      <c r="CL298" s="91" t="s">
        <v>43</v>
      </c>
      <c r="CM298" s="93">
        <f>INDEX('Top Incident Types Data'!$2:$2,COUNTA('Top Incident Types Data'!$2:$2)-10)</f>
        <v>42036</v>
      </c>
      <c r="CN298" s="101" t="s">
        <v>316</v>
      </c>
      <c r="CO298" s="101"/>
      <c r="CP298" s="101"/>
      <c r="CQ298" s="83" t="str">
        <f t="shared" si="101"/>
        <v>February</v>
      </c>
      <c r="CR298" s="91">
        <f t="shared" si="102"/>
        <v>2015</v>
      </c>
      <c r="CS298" s="98">
        <f>INDEX(Data!$17:$17,COUNTA(Data!$2:$2)-10)</f>
        <v>4</v>
      </c>
      <c r="CT298" s="97">
        <f>INDEX(Data!$18:$18,COUNTA(Data!$2:$2)-10)</f>
        <v>4.1499999999999995</v>
      </c>
      <c r="CU298" s="97">
        <f>INDEX(Data!$19:$19,COUNTA(Data!$2:$2)-10)</f>
        <v>4.9754341050708444</v>
      </c>
      <c r="CV298" s="94">
        <f>INDEX(Data!$13:$13,COUNTA(Data!$2:$2)-10)</f>
        <v>7</v>
      </c>
      <c r="CW298" s="97">
        <f>INDEX(Data!$16:$16,COUNTA(Data!$2:$2)-10)</f>
        <v>8.7070096838739772</v>
      </c>
      <c r="CX298" s="97">
        <f>INDEX(Data!$34:$34,COUNTA(Data!$2:$2)-10)</f>
        <v>4.8313169598487749</v>
      </c>
      <c r="CY298" s="97">
        <f>INDEX(Data!$40:$40,COUNTA(Data!$2:$2)-10)</f>
        <v>8.1533333333333324</v>
      </c>
    </row>
    <row r="299" spans="90:103" x14ac:dyDescent="0.2">
      <c r="CL299" s="91" t="s">
        <v>43</v>
      </c>
      <c r="CM299" s="93">
        <f>INDEX('Top Incident Types Data'!$2:$2,COUNTA('Top Incident Types Data'!$2:$2)-9)</f>
        <v>42064</v>
      </c>
      <c r="CN299" s="101" t="s">
        <v>316</v>
      </c>
      <c r="CO299" s="101"/>
      <c r="CP299" s="101"/>
      <c r="CQ299" s="83" t="str">
        <f t="shared" si="101"/>
        <v>March</v>
      </c>
      <c r="CR299" s="91">
        <f t="shared" si="102"/>
        <v>2015</v>
      </c>
      <c r="CS299" s="98">
        <f>INDEX(Data!$17:$17,COUNTA(Data!$2:$2)-9)</f>
        <v>1</v>
      </c>
      <c r="CT299" s="97">
        <f>INDEX(Data!$18:$18,COUNTA(Data!$2:$2)-9)</f>
        <v>11.1</v>
      </c>
      <c r="CU299" s="97">
        <f>INDEX(Data!$19:$19,COUNTA(Data!$2:$2)-9)</f>
        <v>1.1635088261452533</v>
      </c>
      <c r="CV299" s="94">
        <f>INDEX(Data!$13:$13,COUNTA(Data!$2:$2)-9)</f>
        <v>2</v>
      </c>
      <c r="CW299" s="97">
        <f>INDEX(Data!$16:$16,COUNTA(Data!$2:$2)-9)</f>
        <v>2.3270176522905066</v>
      </c>
      <c r="CX299" s="97">
        <f>INDEX(Data!$34:$34,COUNTA(Data!$2:$2)-9)</f>
        <v>4.7315481330976761</v>
      </c>
      <c r="CY299" s="97">
        <f>INDEX(Data!$40:$40,COUNTA(Data!$2:$2)-9)</f>
        <v>8.1866666666666639</v>
      </c>
    </row>
    <row r="300" spans="90:103" x14ac:dyDescent="0.2">
      <c r="CL300" s="91" t="s">
        <v>43</v>
      </c>
      <c r="CM300" s="93">
        <f>INDEX('Top Incident Types Data'!$2:$2,COUNTA('Top Incident Types Data'!$2:$2)-8)</f>
        <v>42095</v>
      </c>
      <c r="CN300" s="101" t="s">
        <v>316</v>
      </c>
      <c r="CO300" s="101"/>
      <c r="CP300" s="101"/>
      <c r="CQ300" s="83" t="str">
        <f t="shared" si="101"/>
        <v>April</v>
      </c>
      <c r="CR300" s="91">
        <f t="shared" si="102"/>
        <v>2015</v>
      </c>
      <c r="CS300" s="98">
        <f>INDEX(Data!$17:$17,COUNTA(Data!$2:$2)-8)</f>
        <v>2</v>
      </c>
      <c r="CT300" s="97">
        <f>INDEX(Data!$18:$18,COUNTA(Data!$2:$2)-8)</f>
        <v>30.049999999999997</v>
      </c>
      <c r="CU300" s="97">
        <f>INDEX(Data!$19:$19,COUNTA(Data!$2:$2)-8)</f>
        <v>2.5362036733866766</v>
      </c>
      <c r="CV300" s="94">
        <f>INDEX(Data!$13:$13,COUNTA(Data!$2:$2)-8)</f>
        <v>4</v>
      </c>
      <c r="CW300" s="97">
        <f>INDEX(Data!$16:$16,COUNTA(Data!$2:$2)-8)</f>
        <v>5.0724073467733533</v>
      </c>
      <c r="CX300" s="97">
        <f>INDEX(Data!$34:$34,COUNTA(Data!$2:$2)-8)</f>
        <v>4.8456516752428156</v>
      </c>
      <c r="CY300" s="97">
        <f>INDEX(Data!$40:$40,COUNTA(Data!$2:$2)-8)</f>
        <v>10.641176470588235</v>
      </c>
    </row>
    <row r="301" spans="90:103" x14ac:dyDescent="0.2">
      <c r="CL301" s="91" t="s">
        <v>43</v>
      </c>
      <c r="CM301" s="93">
        <f>INDEX('Top Incident Types Data'!$2:$2,COUNTA('Top Incident Types Data'!$2:$2)-7)</f>
        <v>42125</v>
      </c>
      <c r="CN301" s="101" t="s">
        <v>316</v>
      </c>
      <c r="CO301" s="101"/>
      <c r="CP301" s="101"/>
      <c r="CQ301" s="83" t="str">
        <f t="shared" si="101"/>
        <v>May</v>
      </c>
      <c r="CR301" s="91">
        <f t="shared" si="102"/>
        <v>2015</v>
      </c>
      <c r="CS301" s="98">
        <f>INDEX(Data!$17:$17,COUNTA(Data!$2:$2)-7)</f>
        <v>2</v>
      </c>
      <c r="CT301" s="97">
        <f>INDEX(Data!$18:$18,COUNTA(Data!$2:$2)-7)</f>
        <v>26.954999999999998</v>
      </c>
      <c r="CU301" s="97">
        <f>INDEX(Data!$19:$19,COUNTA(Data!$2:$2)-7)</f>
        <v>2.3479916101563791</v>
      </c>
      <c r="CV301" s="94">
        <f>INDEX(Data!$13:$13,COUNTA(Data!$2:$2)-7)</f>
        <v>4</v>
      </c>
      <c r="CW301" s="97">
        <f>INDEX(Data!$16:$16,COUNTA(Data!$2:$2)-7)</f>
        <v>4.6959832203127583</v>
      </c>
      <c r="CX301" s="97">
        <f>INDEX(Data!$34:$34,COUNTA(Data!$2:$2)-7)</f>
        <v>4.8398650078403627</v>
      </c>
      <c r="CY301" s="97">
        <f>INDEX(Data!$40:$40,COUNTA(Data!$2:$2)-7)</f>
        <v>12.822777777777777</v>
      </c>
    </row>
    <row r="302" spans="90:103" x14ac:dyDescent="0.2">
      <c r="CL302" s="91" t="s">
        <v>43</v>
      </c>
      <c r="CM302" s="93">
        <f>INDEX('Top Incident Types Data'!$2:$2,COUNTA('Top Incident Types Data'!$2:$2)-6)</f>
        <v>42156</v>
      </c>
      <c r="CN302" s="101" t="s">
        <v>316</v>
      </c>
      <c r="CO302" s="101"/>
      <c r="CP302" s="101"/>
      <c r="CQ302" s="83" t="str">
        <f t="shared" si="101"/>
        <v>June</v>
      </c>
      <c r="CR302" s="91">
        <f t="shared" si="102"/>
        <v>2015</v>
      </c>
      <c r="CS302" s="98">
        <f>INDEX(Data!$17:$17,COUNTA(Data!$2:$2)-6)</f>
        <v>1</v>
      </c>
      <c r="CT302" s="97">
        <f>INDEX(Data!$18:$18,COUNTA(Data!$2:$2)-6)</f>
        <v>29.56</v>
      </c>
      <c r="CU302" s="97">
        <f>INDEX(Data!$19:$19,COUNTA(Data!$2:$2)-6)</f>
        <v>1.1958032090574917</v>
      </c>
      <c r="CV302" s="94">
        <f>INDEX(Data!$13:$13,COUNTA(Data!$2:$2)-6)</f>
        <v>5</v>
      </c>
      <c r="CW302" s="97">
        <f>INDEX(Data!$16:$16,COUNTA(Data!$2:$2)-6)</f>
        <v>5.9790160452874588</v>
      </c>
      <c r="CX302" s="97">
        <f>INDEX(Data!$34:$34,COUNTA(Data!$2:$2)-6)</f>
        <v>5.2219232273620726</v>
      </c>
      <c r="CY302" s="97">
        <f>INDEX(Data!$40:$40,COUNTA(Data!$2:$2)-6)</f>
        <v>13.561578947368419</v>
      </c>
    </row>
    <row r="303" spans="90:103" x14ac:dyDescent="0.2">
      <c r="CL303" s="91" t="s">
        <v>43</v>
      </c>
      <c r="CM303" s="93">
        <f>INDEX('Top Incident Types Data'!$2:$2,COUNTA('Top Incident Types Data'!$2:$2)-5)</f>
        <v>42186</v>
      </c>
      <c r="CN303" s="101" t="s">
        <v>316</v>
      </c>
      <c r="CO303" s="101"/>
      <c r="CP303" s="101"/>
      <c r="CQ303" s="83" t="str">
        <f t="shared" si="101"/>
        <v>July</v>
      </c>
      <c r="CR303" s="91">
        <f t="shared" si="102"/>
        <v>2015</v>
      </c>
      <c r="CS303" s="98">
        <f>INDEX(Data!$17:$17,COUNTA(Data!$2:$2)-5)</f>
        <v>0</v>
      </c>
      <c r="CT303" s="97" t="e">
        <f>INDEX(Data!$18:$18,COUNTA(Data!$2:$2)-5)</f>
        <v>#DIV/0!</v>
      </c>
      <c r="CU303" s="97">
        <f>INDEX(Data!$19:$19,COUNTA(Data!$2:$2)-5)</f>
        <v>0</v>
      </c>
      <c r="CV303" s="94">
        <f>INDEX(Data!$13:$13,COUNTA(Data!$2:$2)-5)</f>
        <v>12</v>
      </c>
      <c r="CW303" s="97">
        <f>INDEX(Data!$16:$16,COUNTA(Data!$2:$2)-5)</f>
        <v>9.3479409971986165</v>
      </c>
      <c r="CX303" s="97">
        <f>INDEX(Data!$34:$34,COUNTA(Data!$2:$2)-5)</f>
        <v>5.9278489365872025</v>
      </c>
      <c r="CY303" s="97">
        <f>INDEX(Data!$40:$40,COUNTA(Data!$2:$2)-5)</f>
        <v>14.012222222222221</v>
      </c>
    </row>
    <row r="304" spans="90:103" x14ac:dyDescent="0.2">
      <c r="CL304" s="91" t="s">
        <v>43</v>
      </c>
      <c r="CM304" s="93">
        <f>INDEX('Top Incident Types Data'!$2:$2,COUNTA('Top Incident Types Data'!$2:$2)-4)</f>
        <v>42217</v>
      </c>
      <c r="CN304" s="101" t="s">
        <v>316</v>
      </c>
      <c r="CO304" s="101"/>
      <c r="CP304" s="101"/>
      <c r="CQ304" s="83" t="str">
        <f t="shared" si="101"/>
        <v>August</v>
      </c>
      <c r="CR304" s="91">
        <f t="shared" si="102"/>
        <v>2015</v>
      </c>
      <c r="CS304" s="98">
        <f>INDEX(Data!$17:$17,COUNTA(Data!$2:$2)-4)</f>
        <v>2</v>
      </c>
      <c r="CT304" s="97">
        <f>INDEX(Data!$18:$18,COUNTA(Data!$2:$2)-4)</f>
        <v>9.43</v>
      </c>
      <c r="CU304" s="97">
        <f>INDEX(Data!$19:$19,COUNTA(Data!$2:$2)-4)</f>
        <v>2.2710949232511859</v>
      </c>
      <c r="CV304" s="94">
        <f>INDEX(Data!$13:$13,COUNTA(Data!$2:$2)-4)</f>
        <v>4</v>
      </c>
      <c r="CW304" s="97">
        <f>INDEX(Data!$16:$16,COUNTA(Data!$2:$2)-4)</f>
        <v>4.5421898465023718</v>
      </c>
      <c r="CX304" s="97">
        <f>INDEX(Data!$34:$34,COUNTA(Data!$2:$2)-4)</f>
        <v>6.3896323479309673</v>
      </c>
      <c r="CY304" s="97">
        <f>INDEX(Data!$40:$40,COUNTA(Data!$2:$2)-4)</f>
        <v>13.533999999999997</v>
      </c>
    </row>
    <row r="305" spans="90:103" x14ac:dyDescent="0.2">
      <c r="CL305" s="91" t="s">
        <v>43</v>
      </c>
      <c r="CM305" s="93">
        <f>INDEX('Top Incident Types Data'!$2:$2,COUNTA('Top Incident Types Data'!$2:$2)-3)</f>
        <v>42262</v>
      </c>
      <c r="CN305" s="101" t="s">
        <v>316</v>
      </c>
      <c r="CO305" s="101"/>
      <c r="CP305" s="101"/>
      <c r="CQ305" s="83" t="str">
        <f t="shared" si="101"/>
        <v>September</v>
      </c>
      <c r="CR305" s="91">
        <f t="shared" si="102"/>
        <v>2015</v>
      </c>
      <c r="CS305" s="98">
        <f>INDEX(Data!$17:$17,COUNTA(Data!$2:$2)-3)</f>
        <v>6</v>
      </c>
      <c r="CT305" s="97">
        <f>INDEX(Data!$18:$18,COUNTA(Data!$2:$2)-3)</f>
        <v>4.9950000000000001</v>
      </c>
      <c r="CU305" s="97">
        <f>INDEX(Data!$19:$19,COUNTA(Data!$2:$2)-3)</f>
        <v>5.4766347138499434</v>
      </c>
      <c r="CV305" s="94">
        <f>INDEX(Data!$13:$13,COUNTA(Data!$2:$2)-3)</f>
        <v>10</v>
      </c>
      <c r="CW305" s="97">
        <f>INDEX(Data!$16:$16,COUNTA(Data!$2:$2)-3)</f>
        <v>9.1277245230832396</v>
      </c>
      <c r="CX305" s="97">
        <f>INDEX(Data!$34:$34,COUNTA(Data!$2:$2)-3)</f>
        <v>6.5939532514540788</v>
      </c>
      <c r="CY305" s="97">
        <f>INDEX(Data!$40:$40,COUNTA(Data!$2:$2)-3)</f>
        <v>12.018749999999999</v>
      </c>
    </row>
    <row r="306" spans="90:103" x14ac:dyDescent="0.2">
      <c r="CL306" s="91" t="s">
        <v>43</v>
      </c>
      <c r="CM306" s="93">
        <f>INDEX('Top Incident Types Data'!$2:$2,COUNTA('Top Incident Types Data'!$2:$2)-2)</f>
        <v>42292</v>
      </c>
      <c r="CN306" s="101" t="s">
        <v>316</v>
      </c>
      <c r="CO306" s="101"/>
      <c r="CP306" s="101"/>
      <c r="CQ306" s="83" t="str">
        <f t="shared" si="101"/>
        <v>October</v>
      </c>
      <c r="CR306" s="91">
        <f t="shared" si="102"/>
        <v>2015</v>
      </c>
      <c r="CS306" s="98">
        <f>INDEX(Data!$17:$17,COUNTA(Data!$2:$2)-2)</f>
        <v>7</v>
      </c>
      <c r="CT306" s="97">
        <f>INDEX(Data!$18:$18,COUNTA(Data!$2:$2)-2)</f>
        <v>5.580000000000001</v>
      </c>
      <c r="CU306" s="97">
        <f>INDEX(Data!$19:$19,COUNTA(Data!$2:$2)-2)</f>
        <v>6.3118960304485858</v>
      </c>
      <c r="CV306" s="94">
        <f>INDEX(Data!$13:$13,COUNTA(Data!$2:$2)-2)</f>
        <v>10</v>
      </c>
      <c r="CW306" s="97">
        <f>INDEX(Data!$16:$16,COUNTA(Data!$2:$2)-2)</f>
        <v>9.0169943292122667</v>
      </c>
      <c r="CX306" s="97">
        <f>INDEX(Data!$34:$34,COUNTA(Data!$2:$2)-2)</f>
        <v>6.5335219325431142</v>
      </c>
      <c r="CY306" s="97">
        <f>INDEX(Data!$40:$40,COUNTA(Data!$2:$2)-2)</f>
        <v>10.769310344827586</v>
      </c>
    </row>
    <row r="307" spans="90:103" x14ac:dyDescent="0.2">
      <c r="CL307" s="91" t="s">
        <v>43</v>
      </c>
      <c r="CM307" s="93">
        <f>INDEX('Top Incident Types Data'!$2:$2,COUNTA('Top Incident Types Data'!$2:$2)-1)</f>
        <v>42323</v>
      </c>
      <c r="CN307" s="101" t="s">
        <v>316</v>
      </c>
      <c r="CO307" s="101"/>
      <c r="CP307" s="101"/>
      <c r="CQ307" s="83" t="str">
        <f t="shared" si="101"/>
        <v>November</v>
      </c>
      <c r="CR307" s="91">
        <f t="shared" si="102"/>
        <v>2015</v>
      </c>
      <c r="CS307" s="98">
        <f>INDEX(Data!$17:$17,COUNTA(Data!$2:$2)-1)</f>
        <v>5</v>
      </c>
      <c r="CT307" s="97">
        <f>INDEX(Data!$18:$18,COUNTA(Data!$2:$2)-1)</f>
        <v>6.0659999999999998</v>
      </c>
      <c r="CU307" s="97">
        <f>INDEX(Data!$19:$19,COUNTA(Data!$2:$2)-1)</f>
        <v>3.7833859239425585</v>
      </c>
      <c r="CV307" s="94">
        <f>INDEX(Data!$13:$13,COUNTA(Data!$2:$2)-1)</f>
        <v>2</v>
      </c>
      <c r="CW307" s="97">
        <f>INDEX(Data!$16:$16,COUNTA(Data!$2:$2)-1)</f>
        <v>1.5133543695770233</v>
      </c>
      <c r="CX307" s="97">
        <f>INDEX(Data!$34:$34,COUNTA(Data!$2:$2)-1)</f>
        <v>5.9052779892571587</v>
      </c>
      <c r="CY307" s="97">
        <f>INDEX(Data!$40:$40,COUNTA(Data!$2:$2)-1)</f>
        <v>10.010624999999999</v>
      </c>
    </row>
    <row r="308" spans="90:103" x14ac:dyDescent="0.2">
      <c r="CL308" s="91" t="s">
        <v>43</v>
      </c>
      <c r="CM308" s="93">
        <f>INDEX('Top Incident Types Data'!$2:$2,COUNTA('Top Incident Types Data'!$2:$2))</f>
        <v>42353</v>
      </c>
      <c r="CN308" s="101" t="s">
        <v>316</v>
      </c>
      <c r="CO308" s="101"/>
      <c r="CP308" s="101"/>
      <c r="CQ308" s="83" t="str">
        <f t="shared" si="101"/>
        <v>December</v>
      </c>
      <c r="CR308" s="91">
        <f t="shared" si="102"/>
        <v>2015</v>
      </c>
      <c r="CS308" s="98">
        <f>INDEX(Data!$17:$17,COUNTA(Data!$2:$2))</f>
        <v>2</v>
      </c>
      <c r="CT308" s="97">
        <f>INDEX(Data!$18:$18,COUNTA(Data!$2:$2))</f>
        <v>15.08</v>
      </c>
      <c r="CU308" s="97">
        <f>INDEX(Data!$19:$19,COUNTA(Data!$2:$2))</f>
        <v>0.96539760364903882</v>
      </c>
      <c r="CV308" s="94">
        <f>INDEX(Data!$13:$13,COUNTA(Data!$2:$2))</f>
        <v>6</v>
      </c>
      <c r="CW308" s="97">
        <f>INDEX(Data!$16:$16,COUNTA(Data!$2:$2))</f>
        <v>2.8961928109471167</v>
      </c>
      <c r="CX308" s="97">
        <f>INDEX(Data!$34:$34,COUNTA(Data!$2:$2))</f>
        <v>5.415522664984243</v>
      </c>
      <c r="CY308" s="97">
        <f>INDEX(Data!$40:$40,COUNTA(Data!$2:$2))</f>
        <v>10.305882352941177</v>
      </c>
    </row>
    <row r="309" spans="90:103" x14ac:dyDescent="0.2">
      <c r="CL309" s="91" t="s">
        <v>43</v>
      </c>
      <c r="CM309" s="93">
        <f>INDEX('Top Incident Types Data'!$2:$2,COUNTA('Top Incident Types Data'!$2:$2)+1)</f>
        <v>42370</v>
      </c>
      <c r="CN309" s="101" t="s">
        <v>316</v>
      </c>
      <c r="CO309" s="101"/>
      <c r="CP309" s="101"/>
      <c r="CQ309" s="83" t="str">
        <f t="shared" si="101"/>
        <v>January</v>
      </c>
      <c r="CR309" s="91">
        <f t="shared" si="102"/>
        <v>2016</v>
      </c>
      <c r="CS309" s="98">
        <f>INDEX(Data!$17:$17,COUNTA(Data!$2:$2)+1)</f>
        <v>1</v>
      </c>
      <c r="CT309" s="97">
        <f>INDEX(Data!$18:$18,COUNTA(Data!$2:$2)+1)</f>
        <v>0</v>
      </c>
      <c r="CU309" s="97">
        <f>INDEX(Data!$19:$19,COUNTA(Data!$2:$2)+1)</f>
        <v>0.52595323745032252</v>
      </c>
      <c r="CV309" s="94">
        <f>INDEX(Data!$13:$13,COUNTA(Data!$2:$2)+1)</f>
        <v>4</v>
      </c>
      <c r="CW309" s="97">
        <f>INDEX(Data!$16:$16,COUNTA(Data!$2:$2)+1)</f>
        <v>2.1038129498012901</v>
      </c>
      <c r="CX309" s="97">
        <f>INDEX(Data!$34:$34,COUNTA(Data!$2:$2)+1)</f>
        <v>5.0711667170908781</v>
      </c>
      <c r="CY309" s="97">
        <f>INDEX(Data!$40:$40,COUNTA(Data!$2:$2)+1)</f>
        <v>10.16969696969697</v>
      </c>
    </row>
    <row r="310" spans="90:103" x14ac:dyDescent="0.2">
      <c r="CL310" s="91" t="s">
        <v>66</v>
      </c>
      <c r="CM310" s="93">
        <f>INDEX('Top Incident Types Data'!$2:$2,COUNTA('Top Incident Types Data'!$2:$2)-22)</f>
        <v>41671</v>
      </c>
      <c r="CN310" s="101" t="s">
        <v>316</v>
      </c>
      <c r="CO310" s="101"/>
      <c r="CP310" s="101"/>
      <c r="CQ310" s="83" t="str">
        <f t="shared" si="101"/>
        <v>February</v>
      </c>
      <c r="CR310" s="91">
        <f t="shared" si="102"/>
        <v>2014</v>
      </c>
      <c r="CS310" s="98">
        <f>INDEX(Data!$53:$53,COUNTA(Data!$2:$2)-22)</f>
        <v>2</v>
      </c>
      <c r="CT310" s="97">
        <f>INDEX(Data!$54:$54,COUNTA(Data!$2:$2)-22)</f>
        <v>21.280000000000005</v>
      </c>
      <c r="CU310" s="97"/>
      <c r="CV310" s="94">
        <f>INDEX(Data!$50:$50,COUNTA(Data!$2:$2)-22)</f>
        <v>12</v>
      </c>
      <c r="CW310" s="97"/>
      <c r="CX310" s="97">
        <f>INDEX(Data!$55:$55,COUNTA(Data!$2:$2)-22)</f>
        <v>3.8557442614531268</v>
      </c>
      <c r="CY310" s="97">
        <f>INDEX(Data!$57:$57,COUNTA(Data!$2:$2)-22)</f>
        <v>18.452903225806455</v>
      </c>
    </row>
    <row r="311" spans="90:103" x14ac:dyDescent="0.2">
      <c r="CL311" s="91" t="s">
        <v>66</v>
      </c>
      <c r="CM311" s="93">
        <f>INDEX('Top Incident Types Data'!$2:$2,COUNTA('Top Incident Types Data'!$2:$2)-21)</f>
        <v>41699</v>
      </c>
      <c r="CN311" s="101" t="s">
        <v>316</v>
      </c>
      <c r="CO311" s="101"/>
      <c r="CP311" s="101"/>
      <c r="CQ311" s="83" t="str">
        <f t="shared" si="101"/>
        <v>March</v>
      </c>
      <c r="CR311" s="91">
        <f t="shared" si="102"/>
        <v>2014</v>
      </c>
      <c r="CS311" s="98">
        <f>INDEX(Data!$53:$53,COUNTA(Data!$2:$2)-21)</f>
        <v>4</v>
      </c>
      <c r="CT311" s="97">
        <f>INDEX(Data!$54:$54,COUNTA(Data!$2:$2)-21)</f>
        <v>19.625</v>
      </c>
      <c r="CU311" s="97"/>
      <c r="CV311" s="94">
        <f>INDEX(Data!$50:$50,COUNTA(Data!$2:$2)-21)</f>
        <v>9</v>
      </c>
      <c r="CW311" s="97"/>
      <c r="CX311" s="97">
        <f>INDEX(Data!$55:$55,COUNTA(Data!$2:$2)-21)</f>
        <v>3.9550427912888519</v>
      </c>
      <c r="CY311" s="97">
        <f>INDEX(Data!$57:$57,COUNTA(Data!$2:$2)-21)</f>
        <v>18.014411764705883</v>
      </c>
    </row>
    <row r="312" spans="90:103" x14ac:dyDescent="0.2">
      <c r="CL312" s="91" t="s">
        <v>66</v>
      </c>
      <c r="CM312" s="93">
        <f>INDEX('Top Incident Types Data'!$2:$2,COUNTA('Top Incident Types Data'!$2:$2)-20)</f>
        <v>41730</v>
      </c>
      <c r="CN312" s="101" t="s">
        <v>316</v>
      </c>
      <c r="CO312" s="101"/>
      <c r="CP312" s="101"/>
      <c r="CQ312" s="83" t="str">
        <f t="shared" si="101"/>
        <v>April</v>
      </c>
      <c r="CR312" s="91">
        <f t="shared" si="102"/>
        <v>2014</v>
      </c>
      <c r="CS312" s="98">
        <f>INDEX(Data!$53:$53,COUNTA(Data!$2:$2)-20)</f>
        <v>1</v>
      </c>
      <c r="CT312" s="97">
        <f>INDEX(Data!$54:$54,COUNTA(Data!$2:$2)-20)</f>
        <v>88</v>
      </c>
      <c r="CU312" s="97"/>
      <c r="CV312" s="94">
        <f>INDEX(Data!$50:$50,COUNTA(Data!$2:$2)-20)</f>
        <v>7</v>
      </c>
      <c r="CW312" s="97"/>
      <c r="CX312" s="97">
        <f>INDEX(Data!$55:$55,COUNTA(Data!$2:$2)-20)</f>
        <v>3.5343941965358177</v>
      </c>
      <c r="CY312" s="97">
        <f>INDEX(Data!$57:$57,COUNTA(Data!$2:$2)-20)</f>
        <v>20.509062499999999</v>
      </c>
    </row>
    <row r="313" spans="90:103" x14ac:dyDescent="0.2">
      <c r="CL313" s="91" t="s">
        <v>66</v>
      </c>
      <c r="CM313" s="93">
        <f>INDEX('Top Incident Types Data'!$2:$2,COUNTA('Top Incident Types Data'!$2:$2)-19)</f>
        <v>41760</v>
      </c>
      <c r="CN313" s="101" t="s">
        <v>316</v>
      </c>
      <c r="CO313" s="101"/>
      <c r="CP313" s="101"/>
      <c r="CQ313" s="83" t="str">
        <f t="shared" si="101"/>
        <v>May</v>
      </c>
      <c r="CR313" s="91">
        <f t="shared" si="102"/>
        <v>2014</v>
      </c>
      <c r="CS313" s="98">
        <f>INDEX(Data!$53:$53,COUNTA(Data!$2:$2)-19)</f>
        <v>1</v>
      </c>
      <c r="CT313" s="97">
        <f>INDEX(Data!$54:$54,COUNTA(Data!$2:$2)-19)</f>
        <v>99.899999999999991</v>
      </c>
      <c r="CU313" s="97"/>
      <c r="CV313" s="94">
        <f>INDEX(Data!$50:$50,COUNTA(Data!$2:$2)-19)</f>
        <v>9</v>
      </c>
      <c r="CW313" s="97"/>
      <c r="CX313" s="97">
        <f>INDEX(Data!$55:$55,COUNTA(Data!$2:$2)-19)</f>
        <v>3.480836379984185</v>
      </c>
      <c r="CY313" s="97">
        <f>INDEX(Data!$57:$57,COUNTA(Data!$2:$2)-19)</f>
        <v>25.248928571428571</v>
      </c>
    </row>
    <row r="314" spans="90:103" x14ac:dyDescent="0.2">
      <c r="CL314" s="91" t="s">
        <v>66</v>
      </c>
      <c r="CM314" s="93">
        <f>INDEX('Top Incident Types Data'!$2:$2,COUNTA('Top Incident Types Data'!$2:$2)-18)</f>
        <v>41791</v>
      </c>
      <c r="CN314" s="101" t="s">
        <v>316</v>
      </c>
      <c r="CO314" s="101"/>
      <c r="CP314" s="101"/>
      <c r="CQ314" s="83" t="str">
        <f t="shared" si="101"/>
        <v>June</v>
      </c>
      <c r="CR314" s="91">
        <f t="shared" si="102"/>
        <v>2014</v>
      </c>
      <c r="CS314" s="98">
        <f>INDEX(Data!$53:$53,COUNTA(Data!$2:$2)-18)</f>
        <v>2</v>
      </c>
      <c r="CT314" s="97">
        <f>INDEX(Data!$54:$54,COUNTA(Data!$2:$2)-18)</f>
        <v>46.95</v>
      </c>
      <c r="CU314" s="97"/>
      <c r="CV314" s="94">
        <f>INDEX(Data!$50:$50,COUNTA(Data!$2:$2)-18)</f>
        <v>7</v>
      </c>
      <c r="CW314" s="97"/>
      <c r="CX314" s="97">
        <f>INDEX(Data!$55:$55,COUNTA(Data!$2:$2)-18)</f>
        <v>3.4382528238025807</v>
      </c>
      <c r="CY314" s="97">
        <f>INDEX(Data!$57:$57,COUNTA(Data!$2:$2)-18)</f>
        <v>26.102413793103445</v>
      </c>
    </row>
    <row r="315" spans="90:103" x14ac:dyDescent="0.2">
      <c r="CL315" s="91" t="s">
        <v>66</v>
      </c>
      <c r="CM315" s="93">
        <f>INDEX('Top Incident Types Data'!$2:$2,COUNTA('Top Incident Types Data'!$2:$2)-17)</f>
        <v>41821</v>
      </c>
      <c r="CN315" s="101" t="s">
        <v>316</v>
      </c>
      <c r="CO315" s="101"/>
      <c r="CP315" s="101"/>
      <c r="CQ315" s="83" t="str">
        <f t="shared" si="101"/>
        <v>July</v>
      </c>
      <c r="CR315" s="91">
        <f t="shared" si="102"/>
        <v>2014</v>
      </c>
      <c r="CS315" s="98">
        <f>INDEX(Data!$53:$53,COUNTA(Data!$2:$2)-17)</f>
        <v>3</v>
      </c>
      <c r="CT315" s="97">
        <f>INDEX(Data!$54:$54,COUNTA(Data!$2:$2)-17)</f>
        <v>25.233333333333334</v>
      </c>
      <c r="CU315" s="97"/>
      <c r="CV315" s="94">
        <f>INDEX(Data!$50:$50,COUNTA(Data!$2:$2)-17)</f>
        <v>8</v>
      </c>
      <c r="CW315" s="97"/>
      <c r="CX315" s="97">
        <f>INDEX(Data!$55:$55,COUNTA(Data!$2:$2)-17)</f>
        <v>3.4123566575017343</v>
      </c>
      <c r="CY315" s="97">
        <f>INDEX(Data!$57:$57,COUNTA(Data!$2:$2)-17)</f>
        <v>25.572903225806453</v>
      </c>
    </row>
    <row r="316" spans="90:103" x14ac:dyDescent="0.2">
      <c r="CL316" s="91" t="s">
        <v>66</v>
      </c>
      <c r="CM316" s="93">
        <f>INDEX('Top Incident Types Data'!$2:$2,COUNTA('Top Incident Types Data'!$2:$2)-16)</f>
        <v>41852</v>
      </c>
      <c r="CN316" s="101" t="s">
        <v>316</v>
      </c>
      <c r="CO316" s="101"/>
      <c r="CP316" s="101"/>
      <c r="CQ316" s="83" t="str">
        <f t="shared" si="101"/>
        <v>August</v>
      </c>
      <c r="CR316" s="91">
        <f t="shared" si="102"/>
        <v>2014</v>
      </c>
      <c r="CS316" s="98">
        <f>INDEX(Data!$53:$53,COUNTA(Data!$2:$2)-16)</f>
        <v>0</v>
      </c>
      <c r="CT316" s="97" t="e">
        <f>INDEX(Data!$54:$54,COUNTA(Data!$2:$2)-16)</f>
        <v>#DIV/0!</v>
      </c>
      <c r="CU316" s="97"/>
      <c r="CV316" s="94">
        <f>INDEX(Data!$50:$50,COUNTA(Data!$2:$2)-16)</f>
        <v>4</v>
      </c>
      <c r="CW316" s="97"/>
      <c r="CX316" s="97">
        <f>INDEX(Data!$55:$55,COUNTA(Data!$2:$2)-16)</f>
        <v>3.3381346026790455</v>
      </c>
      <c r="CY316" s="97">
        <f>INDEX(Data!$57:$57,COUNTA(Data!$2:$2)-16)</f>
        <v>26.44387096774194</v>
      </c>
    </row>
    <row r="317" spans="90:103" x14ac:dyDescent="0.2">
      <c r="CL317" s="91" t="s">
        <v>66</v>
      </c>
      <c r="CM317" s="93">
        <f>INDEX('Top Incident Types Data'!$2:$2,COUNTA('Top Incident Types Data'!$2:$2)-15)</f>
        <v>41883</v>
      </c>
      <c r="CN317" s="101" t="s">
        <v>316</v>
      </c>
      <c r="CO317" s="101"/>
      <c r="CP317" s="101"/>
      <c r="CQ317" s="83" t="str">
        <f t="shared" si="101"/>
        <v>September</v>
      </c>
      <c r="CR317" s="91">
        <f t="shared" si="102"/>
        <v>2014</v>
      </c>
      <c r="CS317" s="98">
        <f>INDEX(Data!$53:$53,COUNTA(Data!$2:$2)-15)</f>
        <v>3</v>
      </c>
      <c r="CT317" s="97">
        <f>INDEX(Data!$54:$54,COUNTA(Data!$2:$2)-15)</f>
        <v>17.633333333333333</v>
      </c>
      <c r="CU317" s="97"/>
      <c r="CV317" s="94">
        <f>INDEX(Data!$50:$50,COUNTA(Data!$2:$2)-15)</f>
        <v>12</v>
      </c>
      <c r="CW317" s="97"/>
      <c r="CX317" s="97">
        <f>INDEX(Data!$55:$55,COUNTA(Data!$2:$2)-15)</f>
        <v>3.1493443861154149</v>
      </c>
      <c r="CY317" s="97">
        <f>INDEX(Data!$57:$57,COUNTA(Data!$2:$2)-15)</f>
        <v>29.047500000000003</v>
      </c>
    </row>
    <row r="318" spans="90:103" x14ac:dyDescent="0.2">
      <c r="CL318" s="91" t="s">
        <v>66</v>
      </c>
      <c r="CM318" s="93">
        <f>INDEX('Top Incident Types Data'!$2:$2,COUNTA('Top Incident Types Data'!$2:$2)-14)</f>
        <v>41913</v>
      </c>
      <c r="CN318" s="101" t="s">
        <v>316</v>
      </c>
      <c r="CO318" s="101"/>
      <c r="CP318" s="101"/>
      <c r="CQ318" s="83" t="str">
        <f t="shared" si="101"/>
        <v>October</v>
      </c>
      <c r="CR318" s="91">
        <f t="shared" si="102"/>
        <v>2014</v>
      </c>
      <c r="CS318" s="98">
        <f>INDEX(Data!$53:$53,COUNTA(Data!$2:$2)-14)</f>
        <v>2</v>
      </c>
      <c r="CT318" s="97">
        <f>INDEX(Data!$54:$54,COUNTA(Data!$2:$2)-14)</f>
        <v>25.9</v>
      </c>
      <c r="CU318" s="97"/>
      <c r="CV318" s="94">
        <f>INDEX(Data!$50:$50,COUNTA(Data!$2:$2)-14)</f>
        <v>13</v>
      </c>
      <c r="CW318" s="97"/>
      <c r="CX318" s="97">
        <f>INDEX(Data!$55:$55,COUNTA(Data!$2:$2)-14)</f>
        <v>3.1441647380884188</v>
      </c>
      <c r="CY318" s="97">
        <f>INDEX(Data!$57:$57,COUNTA(Data!$2:$2)-14)</f>
        <v>28.352142857142859</v>
      </c>
    </row>
    <row r="319" spans="90:103" x14ac:dyDescent="0.2">
      <c r="CL319" s="91" t="s">
        <v>66</v>
      </c>
      <c r="CM319" s="93">
        <f>INDEX('Top Incident Types Data'!$2:$2,COUNTA('Top Incident Types Data'!$2:$2)-13)</f>
        <v>41944</v>
      </c>
      <c r="CN319" s="101" t="s">
        <v>316</v>
      </c>
      <c r="CO319" s="101"/>
      <c r="CP319" s="101"/>
      <c r="CQ319" s="83" t="str">
        <f t="shared" si="101"/>
        <v>November</v>
      </c>
      <c r="CR319" s="91">
        <f t="shared" si="102"/>
        <v>2014</v>
      </c>
      <c r="CS319" s="98">
        <f>INDEX(Data!$53:$53,COUNTA(Data!$2:$2)-13)</f>
        <v>3</v>
      </c>
      <c r="CT319" s="97">
        <f>INDEX(Data!$54:$54,COUNTA(Data!$2:$2)-13)</f>
        <v>9.6666666666666661</v>
      </c>
      <c r="CU319" s="97"/>
      <c r="CV319" s="94">
        <f>INDEX(Data!$50:$50,COUNTA(Data!$2:$2)-13)</f>
        <v>10</v>
      </c>
      <c r="CW319" s="97"/>
      <c r="CX319" s="97">
        <f>INDEX(Data!$55:$55,COUNTA(Data!$2:$2)-13)</f>
        <v>3.2029958561644971</v>
      </c>
      <c r="CY319" s="97">
        <f>INDEX(Data!$57:$57,COUNTA(Data!$2:$2)-13)</f>
        <v>25.94</v>
      </c>
    </row>
    <row r="320" spans="90:103" x14ac:dyDescent="0.2">
      <c r="CL320" s="91" t="s">
        <v>66</v>
      </c>
      <c r="CM320" s="93">
        <f>INDEX('Top Incident Types Data'!$2:$2,COUNTA('Top Incident Types Data'!$2:$2)-12)</f>
        <v>41974</v>
      </c>
      <c r="CN320" s="101" t="s">
        <v>316</v>
      </c>
      <c r="CO320" s="101"/>
      <c r="CP320" s="101"/>
      <c r="CQ320" s="83" t="str">
        <f t="shared" si="101"/>
        <v>December</v>
      </c>
      <c r="CR320" s="91">
        <f t="shared" si="102"/>
        <v>2014</v>
      </c>
      <c r="CS320" s="98">
        <f>INDEX(Data!$53:$53,COUNTA(Data!$2:$2)-12)</f>
        <v>2</v>
      </c>
      <c r="CT320" s="97">
        <f>INDEX(Data!$54:$54,COUNTA(Data!$2:$2)-12)</f>
        <v>6</v>
      </c>
      <c r="CU320" s="97"/>
      <c r="CV320" s="94">
        <f>INDEX(Data!$50:$50,COUNTA(Data!$2:$2)-12)</f>
        <v>9</v>
      </c>
      <c r="CW320" s="97"/>
      <c r="CX320" s="97">
        <f>INDEX(Data!$55:$55,COUNTA(Data!$2:$2)-12)</f>
        <v>2.9777207797505114</v>
      </c>
      <c r="CY320" s="97">
        <f>INDEX(Data!$57:$57,COUNTA(Data!$2:$2)-12)</f>
        <v>26.413333333333338</v>
      </c>
    </row>
    <row r="321" spans="90:103" x14ac:dyDescent="0.2">
      <c r="CL321" s="91" t="s">
        <v>66</v>
      </c>
      <c r="CM321" s="93">
        <f>INDEX('Top Incident Types Data'!$2:$2,COUNTA('Top Incident Types Data'!$2:$2)-11)</f>
        <v>42005</v>
      </c>
      <c r="CN321" s="101" t="s">
        <v>316</v>
      </c>
      <c r="CO321" s="101"/>
      <c r="CP321" s="101"/>
      <c r="CQ321" s="83" t="str">
        <f t="shared" si="101"/>
        <v>January</v>
      </c>
      <c r="CR321" s="91">
        <f t="shared" si="102"/>
        <v>2015</v>
      </c>
      <c r="CS321" s="98">
        <f>INDEX(Data!$53:$53,COUNTA(Data!$2:$2)-11)</f>
        <v>3</v>
      </c>
      <c r="CT321" s="97">
        <f>INDEX(Data!$54:$54,COUNTA(Data!$2:$2)-11)</f>
        <v>7.3999999999999995</v>
      </c>
      <c r="CU321" s="97"/>
      <c r="CV321" s="94">
        <f>INDEX(Data!$50:$50,COUNTA(Data!$2:$2)-11)</f>
        <v>10</v>
      </c>
      <c r="CW321" s="97"/>
      <c r="CX321" s="97">
        <f>INDEX(Data!$55:$55,COUNTA(Data!$2:$2)-11)</f>
        <v>2.9723491170200234</v>
      </c>
      <c r="CY321" s="97">
        <f>INDEX(Data!$57:$57,COUNTA(Data!$2:$2)-11)</f>
        <v>26.563846153846153</v>
      </c>
    </row>
    <row r="322" spans="90:103" x14ac:dyDescent="0.2">
      <c r="CL322" s="91" t="s">
        <v>66</v>
      </c>
      <c r="CM322" s="93">
        <f>INDEX('Top Incident Types Data'!$2:$2,COUNTA('Top Incident Types Data'!$2:$2)-10)</f>
        <v>42036</v>
      </c>
      <c r="CN322" s="101" t="s">
        <v>316</v>
      </c>
      <c r="CO322" s="101"/>
      <c r="CP322" s="101"/>
      <c r="CQ322" s="83" t="str">
        <f t="shared" si="101"/>
        <v>February</v>
      </c>
      <c r="CR322" s="91">
        <f t="shared" si="102"/>
        <v>2015</v>
      </c>
      <c r="CS322" s="98">
        <f>INDEX(Data!$53:$53,COUNTA(Data!$2:$2)-10)</f>
        <v>5</v>
      </c>
      <c r="CT322" s="97">
        <f>INDEX(Data!$54:$54,COUNTA(Data!$2:$2)-10)</f>
        <v>4.2799999999999994</v>
      </c>
      <c r="CU322" s="97"/>
      <c r="CV322" s="94">
        <f>INDEX(Data!$50:$50,COUNTA(Data!$2:$2)-10)</f>
        <v>13</v>
      </c>
      <c r="CW322" s="97"/>
      <c r="CX322" s="97">
        <f>INDEX(Data!$55:$55,COUNTA(Data!$2:$2)-10)</f>
        <v>2.9938673499426192</v>
      </c>
      <c r="CY322" s="97">
        <f>INDEX(Data!$57:$57,COUNTA(Data!$2:$2)-10)</f>
        <v>23.086206896551719</v>
      </c>
    </row>
    <row r="323" spans="90:103" x14ac:dyDescent="0.2">
      <c r="CL323" s="91" t="s">
        <v>66</v>
      </c>
      <c r="CM323" s="93">
        <f>INDEX('Top Incident Types Data'!$2:$2,COUNTA('Top Incident Types Data'!$2:$2)-9)</f>
        <v>42064</v>
      </c>
      <c r="CN323" s="101" t="s">
        <v>316</v>
      </c>
      <c r="CO323" s="101"/>
      <c r="CP323" s="101"/>
      <c r="CQ323" s="83" t="str">
        <f t="shared" si="101"/>
        <v>March</v>
      </c>
      <c r="CR323" s="91">
        <f t="shared" si="102"/>
        <v>2015</v>
      </c>
      <c r="CS323" s="98">
        <f>INDEX(Data!$53:$53,COUNTA(Data!$2:$2)-9)</f>
        <v>2</v>
      </c>
      <c r="CT323" s="97">
        <f>INDEX(Data!$54:$54,COUNTA(Data!$2:$2)-9)</f>
        <v>6.7</v>
      </c>
      <c r="CU323" s="97"/>
      <c r="CV323" s="94">
        <f>INDEX(Data!$50:$50,COUNTA(Data!$2:$2)-9)</f>
        <v>6</v>
      </c>
      <c r="CW323" s="97"/>
      <c r="CX323" s="97">
        <f>INDEX(Data!$55:$55,COUNTA(Data!$2:$2)-9)</f>
        <v>2.9066576783807792</v>
      </c>
      <c r="CY323" s="97">
        <f>INDEX(Data!$57:$57,COUNTA(Data!$2:$2)-9)</f>
        <v>22.385185185185179</v>
      </c>
    </row>
    <row r="324" spans="90:103" x14ac:dyDescent="0.2">
      <c r="CL324" s="91" t="s">
        <v>66</v>
      </c>
      <c r="CM324" s="93">
        <f>INDEX('Top Incident Types Data'!$2:$2,COUNTA('Top Incident Types Data'!$2:$2)-8)</f>
        <v>42095</v>
      </c>
      <c r="CN324" s="101" t="s">
        <v>316</v>
      </c>
      <c r="CO324" s="101"/>
      <c r="CP324" s="101"/>
      <c r="CQ324" s="83" t="str">
        <f t="shared" si="101"/>
        <v>April</v>
      </c>
      <c r="CR324" s="91">
        <f t="shared" si="102"/>
        <v>2015</v>
      </c>
      <c r="CS324" s="98">
        <f>INDEX(Data!$53:$53,COUNTA(Data!$2:$2)-8)</f>
        <v>4</v>
      </c>
      <c r="CT324" s="97">
        <f>INDEX(Data!$54:$54,COUNTA(Data!$2:$2)-8)</f>
        <v>16.514999999999997</v>
      </c>
      <c r="CU324" s="97"/>
      <c r="CV324" s="94">
        <f>INDEX(Data!$50:$50,COUNTA(Data!$2:$2)-8)</f>
        <v>11</v>
      </c>
      <c r="CW324" s="97"/>
      <c r="CX324" s="97">
        <f>INDEX(Data!$55:$55,COUNTA(Data!$2:$2)-8)</f>
        <v>3.0220595737359597</v>
      </c>
      <c r="CY324" s="97">
        <f>INDEX(Data!$57:$57,COUNTA(Data!$2:$2)-8)</f>
        <v>19.415333333333329</v>
      </c>
    </row>
    <row r="325" spans="90:103" x14ac:dyDescent="0.2">
      <c r="CL325" s="91" t="s">
        <v>66</v>
      </c>
      <c r="CM325" s="93">
        <f>INDEX('Top Incident Types Data'!$2:$2,COUNTA('Top Incident Types Data'!$2:$2)-7)</f>
        <v>42125</v>
      </c>
      <c r="CN325" s="101" t="s">
        <v>316</v>
      </c>
      <c r="CO325" s="101"/>
      <c r="CP325" s="101"/>
      <c r="CQ325" s="83" t="str">
        <f t="shared" si="101"/>
        <v>May</v>
      </c>
      <c r="CR325" s="91">
        <f t="shared" si="102"/>
        <v>2015</v>
      </c>
      <c r="CS325" s="98">
        <f>INDEX(Data!$53:$53,COUNTA(Data!$2:$2)-7)</f>
        <v>4</v>
      </c>
      <c r="CT325" s="97">
        <f>INDEX(Data!$54:$54,COUNTA(Data!$2:$2)-7)</f>
        <v>14.5525</v>
      </c>
      <c r="CU325" s="97"/>
      <c r="CV325" s="94">
        <f>INDEX(Data!$50:$50,COUNTA(Data!$2:$2)-7)</f>
        <v>12</v>
      </c>
      <c r="CW325" s="97"/>
      <c r="CX325" s="97">
        <f>INDEX(Data!$55:$55,COUNTA(Data!$2:$2)-7)</f>
        <v>3.1068754090642932</v>
      </c>
      <c r="CY325" s="97">
        <f>INDEX(Data!$57:$57,COUNTA(Data!$2:$2)-7)</f>
        <v>16.386969696969697</v>
      </c>
    </row>
    <row r="326" spans="90:103" x14ac:dyDescent="0.2">
      <c r="CL326" s="91" t="s">
        <v>66</v>
      </c>
      <c r="CM326" s="93">
        <f>INDEX('Top Incident Types Data'!$2:$2,COUNTA('Top Incident Types Data'!$2:$2)-6)</f>
        <v>42156</v>
      </c>
      <c r="CN326" s="101" t="s">
        <v>316</v>
      </c>
      <c r="CO326" s="101"/>
      <c r="CP326" s="101"/>
      <c r="CQ326" s="83" t="str">
        <f t="shared" si="101"/>
        <v>June</v>
      </c>
      <c r="CR326" s="91">
        <f t="shared" si="102"/>
        <v>2015</v>
      </c>
      <c r="CS326" s="98">
        <f>INDEX(Data!$53:$53,COUNTA(Data!$2:$2)-6)</f>
        <v>3</v>
      </c>
      <c r="CT326" s="97">
        <f>INDEX(Data!$54:$54,COUNTA(Data!$2:$2)-6)</f>
        <v>13.086666666666666</v>
      </c>
      <c r="CU326" s="97"/>
      <c r="CV326" s="94">
        <f>INDEX(Data!$50:$50,COUNTA(Data!$2:$2)-6)</f>
        <v>10</v>
      </c>
      <c r="CW326" s="97"/>
      <c r="CX326" s="97">
        <f>INDEX(Data!$55:$55,COUNTA(Data!$2:$2)-6)</f>
        <v>3.1791352640922397</v>
      </c>
      <c r="CY326" s="97">
        <f>INDEX(Data!$57:$57,COUNTA(Data!$2:$2)-6)</f>
        <v>14.297941176470587</v>
      </c>
    </row>
    <row r="327" spans="90:103" x14ac:dyDescent="0.2">
      <c r="CL327" s="91" t="s">
        <v>66</v>
      </c>
      <c r="CM327" s="93">
        <f>INDEX('Top Incident Types Data'!$2:$2,COUNTA('Top Incident Types Data'!$2:$2)-5)</f>
        <v>42186</v>
      </c>
      <c r="CN327" s="101" t="s">
        <v>316</v>
      </c>
      <c r="CO327" s="101"/>
      <c r="CP327" s="101"/>
      <c r="CQ327" s="83" t="str">
        <f t="shared" si="101"/>
        <v>July</v>
      </c>
      <c r="CR327" s="91">
        <f t="shared" si="102"/>
        <v>2015</v>
      </c>
      <c r="CS327" s="98">
        <f>INDEX(Data!$53:$53,COUNTA(Data!$2:$2)-5)</f>
        <v>1</v>
      </c>
      <c r="CT327" s="97">
        <f>INDEX(Data!$54:$54,COUNTA(Data!$2:$2)-5)</f>
        <v>16.95</v>
      </c>
      <c r="CU327" s="97"/>
      <c r="CV327" s="94">
        <f>INDEX(Data!$50:$50,COUNTA(Data!$2:$2)-5)</f>
        <v>18</v>
      </c>
      <c r="CW327" s="97"/>
      <c r="CX327" s="97">
        <f>INDEX(Data!$55:$55,COUNTA(Data!$2:$2)-5)</f>
        <v>3.3194235869783415</v>
      </c>
      <c r="CY327" s="97">
        <f>INDEX(Data!$57:$57,COUNTA(Data!$2:$2)-5)</f>
        <v>13.355624999999998</v>
      </c>
    </row>
    <row r="328" spans="90:103" x14ac:dyDescent="0.2">
      <c r="CL328" s="91" t="s">
        <v>66</v>
      </c>
      <c r="CM328" s="93">
        <f>INDEX('Top Incident Types Data'!$2:$2,COUNTA('Top Incident Types Data'!$2:$2)-4)</f>
        <v>42217</v>
      </c>
      <c r="CN328" s="101" t="s">
        <v>316</v>
      </c>
      <c r="CO328" s="101"/>
      <c r="CP328" s="101"/>
      <c r="CQ328" s="83" t="str">
        <f t="shared" si="101"/>
        <v>August</v>
      </c>
      <c r="CR328" s="91">
        <f t="shared" si="102"/>
        <v>2015</v>
      </c>
      <c r="CS328" s="98">
        <f>INDEX(Data!$53:$53,COUNTA(Data!$2:$2)-4)</f>
        <v>3</v>
      </c>
      <c r="CT328" s="97">
        <f>INDEX(Data!$54:$54,COUNTA(Data!$2:$2)-4)</f>
        <v>6.796666666666666</v>
      </c>
      <c r="CU328" s="97"/>
      <c r="CV328" s="94">
        <f>INDEX(Data!$50:$50,COUNTA(Data!$2:$2)-4)</f>
        <v>11</v>
      </c>
      <c r="CW328" s="97"/>
      <c r="CX328" s="97">
        <f>INDEX(Data!$55:$55,COUNTA(Data!$2:$2)-4)</f>
        <v>3.5646919354603299</v>
      </c>
      <c r="CY328" s="97">
        <f>INDEX(Data!$57:$57,COUNTA(Data!$2:$2)-4)</f>
        <v>11.530571428571427</v>
      </c>
    </row>
    <row r="329" spans="90:103" x14ac:dyDescent="0.2">
      <c r="CL329" s="91" t="s">
        <v>66</v>
      </c>
      <c r="CM329" s="93">
        <f>INDEX('Top Incident Types Data'!$2:$2,COUNTA('Top Incident Types Data'!$2:$2)-3)</f>
        <v>42262</v>
      </c>
      <c r="CN329" s="101" t="s">
        <v>316</v>
      </c>
      <c r="CO329" s="101"/>
      <c r="CP329" s="101"/>
      <c r="CQ329" s="83" t="str">
        <f t="shared" si="101"/>
        <v>September</v>
      </c>
      <c r="CR329" s="91">
        <f t="shared" si="102"/>
        <v>2015</v>
      </c>
      <c r="CS329" s="98">
        <f>INDEX(Data!$53:$53,COUNTA(Data!$2:$2)-3)</f>
        <v>8</v>
      </c>
      <c r="CT329" s="97">
        <f>INDEX(Data!$54:$54,COUNTA(Data!$2:$2)-3)</f>
        <v>4.4712499999999995</v>
      </c>
      <c r="CU329" s="97"/>
      <c r="CV329" s="94">
        <f>INDEX(Data!$50:$50,COUNTA(Data!$2:$2)-3)</f>
        <v>14</v>
      </c>
      <c r="CW329" s="97"/>
      <c r="CX329" s="97">
        <f>INDEX(Data!$55:$55,COUNTA(Data!$2:$2)-3)</f>
        <v>3.5870178247204207</v>
      </c>
      <c r="CY329" s="97">
        <f>INDEX(Data!$57:$57,COUNTA(Data!$2:$2)-3)</f>
        <v>9.6609999999999978</v>
      </c>
    </row>
    <row r="330" spans="90:103" x14ac:dyDescent="0.2">
      <c r="CL330" s="91" t="s">
        <v>66</v>
      </c>
      <c r="CM330" s="93">
        <f>INDEX('Top Incident Types Data'!$2:$2,COUNTA('Top Incident Types Data'!$2:$2)-2)</f>
        <v>42292</v>
      </c>
      <c r="CN330" s="101" t="s">
        <v>316</v>
      </c>
      <c r="CO330" s="101"/>
      <c r="CP330" s="101"/>
      <c r="CQ330" s="83" t="str">
        <f t="shared" si="101"/>
        <v>October</v>
      </c>
      <c r="CR330" s="91">
        <f t="shared" si="102"/>
        <v>2015</v>
      </c>
      <c r="CS330" s="98">
        <f>INDEX(Data!$53:$53,COUNTA(Data!$2:$2)-2)</f>
        <v>8</v>
      </c>
      <c r="CT330" s="97">
        <f>INDEX(Data!$54:$54,COUNTA(Data!$2:$2)-2)</f>
        <v>5.5075000000000012</v>
      </c>
      <c r="CU330" s="97"/>
      <c r="CV330" s="94">
        <f>INDEX(Data!$50:$50,COUNTA(Data!$2:$2)-2)</f>
        <v>15</v>
      </c>
      <c r="CW330" s="97"/>
      <c r="CX330" s="97">
        <f>INDEX(Data!$55:$55,COUNTA(Data!$2:$2)-2)</f>
        <v>3.6115742113743941</v>
      </c>
      <c r="CY330" s="97">
        <f>INDEX(Data!$57:$57,COUNTA(Data!$2:$2)-2)</f>
        <v>8.2326086956521731</v>
      </c>
    </row>
    <row r="331" spans="90:103" x14ac:dyDescent="0.2">
      <c r="CL331" s="91" t="s">
        <v>66</v>
      </c>
      <c r="CM331" s="93">
        <f>INDEX('Top Incident Types Data'!$2:$2,COUNTA('Top Incident Types Data'!$2:$2)-1)</f>
        <v>42323</v>
      </c>
      <c r="CN331" s="101" t="s">
        <v>316</v>
      </c>
      <c r="CO331" s="101"/>
      <c r="CP331" s="101"/>
      <c r="CQ331" s="83" t="str">
        <f t="shared" si="101"/>
        <v>November</v>
      </c>
      <c r="CR331" s="91">
        <f t="shared" si="102"/>
        <v>2015</v>
      </c>
      <c r="CS331" s="98">
        <f>INDEX(Data!$53:$53,COUNTA(Data!$2:$2)-1)</f>
        <v>6</v>
      </c>
      <c r="CT331" s="97">
        <f>INDEX(Data!$54:$54,COUNTA(Data!$2:$2)-1)</f>
        <v>6.331666666666667</v>
      </c>
      <c r="CU331" s="97"/>
      <c r="CV331" s="94">
        <f>INDEX(Data!$50:$50,COUNTA(Data!$2:$2)-1)</f>
        <v>4</v>
      </c>
      <c r="CW331" s="97"/>
      <c r="CX331" s="97">
        <f>INDEX(Data!$55:$55,COUNTA(Data!$2:$2)-1)</f>
        <v>3.3806616331752273</v>
      </c>
      <c r="CY331" s="97">
        <f>INDEX(Data!$57:$57,COUNTA(Data!$2:$2)-1)</f>
        <v>7.912040816326531</v>
      </c>
    </row>
    <row r="332" spans="90:103" x14ac:dyDescent="0.2">
      <c r="CL332" s="91" t="s">
        <v>66</v>
      </c>
      <c r="CM332" s="93">
        <f>INDEX('Top Incident Types Data'!$2:$2,COUNTA('Top Incident Types Data'!$2:$2))</f>
        <v>42353</v>
      </c>
      <c r="CN332" s="101" t="s">
        <v>316</v>
      </c>
      <c r="CO332" s="101"/>
      <c r="CP332" s="101"/>
      <c r="CQ332" s="83" t="str">
        <f t="shared" si="101"/>
        <v>December</v>
      </c>
      <c r="CR332" s="91">
        <f t="shared" si="102"/>
        <v>2015</v>
      </c>
      <c r="CS332" s="98">
        <f>INDEX(Data!$53:$53,COUNTA(Data!$2:$2))</f>
        <v>3</v>
      </c>
      <c r="CT332" s="97">
        <f>INDEX(Data!$54:$54,COUNTA(Data!$2:$2))</f>
        <v>12.74</v>
      </c>
      <c r="CU332" s="97"/>
      <c r="CV332" s="94">
        <f>INDEX(Data!$50:$50,COUNTA(Data!$2:$2))</f>
        <v>10</v>
      </c>
      <c r="CW332" s="97"/>
      <c r="CX332" s="97">
        <f>INDEX(Data!$55:$55,COUNTA(Data!$2:$2))</f>
        <v>3.1901604849028091</v>
      </c>
      <c r="CY332" s="97">
        <f>INDEX(Data!$57:$57,COUNTA(Data!$2:$2))</f>
        <v>8.2782</v>
      </c>
    </row>
    <row r="333" spans="90:103" x14ac:dyDescent="0.2">
      <c r="CL333" s="91" t="s">
        <v>66</v>
      </c>
      <c r="CM333" s="93">
        <f>INDEX('Top Incident Types Data'!$2:$2,COUNTA('Top Incident Types Data'!$2:$2)+1)</f>
        <v>42370</v>
      </c>
      <c r="CN333" s="101" t="s">
        <v>316</v>
      </c>
      <c r="CO333" s="101"/>
      <c r="CP333" s="101"/>
      <c r="CQ333" s="83" t="str">
        <f t="shared" si="101"/>
        <v>January</v>
      </c>
      <c r="CR333" s="91">
        <f t="shared" si="102"/>
        <v>2016</v>
      </c>
      <c r="CS333" s="98">
        <f>INDEX(Data!$53:$53,COUNTA(Data!$2:$2)+1)</f>
        <v>1</v>
      </c>
      <c r="CT333" s="97">
        <f>INDEX(Data!$54:$54,COUNTA(Data!$2:$2)+1)</f>
        <v>0</v>
      </c>
      <c r="CU333" s="97"/>
      <c r="CV333" s="94">
        <f>INDEX(Data!$50:$50,COUNTA(Data!$2:$2)+1)</f>
        <v>9</v>
      </c>
      <c r="CW333" s="97"/>
      <c r="CX333" s="97">
        <f>INDEX(Data!$55:$55,COUNTA(Data!$2:$2)+1)</f>
        <v>3.0519169123623056</v>
      </c>
      <c r="CY333" s="97">
        <f>INDEX(Data!$57:$57,COUNTA(Data!$2:$2)+1)</f>
        <v>8.1606249999999978</v>
      </c>
    </row>
    <row r="334" spans="90:103" x14ac:dyDescent="0.2">
      <c r="CN334" s="99"/>
      <c r="CO334" s="99"/>
      <c r="CP334" s="99"/>
    </row>
    <row r="335" spans="90:103" x14ac:dyDescent="0.2">
      <c r="CN335" s="99"/>
      <c r="CO335" s="99"/>
      <c r="CP335" s="99"/>
    </row>
    <row r="336" spans="90:103" x14ac:dyDescent="0.2">
      <c r="CN336" s="99"/>
      <c r="CO336" s="99"/>
      <c r="CP336" s="99"/>
    </row>
    <row r="337" spans="92:94" x14ac:dyDescent="0.2">
      <c r="CN337" s="99"/>
      <c r="CO337" s="99"/>
      <c r="CP337" s="99"/>
    </row>
    <row r="338" spans="92:94" x14ac:dyDescent="0.2">
      <c r="CN338" s="99"/>
      <c r="CO338" s="99"/>
      <c r="CP338" s="99"/>
    </row>
    <row r="339" spans="92:94" x14ac:dyDescent="0.2">
      <c r="CN339" s="99"/>
      <c r="CO339" s="99"/>
      <c r="CP339" s="99"/>
    </row>
    <row r="340" spans="92:94" x14ac:dyDescent="0.2">
      <c r="CN340" s="99"/>
      <c r="CO340" s="99"/>
      <c r="CP340" s="99"/>
    </row>
    <row r="341" spans="92:94" x14ac:dyDescent="0.2">
      <c r="CN341" s="99"/>
      <c r="CO341" s="99"/>
      <c r="CP341" s="99"/>
    </row>
    <row r="342" spans="92:94" x14ac:dyDescent="0.2">
      <c r="CN342" s="99"/>
      <c r="CO342" s="99"/>
      <c r="CP342" s="99"/>
    </row>
    <row r="343" spans="92:94" x14ac:dyDescent="0.2">
      <c r="CN343" s="99"/>
      <c r="CO343" s="99"/>
      <c r="CP343" s="99"/>
    </row>
    <row r="344" spans="92:94" x14ac:dyDescent="0.2">
      <c r="CN344" s="99"/>
      <c r="CO344" s="99"/>
      <c r="CP344" s="99"/>
    </row>
    <row r="345" spans="92:94" x14ac:dyDescent="0.2">
      <c r="CN345" s="99"/>
      <c r="CO345" s="99"/>
      <c r="CP345" s="99"/>
    </row>
    <row r="346" spans="92:94" x14ac:dyDescent="0.2">
      <c r="CN346" s="99"/>
      <c r="CO346" s="99"/>
      <c r="CP346" s="99"/>
    </row>
    <row r="347" spans="92:94" x14ac:dyDescent="0.2">
      <c r="CN347" s="99"/>
      <c r="CO347" s="99"/>
      <c r="CP347" s="99"/>
    </row>
    <row r="348" spans="92:94" x14ac:dyDescent="0.2">
      <c r="CN348" s="99"/>
      <c r="CO348" s="99"/>
      <c r="CP348" s="99"/>
    </row>
    <row r="349" spans="92:94" x14ac:dyDescent="0.2">
      <c r="CN349" s="99"/>
      <c r="CO349" s="99"/>
      <c r="CP349" s="99"/>
    </row>
    <row r="350" spans="92:94" x14ac:dyDescent="0.2">
      <c r="CN350" s="99"/>
      <c r="CO350" s="99"/>
      <c r="CP350" s="99"/>
    </row>
    <row r="351" spans="92:94" x14ac:dyDescent="0.2">
      <c r="CN351" s="99"/>
      <c r="CO351" s="99"/>
      <c r="CP351" s="99"/>
    </row>
    <row r="352" spans="92:94" x14ac:dyDescent="0.2">
      <c r="CN352" s="99"/>
      <c r="CO352" s="99"/>
      <c r="CP352" s="99"/>
    </row>
    <row r="353" spans="92:94" x14ac:dyDescent="0.2">
      <c r="CN353" s="99"/>
      <c r="CO353" s="99"/>
      <c r="CP353" s="99"/>
    </row>
    <row r="354" spans="92:94" x14ac:dyDescent="0.2">
      <c r="CN354" s="99"/>
      <c r="CO354" s="99"/>
      <c r="CP354" s="99"/>
    </row>
    <row r="355" spans="92:94" x14ac:dyDescent="0.2">
      <c r="CN355" s="99"/>
      <c r="CO355" s="99"/>
      <c r="CP355" s="99"/>
    </row>
    <row r="356" spans="92:94" x14ac:dyDescent="0.2">
      <c r="CN356" s="99"/>
      <c r="CO356" s="99"/>
      <c r="CP356" s="99"/>
    </row>
    <row r="357" spans="92:94" x14ac:dyDescent="0.2">
      <c r="CN357" s="99"/>
      <c r="CO357" s="99"/>
      <c r="CP357" s="99"/>
    </row>
    <row r="358" spans="92:94" x14ac:dyDescent="0.2">
      <c r="CN358" s="99"/>
      <c r="CO358" s="99"/>
      <c r="CP358" s="99"/>
    </row>
    <row r="359" spans="92:94" x14ac:dyDescent="0.2">
      <c r="CN359" s="99"/>
      <c r="CO359" s="99"/>
      <c r="CP359" s="99"/>
    </row>
    <row r="360" spans="92:94" x14ac:dyDescent="0.2">
      <c r="CN360" s="99"/>
      <c r="CO360" s="99"/>
      <c r="CP360" s="99"/>
    </row>
    <row r="361" spans="92:94" x14ac:dyDescent="0.2">
      <c r="CN361" s="99"/>
      <c r="CO361" s="99"/>
      <c r="CP361" s="99"/>
    </row>
    <row r="362" spans="92:94" x14ac:dyDescent="0.2">
      <c r="CN362" s="99"/>
      <c r="CO362" s="99"/>
      <c r="CP362" s="99"/>
    </row>
    <row r="363" spans="92:94" x14ac:dyDescent="0.2">
      <c r="CN363" s="99"/>
      <c r="CO363" s="99"/>
      <c r="CP363" s="99"/>
    </row>
    <row r="364" spans="92:94" x14ac:dyDescent="0.2">
      <c r="CN364" s="99"/>
      <c r="CO364" s="99"/>
      <c r="CP364" s="99"/>
    </row>
    <row r="365" spans="92:94" x14ac:dyDescent="0.2">
      <c r="CN365" s="99"/>
      <c r="CO365" s="99"/>
      <c r="CP365" s="99"/>
    </row>
    <row r="366" spans="92:94" x14ac:dyDescent="0.2">
      <c r="CN366" s="99"/>
      <c r="CO366" s="99"/>
      <c r="CP366" s="99"/>
    </row>
    <row r="367" spans="92:94" x14ac:dyDescent="0.2">
      <c r="CN367" s="99"/>
      <c r="CO367" s="99"/>
      <c r="CP367" s="99"/>
    </row>
    <row r="368" spans="92:94" x14ac:dyDescent="0.2">
      <c r="CN368" s="99"/>
      <c r="CO368" s="99"/>
      <c r="CP368" s="99"/>
    </row>
    <row r="369" spans="92:94" x14ac:dyDescent="0.2">
      <c r="CN369" s="99"/>
      <c r="CO369" s="99"/>
      <c r="CP369" s="99"/>
    </row>
    <row r="370" spans="92:94" x14ac:dyDescent="0.2">
      <c r="CN370" s="99"/>
      <c r="CO370" s="99"/>
      <c r="CP370" s="99"/>
    </row>
    <row r="371" spans="92:94" x14ac:dyDescent="0.2">
      <c r="CN371" s="99"/>
      <c r="CO371" s="99"/>
      <c r="CP371" s="99"/>
    </row>
    <row r="372" spans="92:94" x14ac:dyDescent="0.2">
      <c r="CN372" s="99"/>
      <c r="CO372" s="99"/>
      <c r="CP372" s="99"/>
    </row>
    <row r="373" spans="92:94" x14ac:dyDescent="0.2">
      <c r="CN373" s="99"/>
      <c r="CO373" s="99"/>
      <c r="CP373" s="99"/>
    </row>
    <row r="374" spans="92:94" x14ac:dyDescent="0.2">
      <c r="CN374" s="99"/>
      <c r="CO374" s="99"/>
      <c r="CP374" s="99"/>
    </row>
    <row r="375" spans="92:94" x14ac:dyDescent="0.2">
      <c r="CN375" s="99"/>
      <c r="CO375" s="99"/>
      <c r="CP375" s="99"/>
    </row>
    <row r="376" spans="92:94" x14ac:dyDescent="0.2">
      <c r="CN376" s="99"/>
      <c r="CO376" s="99"/>
      <c r="CP376" s="99"/>
    </row>
    <row r="377" spans="92:94" x14ac:dyDescent="0.2">
      <c r="CN377" s="99"/>
      <c r="CO377" s="99"/>
      <c r="CP377" s="99"/>
    </row>
  </sheetData>
  <mergeCells count="7">
    <mergeCell ref="N1:Y1"/>
    <mergeCell ref="Z1:AK1"/>
    <mergeCell ref="A82:A83"/>
    <mergeCell ref="AE84:AF84"/>
    <mergeCell ref="AG84:AH84"/>
    <mergeCell ref="AI84:AJ84"/>
    <mergeCell ref="AK84:AL84"/>
  </mergeCells>
  <pageMargins left="0.75" right="0.75" top="1" bottom="1" header="0.5" footer="0.5"/>
  <pageSetup orientation="portrait" r:id="rId6"/>
  <headerFooter alignWithMargins="0"/>
  <legacy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R104"/>
  <sheetViews>
    <sheetView zoomScaleNormal="100" workbookViewId="0">
      <pane xSplit="1" ySplit="2" topLeftCell="EJ3" activePane="bottomRight" state="frozenSplit"/>
      <selection activeCell="DC41" sqref="DC41"/>
      <selection pane="topRight" activeCell="DC41" sqref="DC41"/>
      <selection pane="bottomLeft" activeCell="DC41" sqref="DC41"/>
      <selection pane="bottomRight" activeCell="EN5" sqref="EN5"/>
    </sheetView>
  </sheetViews>
  <sheetFormatPr defaultRowHeight="12.75" x14ac:dyDescent="0.2"/>
  <cols>
    <col min="1" max="1" width="40" style="129" customWidth="1"/>
    <col min="2" max="2" width="9.5703125" style="129" bestFit="1" customWidth="1"/>
    <col min="3" max="3" width="9.5703125" style="129" customWidth="1"/>
    <col min="4" max="7" width="9.5703125" style="129" bestFit="1" customWidth="1"/>
    <col min="8" max="8" width="10.5703125" style="129" bestFit="1" customWidth="1"/>
    <col min="9" max="9" width="10.28515625" style="129" bestFit="1" customWidth="1"/>
    <col min="10" max="24" width="9.5703125" style="129" bestFit="1" customWidth="1"/>
    <col min="25" max="28" width="9.140625" style="129"/>
    <col min="29" max="37" width="9.5703125" style="129" bestFit="1" customWidth="1"/>
    <col min="38" max="38" width="10" style="129" customWidth="1"/>
    <col min="39" max="46" width="9.140625" style="129"/>
    <col min="47" max="47" width="10.42578125" style="129" customWidth="1"/>
    <col min="48" max="72" width="9.140625" style="129"/>
    <col min="73" max="85" width="10.140625" style="129" bestFit="1" customWidth="1"/>
    <col min="86" max="86" width="10.28515625" style="129" bestFit="1" customWidth="1"/>
    <col min="87" max="87" width="10.42578125" style="129" bestFit="1" customWidth="1"/>
    <col min="88" max="88" width="10.28515625" style="129" bestFit="1" customWidth="1"/>
    <col min="89" max="91" width="11.85546875" style="129" bestFit="1" customWidth="1"/>
    <col min="92" max="95" width="11.7109375" style="129" bestFit="1" customWidth="1"/>
    <col min="96" max="96" width="12.7109375" style="129" customWidth="1"/>
    <col min="97" max="97" width="15.42578125" style="129" customWidth="1"/>
    <col min="98" max="98" width="10.28515625" style="129" bestFit="1" customWidth="1"/>
    <col min="99" max="99" width="12.28515625" style="129" customWidth="1"/>
    <col min="100" max="100" width="13.28515625" style="129" customWidth="1"/>
    <col min="101" max="101" width="11.28515625" style="129" customWidth="1"/>
    <col min="102" max="102" width="14" style="129" customWidth="1"/>
    <col min="103" max="103" width="14.140625" style="129" customWidth="1"/>
    <col min="104" max="104" width="15.7109375" style="129" customWidth="1"/>
    <col min="105" max="105" width="14.28515625" style="129" customWidth="1"/>
    <col min="106" max="106" width="14.7109375" style="129" customWidth="1"/>
    <col min="107" max="107" width="13.85546875" style="129" customWidth="1"/>
    <col min="108" max="108" width="15.5703125" style="129" customWidth="1"/>
    <col min="109" max="109" width="14.42578125" style="129" customWidth="1"/>
    <col min="110" max="110" width="14" style="129" customWidth="1"/>
    <col min="111" max="111" width="11.28515625" style="129" customWidth="1"/>
    <col min="112" max="112" width="12.5703125" style="129" customWidth="1"/>
    <col min="113" max="113" width="13.5703125" style="129" customWidth="1"/>
    <col min="114" max="115" width="12.140625" style="129" customWidth="1"/>
    <col min="116" max="116" width="12.140625" style="130" customWidth="1"/>
    <col min="117" max="118" width="12.140625" style="129" customWidth="1"/>
    <col min="119" max="119" width="12" style="129" customWidth="1"/>
    <col min="120" max="121" width="12.140625" style="129" customWidth="1"/>
    <col min="122" max="122" width="13.42578125" style="129" customWidth="1"/>
    <col min="123" max="123" width="16.42578125" style="129" customWidth="1"/>
    <col min="124" max="124" width="14.42578125" style="129" customWidth="1"/>
    <col min="125" max="125" width="18" style="129" customWidth="1"/>
    <col min="126" max="126" width="15.140625" style="129" customWidth="1"/>
    <col min="127" max="127" width="17.42578125" style="129" customWidth="1"/>
    <col min="128" max="128" width="18.28515625" style="129" customWidth="1"/>
    <col min="129" max="129" width="17.7109375" style="129" customWidth="1"/>
    <col min="130" max="130" width="18" style="129" customWidth="1"/>
    <col min="131" max="131" width="18.140625" style="129" customWidth="1"/>
    <col min="132" max="132" width="18" style="129" customWidth="1"/>
    <col min="133" max="133" width="17.5703125" style="129" customWidth="1"/>
    <col min="134" max="134" width="16.42578125" style="129" customWidth="1"/>
    <col min="135" max="135" width="19.5703125" style="129" customWidth="1"/>
    <col min="136" max="136" width="19.28515625" style="129" customWidth="1"/>
    <col min="137" max="137" width="17.85546875" style="129" customWidth="1"/>
    <col min="138" max="138" width="20" style="129" customWidth="1"/>
    <col min="139" max="139" width="23.5703125" style="129" customWidth="1"/>
    <col min="140" max="140" width="17.85546875" style="129" customWidth="1"/>
    <col min="141" max="142" width="13.28515625" style="129" bestFit="1" customWidth="1"/>
    <col min="143" max="16384" width="9.140625" style="129"/>
  </cols>
  <sheetData>
    <row r="1" spans="1:148" s="120" customFormat="1" x14ac:dyDescent="0.2">
      <c r="A1" s="139"/>
      <c r="B1" s="120">
        <v>2003</v>
      </c>
      <c r="C1" s="120">
        <v>2003</v>
      </c>
      <c r="D1" s="120">
        <v>2004</v>
      </c>
      <c r="E1" s="120">
        <v>2004</v>
      </c>
      <c r="F1" s="120">
        <v>2004</v>
      </c>
      <c r="G1" s="120">
        <v>2004</v>
      </c>
      <c r="H1" s="120">
        <v>2004</v>
      </c>
      <c r="I1" s="120">
        <v>2004</v>
      </c>
      <c r="J1" s="120">
        <v>2004</v>
      </c>
      <c r="K1" s="120">
        <v>2004</v>
      </c>
      <c r="L1" s="120">
        <v>2004</v>
      </c>
      <c r="M1" s="120">
        <v>2004</v>
      </c>
      <c r="N1" s="120">
        <v>2004</v>
      </c>
      <c r="O1" s="120">
        <v>2004</v>
      </c>
      <c r="P1" s="120">
        <v>2005</v>
      </c>
      <c r="Q1" s="120">
        <v>2005</v>
      </c>
      <c r="R1" s="120">
        <v>2005</v>
      </c>
      <c r="S1" s="120">
        <v>2005</v>
      </c>
      <c r="T1" s="120">
        <v>2005</v>
      </c>
      <c r="U1" s="120">
        <v>2005</v>
      </c>
      <c r="V1" s="120">
        <v>2005</v>
      </c>
      <c r="W1" s="120">
        <v>2005</v>
      </c>
      <c r="X1" s="120">
        <v>2005</v>
      </c>
      <c r="Y1" s="120">
        <v>2005</v>
      </c>
      <c r="Z1" s="120">
        <v>2005</v>
      </c>
      <c r="AA1" s="120">
        <v>2005</v>
      </c>
      <c r="AB1" s="120">
        <v>2006</v>
      </c>
      <c r="AC1" s="120">
        <v>2006</v>
      </c>
      <c r="AD1" s="120">
        <v>2006</v>
      </c>
      <c r="AE1" s="120">
        <v>2006</v>
      </c>
      <c r="AF1" s="120">
        <v>2006</v>
      </c>
      <c r="AG1" s="120">
        <v>2006</v>
      </c>
      <c r="AH1" s="120">
        <v>2006</v>
      </c>
      <c r="AI1" s="120">
        <v>2006</v>
      </c>
      <c r="AJ1" s="120">
        <v>2006</v>
      </c>
      <c r="AK1" s="120">
        <v>2006</v>
      </c>
      <c r="AL1" s="120">
        <v>2006</v>
      </c>
      <c r="AM1" s="120">
        <v>2006</v>
      </c>
      <c r="AN1" s="120">
        <v>2007</v>
      </c>
      <c r="AO1" s="120">
        <v>2007</v>
      </c>
      <c r="AP1" s="120">
        <v>2007</v>
      </c>
      <c r="AQ1" s="120">
        <v>2007</v>
      </c>
      <c r="AR1" s="120">
        <v>2007</v>
      </c>
      <c r="AS1" s="120">
        <v>2007</v>
      </c>
      <c r="AT1" s="120">
        <v>2007</v>
      </c>
      <c r="AU1" s="120">
        <v>2007</v>
      </c>
      <c r="AV1" s="120">
        <v>2007</v>
      </c>
      <c r="AW1" s="120">
        <v>2007</v>
      </c>
      <c r="AX1" s="120">
        <v>2007</v>
      </c>
      <c r="AY1" s="120">
        <v>2007</v>
      </c>
      <c r="AZ1" s="120">
        <v>2008</v>
      </c>
      <c r="BA1" s="120">
        <v>2008</v>
      </c>
      <c r="BB1" s="120">
        <v>2008</v>
      </c>
      <c r="BC1" s="120">
        <v>2008</v>
      </c>
      <c r="BD1" s="120">
        <v>2008</v>
      </c>
      <c r="BE1" s="120">
        <v>2008</v>
      </c>
      <c r="BF1" s="120">
        <v>2008</v>
      </c>
      <c r="BG1" s="120">
        <v>2008</v>
      </c>
      <c r="BH1" s="120">
        <v>2008</v>
      </c>
      <c r="BI1" s="120">
        <v>2008</v>
      </c>
      <c r="BJ1" s="120">
        <v>2008</v>
      </c>
      <c r="BK1" s="120">
        <v>2008</v>
      </c>
      <c r="BL1" s="140">
        <v>2009</v>
      </c>
      <c r="BM1" s="140">
        <v>2009</v>
      </c>
      <c r="BN1" s="140">
        <v>2009</v>
      </c>
      <c r="BO1" s="140">
        <v>2009</v>
      </c>
      <c r="BP1" s="140">
        <v>2009</v>
      </c>
      <c r="BQ1" s="140">
        <v>2009</v>
      </c>
      <c r="BR1" s="140">
        <v>2009</v>
      </c>
      <c r="BS1" s="140">
        <v>2009</v>
      </c>
      <c r="BT1" s="140">
        <v>2009</v>
      </c>
      <c r="BU1" s="140">
        <v>2009</v>
      </c>
      <c r="BV1" s="140">
        <v>2009</v>
      </c>
      <c r="BW1" s="140">
        <v>2009</v>
      </c>
      <c r="BX1" s="140">
        <v>2010</v>
      </c>
      <c r="BY1" s="140">
        <v>2010</v>
      </c>
      <c r="BZ1" s="140">
        <v>2010</v>
      </c>
      <c r="CA1" s="140">
        <v>2010</v>
      </c>
      <c r="CB1" s="140">
        <v>2010</v>
      </c>
      <c r="CC1" s="140">
        <v>2010</v>
      </c>
      <c r="CD1" s="140">
        <v>2010</v>
      </c>
      <c r="CE1" s="140">
        <v>2010</v>
      </c>
      <c r="CF1" s="140">
        <v>2010</v>
      </c>
      <c r="CG1" s="140">
        <v>2010</v>
      </c>
      <c r="CH1" s="140">
        <v>2010</v>
      </c>
      <c r="CI1" s="119">
        <v>2010</v>
      </c>
      <c r="CJ1" s="119">
        <v>2011</v>
      </c>
      <c r="CK1" s="120">
        <v>2011</v>
      </c>
      <c r="CL1" s="120">
        <v>2011</v>
      </c>
      <c r="CM1" s="120">
        <v>2011</v>
      </c>
      <c r="CN1" s="120">
        <v>2011</v>
      </c>
      <c r="CO1" s="120">
        <v>2011</v>
      </c>
      <c r="CP1" s="120">
        <v>2011</v>
      </c>
      <c r="CQ1" s="120">
        <v>2011</v>
      </c>
      <c r="CR1" s="120">
        <v>2011</v>
      </c>
      <c r="CS1" s="120">
        <v>2011</v>
      </c>
      <c r="CT1" s="120">
        <v>2011</v>
      </c>
      <c r="CU1" s="120">
        <v>2011</v>
      </c>
      <c r="CV1" s="120">
        <v>2012</v>
      </c>
      <c r="CW1" s="120">
        <v>2012</v>
      </c>
      <c r="CX1" s="120">
        <v>2012</v>
      </c>
      <c r="CY1" s="120">
        <v>2012</v>
      </c>
      <c r="CZ1" s="120">
        <v>2012</v>
      </c>
      <c r="DA1" s="120">
        <v>2012</v>
      </c>
      <c r="DB1" s="120">
        <v>2012</v>
      </c>
      <c r="DC1" s="120">
        <v>2012</v>
      </c>
      <c r="DD1" s="120">
        <v>2012</v>
      </c>
      <c r="DE1" s="120">
        <v>2012</v>
      </c>
      <c r="DF1" s="120">
        <v>2012</v>
      </c>
      <c r="DG1" s="120">
        <v>2012</v>
      </c>
      <c r="DH1" s="120">
        <v>2013</v>
      </c>
      <c r="DI1" s="120">
        <v>2013</v>
      </c>
      <c r="DJ1" s="120">
        <v>2013</v>
      </c>
      <c r="DK1" s="120">
        <v>2013</v>
      </c>
      <c r="DL1" s="121">
        <v>2013</v>
      </c>
      <c r="DM1" s="120">
        <v>2013</v>
      </c>
      <c r="DN1" s="120">
        <v>2013</v>
      </c>
      <c r="DO1" s="120">
        <v>2013</v>
      </c>
      <c r="DP1" s="120">
        <v>2013</v>
      </c>
      <c r="DQ1" s="120">
        <v>2013</v>
      </c>
      <c r="DR1" s="120">
        <v>2013</v>
      </c>
      <c r="DS1" s="120">
        <v>2013</v>
      </c>
      <c r="DT1" s="120">
        <v>2014</v>
      </c>
      <c r="DU1" s="120">
        <v>2014</v>
      </c>
      <c r="DV1" s="120">
        <v>2014</v>
      </c>
      <c r="DW1" s="120">
        <v>2014</v>
      </c>
      <c r="DX1" s="120">
        <v>2014</v>
      </c>
      <c r="DY1" s="120">
        <v>2014</v>
      </c>
      <c r="DZ1" s="120">
        <v>2014</v>
      </c>
      <c r="EA1" s="120">
        <v>2014</v>
      </c>
      <c r="EB1" s="120">
        <v>2014</v>
      </c>
      <c r="EC1" s="120">
        <v>2014</v>
      </c>
      <c r="ED1" s="120">
        <v>2014</v>
      </c>
      <c r="EE1" s="120">
        <v>2014</v>
      </c>
      <c r="EF1" s="120">
        <v>2015</v>
      </c>
      <c r="EG1" s="120">
        <v>2015</v>
      </c>
      <c r="EH1" s="120">
        <v>2015</v>
      </c>
      <c r="EI1" s="120">
        <v>2015</v>
      </c>
      <c r="EJ1" s="120">
        <v>2015</v>
      </c>
      <c r="EK1" s="120">
        <v>2015</v>
      </c>
      <c r="EL1" s="120">
        <v>2015</v>
      </c>
      <c r="EM1" s="120">
        <v>2015</v>
      </c>
      <c r="EN1" s="120">
        <v>2015</v>
      </c>
      <c r="EO1" s="120">
        <v>2015</v>
      </c>
      <c r="EP1" s="120">
        <v>2015</v>
      </c>
      <c r="EQ1" s="120">
        <v>2015</v>
      </c>
      <c r="ER1" s="120">
        <v>2016</v>
      </c>
    </row>
    <row r="2" spans="1:148" s="120" customFormat="1" x14ac:dyDescent="0.2">
      <c r="A2" s="121"/>
      <c r="B2" s="120" t="s">
        <v>171</v>
      </c>
      <c r="C2" s="120" t="s">
        <v>172</v>
      </c>
      <c r="D2" s="120" t="s">
        <v>173</v>
      </c>
      <c r="E2" s="120" t="s">
        <v>174</v>
      </c>
      <c r="F2" s="120" t="s">
        <v>175</v>
      </c>
      <c r="G2" s="120" t="s">
        <v>176</v>
      </c>
      <c r="H2" s="120" t="s">
        <v>177</v>
      </c>
      <c r="I2" s="120" t="s">
        <v>178</v>
      </c>
      <c r="J2" s="120" t="s">
        <v>179</v>
      </c>
      <c r="K2" s="120" t="s">
        <v>180</v>
      </c>
      <c r="L2" s="120" t="s">
        <v>181</v>
      </c>
      <c r="M2" s="120" t="s">
        <v>182</v>
      </c>
      <c r="N2" s="120" t="s">
        <v>171</v>
      </c>
      <c r="O2" s="120" t="s">
        <v>172</v>
      </c>
      <c r="P2" s="120" t="s">
        <v>173</v>
      </c>
      <c r="Q2" s="120" t="s">
        <v>174</v>
      </c>
      <c r="R2" s="120" t="s">
        <v>175</v>
      </c>
      <c r="S2" s="120" t="s">
        <v>176</v>
      </c>
      <c r="T2" s="120" t="s">
        <v>177</v>
      </c>
      <c r="U2" s="120" t="s">
        <v>183</v>
      </c>
      <c r="V2" s="120" t="s">
        <v>184</v>
      </c>
      <c r="W2" s="120" t="s">
        <v>180</v>
      </c>
      <c r="X2" s="120" t="s">
        <v>185</v>
      </c>
      <c r="Y2" s="120" t="s">
        <v>182</v>
      </c>
      <c r="Z2" s="120" t="s">
        <v>171</v>
      </c>
      <c r="AA2" s="120" t="s">
        <v>172</v>
      </c>
      <c r="AB2" s="120" t="s">
        <v>173</v>
      </c>
      <c r="AC2" s="120" t="s">
        <v>174</v>
      </c>
      <c r="AD2" s="120" t="s">
        <v>175</v>
      </c>
      <c r="AE2" s="120" t="s">
        <v>176</v>
      </c>
      <c r="AF2" s="120" t="s">
        <v>177</v>
      </c>
      <c r="AG2" s="120" t="s">
        <v>183</v>
      </c>
      <c r="AH2" s="120" t="s">
        <v>184</v>
      </c>
      <c r="AI2" s="120" t="s">
        <v>180</v>
      </c>
      <c r="AJ2" s="120" t="s">
        <v>181</v>
      </c>
      <c r="AK2" s="120" t="s">
        <v>182</v>
      </c>
      <c r="AL2" s="120" t="s">
        <v>171</v>
      </c>
      <c r="AM2" s="120" t="s">
        <v>172</v>
      </c>
      <c r="AN2" s="120" t="s">
        <v>173</v>
      </c>
      <c r="AO2" s="120" t="s">
        <v>174</v>
      </c>
      <c r="AP2" s="120" t="s">
        <v>175</v>
      </c>
      <c r="AQ2" s="120" t="s">
        <v>176</v>
      </c>
      <c r="AR2" s="120" t="s">
        <v>177</v>
      </c>
      <c r="AS2" s="120" t="s">
        <v>183</v>
      </c>
      <c r="AT2" s="120" t="s">
        <v>184</v>
      </c>
      <c r="AU2" s="120" t="s">
        <v>180</v>
      </c>
      <c r="AV2" s="120" t="s">
        <v>181</v>
      </c>
      <c r="AW2" s="120" t="s">
        <v>182</v>
      </c>
      <c r="AX2" s="120" t="s">
        <v>171</v>
      </c>
      <c r="AY2" s="120" t="s">
        <v>172</v>
      </c>
      <c r="AZ2" s="120" t="s">
        <v>173</v>
      </c>
      <c r="BA2" s="120" t="s">
        <v>174</v>
      </c>
      <c r="BB2" s="120" t="s">
        <v>175</v>
      </c>
      <c r="BC2" s="120" t="s">
        <v>176</v>
      </c>
      <c r="BD2" s="120" t="s">
        <v>177</v>
      </c>
      <c r="BE2" s="120" t="s">
        <v>178</v>
      </c>
      <c r="BF2" s="120" t="s">
        <v>179</v>
      </c>
      <c r="BG2" s="120" t="s">
        <v>180</v>
      </c>
      <c r="BH2" s="141" t="s">
        <v>185</v>
      </c>
      <c r="BI2" s="141" t="s">
        <v>182</v>
      </c>
      <c r="BJ2" s="141" t="s">
        <v>171</v>
      </c>
      <c r="BK2" s="141" t="s">
        <v>172</v>
      </c>
      <c r="BL2" s="142" t="s">
        <v>173</v>
      </c>
      <c r="BM2" s="142" t="s">
        <v>174</v>
      </c>
      <c r="BN2" s="142" t="s">
        <v>175</v>
      </c>
      <c r="BO2" s="142" t="s">
        <v>176</v>
      </c>
      <c r="BP2" s="142" t="s">
        <v>177</v>
      </c>
      <c r="BQ2" s="142" t="s">
        <v>183</v>
      </c>
      <c r="BR2" s="142" t="s">
        <v>184</v>
      </c>
      <c r="BS2" s="142" t="s">
        <v>180</v>
      </c>
      <c r="BT2" s="142" t="s">
        <v>185</v>
      </c>
      <c r="BU2" s="142" t="s">
        <v>182</v>
      </c>
      <c r="BV2" s="142" t="s">
        <v>171</v>
      </c>
      <c r="BW2" s="142" t="s">
        <v>172</v>
      </c>
      <c r="BX2" s="142" t="s">
        <v>173</v>
      </c>
      <c r="BY2" s="142" t="s">
        <v>174</v>
      </c>
      <c r="BZ2" s="142" t="s">
        <v>175</v>
      </c>
      <c r="CA2" s="142" t="s">
        <v>176</v>
      </c>
      <c r="CB2" s="142" t="s">
        <v>177</v>
      </c>
      <c r="CC2" s="142" t="s">
        <v>183</v>
      </c>
      <c r="CD2" s="142" t="s">
        <v>184</v>
      </c>
      <c r="CE2" s="142" t="s">
        <v>180</v>
      </c>
      <c r="CF2" s="142" t="s">
        <v>185</v>
      </c>
      <c r="CG2" s="142" t="s">
        <v>182</v>
      </c>
      <c r="CH2" s="142" t="s">
        <v>171</v>
      </c>
      <c r="CI2" s="119" t="s">
        <v>172</v>
      </c>
      <c r="CJ2" s="119" t="s">
        <v>173</v>
      </c>
      <c r="CK2" s="120" t="s">
        <v>174</v>
      </c>
      <c r="CL2" s="120" t="s">
        <v>175</v>
      </c>
      <c r="CM2" s="120" t="s">
        <v>176</v>
      </c>
      <c r="CN2" s="120" t="s">
        <v>177</v>
      </c>
      <c r="CO2" s="120" t="s">
        <v>183</v>
      </c>
      <c r="CP2" s="120" t="s">
        <v>184</v>
      </c>
      <c r="CQ2" s="120" t="s">
        <v>180</v>
      </c>
      <c r="CR2" s="120" t="s">
        <v>185</v>
      </c>
      <c r="CS2" s="120" t="s">
        <v>182</v>
      </c>
      <c r="CT2" s="120" t="s">
        <v>171</v>
      </c>
      <c r="CU2" s="120" t="s">
        <v>172</v>
      </c>
      <c r="CV2" s="120" t="s">
        <v>173</v>
      </c>
      <c r="CW2" s="120" t="s">
        <v>174</v>
      </c>
      <c r="CX2" s="120" t="s">
        <v>175</v>
      </c>
      <c r="CY2" s="120" t="s">
        <v>176</v>
      </c>
      <c r="CZ2" s="120" t="s">
        <v>177</v>
      </c>
      <c r="DA2" s="120" t="s">
        <v>178</v>
      </c>
      <c r="DB2" s="120" t="s">
        <v>179</v>
      </c>
      <c r="DC2" s="120" t="s">
        <v>180</v>
      </c>
      <c r="DD2" s="120" t="s">
        <v>181</v>
      </c>
      <c r="DE2" s="120" t="s">
        <v>182</v>
      </c>
      <c r="DF2" s="120" t="s">
        <v>171</v>
      </c>
      <c r="DG2" s="120" t="s">
        <v>172</v>
      </c>
      <c r="DH2" s="120" t="s">
        <v>173</v>
      </c>
      <c r="DI2" s="120" t="s">
        <v>174</v>
      </c>
      <c r="DJ2" s="120" t="s">
        <v>175</v>
      </c>
      <c r="DK2" s="120" t="s">
        <v>176</v>
      </c>
      <c r="DL2" s="121" t="s">
        <v>177</v>
      </c>
      <c r="DM2" s="120" t="s">
        <v>178</v>
      </c>
      <c r="DN2" s="120" t="s">
        <v>179</v>
      </c>
      <c r="DO2" s="120" t="s">
        <v>180</v>
      </c>
      <c r="DP2" s="120" t="s">
        <v>181</v>
      </c>
      <c r="DQ2" s="120" t="s">
        <v>182</v>
      </c>
      <c r="DR2" s="120" t="s">
        <v>171</v>
      </c>
      <c r="DS2" s="120" t="s">
        <v>172</v>
      </c>
      <c r="DT2" s="120" t="s">
        <v>173</v>
      </c>
      <c r="DU2" s="120" t="s">
        <v>174</v>
      </c>
      <c r="DV2" s="120" t="s">
        <v>175</v>
      </c>
      <c r="DW2" s="120" t="s">
        <v>176</v>
      </c>
      <c r="DX2" s="120" t="s">
        <v>177</v>
      </c>
      <c r="DY2" s="120" t="s">
        <v>178</v>
      </c>
      <c r="DZ2" s="120" t="s">
        <v>179</v>
      </c>
      <c r="EA2" s="120" t="s">
        <v>180</v>
      </c>
      <c r="EB2" s="120" t="s">
        <v>181</v>
      </c>
      <c r="EC2" s="120" t="s">
        <v>182</v>
      </c>
      <c r="ED2" s="120" t="s">
        <v>171</v>
      </c>
      <c r="EE2" s="120" t="s">
        <v>172</v>
      </c>
      <c r="EF2" s="120" t="s">
        <v>173</v>
      </c>
      <c r="EG2" s="120" t="s">
        <v>174</v>
      </c>
      <c r="EH2" s="120" t="s">
        <v>175</v>
      </c>
      <c r="EI2" s="120" t="s">
        <v>176</v>
      </c>
      <c r="EJ2" s="120" t="s">
        <v>177</v>
      </c>
      <c r="EK2" s="120" t="s">
        <v>178</v>
      </c>
      <c r="EL2" s="120" t="s">
        <v>179</v>
      </c>
      <c r="EM2" s="120" t="s">
        <v>180</v>
      </c>
      <c r="EN2" s="120" t="s">
        <v>181</v>
      </c>
      <c r="EO2" s="120" t="s">
        <v>182</v>
      </c>
      <c r="EP2" s="120" t="s">
        <v>171</v>
      </c>
      <c r="EQ2" s="120" t="s">
        <v>172</v>
      </c>
      <c r="ER2" s="120" t="s">
        <v>173</v>
      </c>
    </row>
    <row r="3" spans="1:148" x14ac:dyDescent="0.2">
      <c r="A3" s="143" t="s">
        <v>186</v>
      </c>
      <c r="B3" s="144"/>
      <c r="C3" s="145"/>
      <c r="D3" s="145"/>
      <c r="E3" s="145"/>
      <c r="F3" s="145"/>
      <c r="G3" s="145"/>
      <c r="H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c r="BR3" s="145"/>
      <c r="BS3" s="145"/>
      <c r="BT3" s="145"/>
      <c r="BU3" s="145"/>
      <c r="BV3" s="145"/>
      <c r="BW3" s="145"/>
      <c r="BX3" s="145"/>
      <c r="BY3" s="145"/>
      <c r="BZ3" s="145"/>
      <c r="CA3" s="145"/>
      <c r="CB3" s="145"/>
      <c r="CC3" s="145"/>
      <c r="CD3" s="145"/>
      <c r="CE3" s="145"/>
      <c r="CF3" s="145"/>
      <c r="CG3" s="145"/>
      <c r="CH3" s="145"/>
      <c r="CI3" s="145"/>
      <c r="CJ3" s="145"/>
      <c r="CK3" s="145"/>
      <c r="CL3" s="145"/>
      <c r="CM3" s="145"/>
      <c r="CN3" s="145"/>
      <c r="CO3" s="145"/>
      <c r="CP3" s="145"/>
      <c r="CQ3" s="145"/>
      <c r="CR3" s="145"/>
      <c r="CS3" s="145"/>
      <c r="CT3" s="145"/>
      <c r="CU3" s="145"/>
      <c r="CV3" s="145"/>
      <c r="CW3" s="145"/>
      <c r="CX3" s="145"/>
      <c r="CY3" s="145"/>
      <c r="CZ3" s="145"/>
      <c r="DA3" s="145"/>
      <c r="DB3" s="145"/>
      <c r="DC3" s="145"/>
      <c r="DD3" s="145"/>
      <c r="DE3" s="145"/>
      <c r="DF3" s="145"/>
      <c r="DG3" s="145"/>
      <c r="DH3" s="145"/>
      <c r="DI3" s="145"/>
      <c r="DJ3" s="145"/>
      <c r="DK3" s="145"/>
      <c r="DL3" s="145"/>
      <c r="DM3" s="145"/>
      <c r="DN3" s="145"/>
      <c r="DO3" s="145"/>
      <c r="DP3" s="145"/>
      <c r="DQ3" s="145"/>
      <c r="DR3" s="145"/>
      <c r="DS3" s="145"/>
      <c r="DT3" s="145"/>
      <c r="DU3" s="145"/>
      <c r="DV3" s="145"/>
      <c r="DW3" s="145"/>
      <c r="DX3" s="145"/>
      <c r="DY3" s="145"/>
      <c r="DZ3" s="145"/>
      <c r="EA3" s="145"/>
      <c r="EB3" s="145"/>
      <c r="EC3" s="145"/>
      <c r="ED3" s="145"/>
      <c r="EE3" s="145"/>
      <c r="EF3" s="145"/>
      <c r="EG3" s="145"/>
      <c r="EH3" s="145"/>
      <c r="EI3" s="145"/>
      <c r="EJ3" s="145"/>
      <c r="EK3" s="145"/>
      <c r="EL3" s="145"/>
      <c r="EM3" s="145"/>
      <c r="EN3" s="145"/>
      <c r="EO3" s="145"/>
      <c r="EP3" s="145"/>
      <c r="EQ3" s="145"/>
      <c r="ER3" s="145"/>
    </row>
    <row r="4" spans="1:148" ht="15" x14ac:dyDescent="0.25">
      <c r="A4" s="146" t="s">
        <v>187</v>
      </c>
      <c r="B4" s="147">
        <v>5</v>
      </c>
      <c r="C4" s="147">
        <v>6</v>
      </c>
      <c r="D4" s="147">
        <v>8</v>
      </c>
      <c r="E4" s="147">
        <v>10</v>
      </c>
      <c r="F4" s="147">
        <v>11</v>
      </c>
      <c r="G4" s="147">
        <v>10</v>
      </c>
      <c r="H4" s="147">
        <v>11</v>
      </c>
      <c r="I4" s="147">
        <v>11</v>
      </c>
      <c r="J4" s="147">
        <v>7</v>
      </c>
      <c r="K4" s="147">
        <v>8</v>
      </c>
      <c r="L4" s="147">
        <v>9</v>
      </c>
      <c r="M4" s="147">
        <v>11</v>
      </c>
      <c r="N4" s="147">
        <v>14</v>
      </c>
      <c r="O4" s="147">
        <v>6</v>
      </c>
      <c r="P4" s="147">
        <v>3</v>
      </c>
      <c r="Q4" s="147">
        <v>7</v>
      </c>
      <c r="R4" s="147">
        <v>5</v>
      </c>
      <c r="S4" s="147">
        <v>9</v>
      </c>
      <c r="T4" s="147">
        <v>14</v>
      </c>
      <c r="U4" s="147">
        <v>11</v>
      </c>
      <c r="V4" s="147">
        <v>6</v>
      </c>
      <c r="W4" s="147">
        <v>14</v>
      </c>
      <c r="X4" s="147">
        <v>13</v>
      </c>
      <c r="Y4" s="130">
        <v>12</v>
      </c>
      <c r="Z4" s="130">
        <v>10</v>
      </c>
      <c r="AA4" s="147">
        <v>7</v>
      </c>
      <c r="AB4" s="147">
        <v>15</v>
      </c>
      <c r="AC4" s="147">
        <v>14</v>
      </c>
      <c r="AD4" s="147">
        <v>9</v>
      </c>
      <c r="AE4" s="147">
        <v>10</v>
      </c>
      <c r="AF4" s="148">
        <v>10</v>
      </c>
      <c r="AG4" s="148">
        <v>11</v>
      </c>
      <c r="AH4" s="148">
        <v>5</v>
      </c>
      <c r="AI4" s="148">
        <v>15</v>
      </c>
      <c r="AJ4" s="148">
        <v>9</v>
      </c>
      <c r="AK4" s="148">
        <v>8</v>
      </c>
      <c r="AL4" s="130">
        <v>4</v>
      </c>
      <c r="AM4" s="130">
        <v>13</v>
      </c>
      <c r="AN4" s="130">
        <v>11</v>
      </c>
      <c r="AO4" s="130">
        <v>9</v>
      </c>
      <c r="AP4" s="130">
        <v>8</v>
      </c>
      <c r="AQ4" s="130">
        <v>7</v>
      </c>
      <c r="AR4" s="130">
        <v>4</v>
      </c>
      <c r="AS4" s="130">
        <v>10</v>
      </c>
      <c r="AT4" s="130">
        <v>8</v>
      </c>
      <c r="AU4" s="130">
        <v>5</v>
      </c>
      <c r="AV4" s="130">
        <v>6</v>
      </c>
      <c r="AW4" s="130">
        <v>5</v>
      </c>
      <c r="AX4" s="130">
        <v>12</v>
      </c>
      <c r="AY4" s="130">
        <v>12</v>
      </c>
      <c r="AZ4" s="130">
        <v>6</v>
      </c>
      <c r="BA4" s="130">
        <v>4</v>
      </c>
      <c r="BB4" s="130">
        <v>9</v>
      </c>
      <c r="BC4" s="130">
        <v>5</v>
      </c>
      <c r="BD4" s="130">
        <v>7</v>
      </c>
      <c r="BE4" s="130">
        <v>6</v>
      </c>
      <c r="BF4" s="130">
        <v>6</v>
      </c>
      <c r="BG4" s="130">
        <v>9</v>
      </c>
      <c r="BH4" s="130">
        <v>8</v>
      </c>
      <c r="BI4" s="8">
        <v>7</v>
      </c>
      <c r="BJ4" s="8">
        <v>8</v>
      </c>
      <c r="BK4" s="8">
        <v>6</v>
      </c>
      <c r="BL4" s="8">
        <v>9</v>
      </c>
      <c r="BM4" s="8">
        <v>8</v>
      </c>
      <c r="BN4" s="8">
        <v>8</v>
      </c>
      <c r="BO4" s="8">
        <v>6</v>
      </c>
      <c r="BP4" s="8">
        <v>7</v>
      </c>
      <c r="BQ4" s="8">
        <v>2</v>
      </c>
      <c r="BR4" s="8">
        <v>4</v>
      </c>
      <c r="BS4" s="8">
        <v>2</v>
      </c>
      <c r="BT4" s="8">
        <v>7</v>
      </c>
      <c r="BU4" s="8">
        <v>12</v>
      </c>
      <c r="BV4" s="8">
        <v>5</v>
      </c>
      <c r="BW4" s="8">
        <v>3</v>
      </c>
      <c r="BX4" s="8">
        <v>5</v>
      </c>
      <c r="BY4" s="8">
        <v>4</v>
      </c>
      <c r="BZ4" s="8">
        <v>9</v>
      </c>
      <c r="CA4" s="8">
        <v>5</v>
      </c>
      <c r="CB4" s="8">
        <v>7</v>
      </c>
      <c r="CC4" s="8">
        <v>12</v>
      </c>
      <c r="CD4" s="8">
        <v>11</v>
      </c>
      <c r="CE4" s="8">
        <v>3</v>
      </c>
      <c r="CF4" s="8">
        <v>6</v>
      </c>
      <c r="CG4" s="8">
        <v>2</v>
      </c>
      <c r="CH4" s="8">
        <v>7</v>
      </c>
      <c r="CI4" s="149">
        <v>4</v>
      </c>
      <c r="CJ4" s="149">
        <v>3</v>
      </c>
      <c r="CK4" s="130">
        <v>6</v>
      </c>
      <c r="CL4" s="130">
        <v>7</v>
      </c>
      <c r="CM4" s="130">
        <v>3</v>
      </c>
      <c r="CN4" s="130">
        <v>8</v>
      </c>
      <c r="CO4" s="130">
        <v>5</v>
      </c>
      <c r="CP4" s="130">
        <v>6</v>
      </c>
      <c r="CQ4" s="130">
        <v>5</v>
      </c>
      <c r="CR4" s="130">
        <v>5</v>
      </c>
      <c r="CS4" s="130">
        <v>6</v>
      </c>
      <c r="CT4" s="130">
        <v>1</v>
      </c>
      <c r="CU4" s="130">
        <v>5</v>
      </c>
      <c r="CV4" s="130">
        <v>3</v>
      </c>
      <c r="CW4" s="130">
        <v>8</v>
      </c>
      <c r="CX4" s="130">
        <v>4</v>
      </c>
      <c r="CY4" s="130">
        <v>4</v>
      </c>
      <c r="CZ4" s="130">
        <v>3</v>
      </c>
      <c r="DA4" s="130">
        <v>5</v>
      </c>
      <c r="DB4" s="130">
        <v>4</v>
      </c>
      <c r="DC4" s="130">
        <v>8</v>
      </c>
      <c r="DD4" s="130">
        <v>2</v>
      </c>
      <c r="DE4" s="130">
        <v>5</v>
      </c>
      <c r="DF4" s="130">
        <v>4</v>
      </c>
      <c r="DG4" s="150">
        <v>5</v>
      </c>
      <c r="DH4" s="130">
        <v>13</v>
      </c>
      <c r="DI4" s="130">
        <v>3</v>
      </c>
      <c r="DJ4" s="130">
        <v>3</v>
      </c>
      <c r="DK4" s="130">
        <v>9</v>
      </c>
      <c r="DL4" s="130">
        <v>3</v>
      </c>
      <c r="DM4" s="130">
        <v>4</v>
      </c>
      <c r="DN4" s="130">
        <v>2</v>
      </c>
      <c r="DO4" s="130">
        <v>0</v>
      </c>
      <c r="DP4" s="130">
        <v>10</v>
      </c>
      <c r="DQ4" s="130">
        <v>5</v>
      </c>
      <c r="DR4" s="130">
        <v>2</v>
      </c>
      <c r="DS4" s="130">
        <v>11</v>
      </c>
      <c r="DT4" s="130">
        <v>5</v>
      </c>
      <c r="DU4" s="130">
        <v>9</v>
      </c>
      <c r="DV4" s="151">
        <v>6</v>
      </c>
      <c r="DW4" s="151">
        <v>4</v>
      </c>
      <c r="DX4" s="151">
        <v>5</v>
      </c>
      <c r="DY4" s="151">
        <v>6</v>
      </c>
      <c r="DZ4" s="151">
        <v>6</v>
      </c>
      <c r="EA4" s="151">
        <v>4</v>
      </c>
      <c r="EB4" s="151">
        <v>6</v>
      </c>
      <c r="EC4" s="151">
        <v>4</v>
      </c>
      <c r="ED4" s="151">
        <v>4</v>
      </c>
      <c r="EE4" s="151">
        <v>4</v>
      </c>
      <c r="EF4" s="151">
        <v>6</v>
      </c>
      <c r="EG4" s="151">
        <v>6</v>
      </c>
      <c r="EH4" s="151">
        <v>4</v>
      </c>
      <c r="EI4" s="151">
        <v>7</v>
      </c>
      <c r="EJ4" s="151">
        <v>8</v>
      </c>
      <c r="EK4" s="151">
        <v>5</v>
      </c>
      <c r="EL4" s="151">
        <v>6</v>
      </c>
      <c r="EM4" s="151">
        <v>7</v>
      </c>
      <c r="EN4" s="151">
        <v>4</v>
      </c>
      <c r="EO4" s="151">
        <v>5</v>
      </c>
      <c r="EP4" s="151">
        <v>2</v>
      </c>
      <c r="EQ4" s="151">
        <v>4</v>
      </c>
      <c r="ER4" s="151">
        <v>5</v>
      </c>
    </row>
    <row r="5" spans="1:148" ht="15" x14ac:dyDescent="0.25">
      <c r="A5" s="146" t="s">
        <v>188</v>
      </c>
      <c r="B5" s="152">
        <v>719</v>
      </c>
      <c r="C5" s="152">
        <v>715</v>
      </c>
      <c r="D5" s="152">
        <v>751</v>
      </c>
      <c r="E5" s="152">
        <v>887</v>
      </c>
      <c r="F5" s="152">
        <v>831</v>
      </c>
      <c r="G5" s="152">
        <v>542</v>
      </c>
      <c r="H5" s="152">
        <v>442</v>
      </c>
      <c r="I5" s="152">
        <v>518</v>
      </c>
      <c r="J5" s="152">
        <v>545</v>
      </c>
      <c r="K5" s="152">
        <v>635</v>
      </c>
      <c r="L5" s="152">
        <v>645</v>
      </c>
      <c r="M5" s="152">
        <v>653</v>
      </c>
      <c r="N5" s="152">
        <v>923</v>
      </c>
      <c r="O5" s="152">
        <v>872</v>
      </c>
      <c r="P5" s="152">
        <v>653</v>
      </c>
      <c r="Q5" s="152">
        <v>481</v>
      </c>
      <c r="R5" s="152">
        <v>600</v>
      </c>
      <c r="S5" s="152">
        <v>479</v>
      </c>
      <c r="T5" s="152">
        <v>839</v>
      </c>
      <c r="U5" s="152">
        <v>1135</v>
      </c>
      <c r="V5" s="152">
        <v>698</v>
      </c>
      <c r="W5" s="152">
        <v>964</v>
      </c>
      <c r="X5" s="152">
        <v>1164</v>
      </c>
      <c r="Y5" s="147">
        <v>399</v>
      </c>
      <c r="Z5" s="147">
        <v>247.5</v>
      </c>
      <c r="AA5" s="147">
        <v>240</v>
      </c>
      <c r="AB5" s="147">
        <v>335.25</v>
      </c>
      <c r="AC5" s="147">
        <v>386.25</v>
      </c>
      <c r="AD5" s="147">
        <v>305.7</v>
      </c>
      <c r="AE5" s="147">
        <v>71.25</v>
      </c>
      <c r="AF5" s="153">
        <v>47.25</v>
      </c>
      <c r="AG5" s="153">
        <v>144</v>
      </c>
      <c r="AH5" s="153">
        <v>108.75</v>
      </c>
      <c r="AI5" s="153">
        <v>259.5</v>
      </c>
      <c r="AJ5" s="153">
        <v>249</v>
      </c>
      <c r="AK5" s="153">
        <v>150.75</v>
      </c>
      <c r="AL5" s="130">
        <v>155.25</v>
      </c>
      <c r="AM5" s="130">
        <v>282</v>
      </c>
      <c r="AN5" s="130">
        <v>23.25</v>
      </c>
      <c r="AO5" s="130">
        <v>31.5</v>
      </c>
      <c r="AP5" s="130">
        <v>9.75</v>
      </c>
      <c r="AQ5" s="130">
        <v>12.074999999999999</v>
      </c>
      <c r="AR5" s="130">
        <v>39.75</v>
      </c>
      <c r="AS5" s="130">
        <v>33</v>
      </c>
      <c r="AT5" s="130">
        <v>0</v>
      </c>
      <c r="AU5" s="130">
        <v>36</v>
      </c>
      <c r="AV5" s="130">
        <v>10.5</v>
      </c>
      <c r="AW5" s="130">
        <v>37.5</v>
      </c>
      <c r="AX5" s="130">
        <v>15</v>
      </c>
      <c r="AY5" s="130">
        <v>32.25</v>
      </c>
      <c r="AZ5" s="130">
        <v>22.5</v>
      </c>
      <c r="BA5" s="130">
        <v>0</v>
      </c>
      <c r="BB5" s="130">
        <v>165</v>
      </c>
      <c r="BC5" s="130">
        <v>97.5</v>
      </c>
      <c r="BD5" s="130">
        <v>74.25</v>
      </c>
      <c r="BE5" s="130">
        <v>34</v>
      </c>
      <c r="BF5" s="130">
        <v>117</v>
      </c>
      <c r="BG5" s="130">
        <v>105</v>
      </c>
      <c r="BH5" s="130">
        <v>51.75</v>
      </c>
      <c r="BI5" s="8">
        <v>24.75</v>
      </c>
      <c r="BJ5" s="8">
        <v>21.75</v>
      </c>
      <c r="BK5" s="8">
        <v>133.5</v>
      </c>
      <c r="BL5" s="8">
        <v>69</v>
      </c>
      <c r="BM5" s="8">
        <v>33.75</v>
      </c>
      <c r="BN5" s="8">
        <v>22.5</v>
      </c>
      <c r="BO5" s="8">
        <v>67.5</v>
      </c>
      <c r="BP5" s="8">
        <v>48.75</v>
      </c>
      <c r="BQ5" s="8">
        <v>27</v>
      </c>
      <c r="BR5" s="8">
        <v>18.5</v>
      </c>
      <c r="BS5" s="8">
        <v>9</v>
      </c>
      <c r="BT5" s="8">
        <v>111.75</v>
      </c>
      <c r="BU5" s="8">
        <v>90.75</v>
      </c>
      <c r="BV5" s="8">
        <v>174.75</v>
      </c>
      <c r="BW5" s="8">
        <v>7.5</v>
      </c>
      <c r="BX5" s="8">
        <v>21</v>
      </c>
      <c r="BY5" s="8">
        <v>26.25</v>
      </c>
      <c r="BZ5" s="8">
        <v>31.5</v>
      </c>
      <c r="CA5" s="8">
        <v>153.75</v>
      </c>
      <c r="CB5" s="8">
        <v>48</v>
      </c>
      <c r="CC5" s="8">
        <v>74.25</v>
      </c>
      <c r="CD5" s="8">
        <v>20.25</v>
      </c>
      <c r="CE5" s="8">
        <v>6</v>
      </c>
      <c r="CF5" s="8">
        <v>56.25</v>
      </c>
      <c r="CG5" s="8">
        <v>266.7</v>
      </c>
      <c r="CH5" s="7">
        <v>295.5</v>
      </c>
      <c r="CI5" s="149">
        <v>286.5</v>
      </c>
      <c r="CJ5" s="149">
        <f>(31.7*7.5)-(5*7.5)</f>
        <v>200.25</v>
      </c>
      <c r="CK5" s="130">
        <f>236.25+(4*7.5)</f>
        <v>266.25</v>
      </c>
      <c r="CL5" s="130">
        <f>286.5+(14.3*7.5)</f>
        <v>393.75</v>
      </c>
      <c r="CM5" s="130">
        <f>300.3+(5.1*7.5)</f>
        <v>338.55</v>
      </c>
      <c r="CN5" s="130">
        <f>-(3.7*7.5)+304.5</f>
        <v>276.75</v>
      </c>
      <c r="CO5" s="130">
        <f>(29.5*7.5)+(0.9*7.5)+(3*7.5)</f>
        <v>250.5</v>
      </c>
      <c r="CP5" s="130">
        <f>309-(4*7.5)+(8.5*7.5)+(4*7.5)</f>
        <v>372.75</v>
      </c>
      <c r="CQ5" s="130">
        <f>(27*7.5)-(3*7.5)</f>
        <v>180</v>
      </c>
      <c r="CR5" s="130">
        <f>21.3*7.5</f>
        <v>159.75</v>
      </c>
      <c r="CS5" s="130">
        <f>(1+6)*7.5</f>
        <v>52.5</v>
      </c>
      <c r="CT5" s="129">
        <f>(1.9+11.9)*7.5</f>
        <v>103.5</v>
      </c>
      <c r="CU5" s="129">
        <f>(1+2+11.9+1.03)*7.5</f>
        <v>119.47499999999999</v>
      </c>
      <c r="CV5" s="129">
        <f>17*7.5</f>
        <v>127.5</v>
      </c>
      <c r="CW5" s="130">
        <f>(1+21)*7.5</f>
        <v>165</v>
      </c>
      <c r="CX5" s="1">
        <f>(2+13.07)*7.5</f>
        <v>113.02500000000001</v>
      </c>
      <c r="CY5" s="1">
        <f>(13.47+1.2+0.33)*7.5</f>
        <v>112.5</v>
      </c>
      <c r="CZ5" s="1">
        <f>(10.07+16)*7.5</f>
        <v>195.52500000000001</v>
      </c>
      <c r="DA5" s="1">
        <f>(1+8+6.6+10.14)*7.5</f>
        <v>193.05</v>
      </c>
      <c r="DB5" s="1">
        <f>(1.73+2+6+4)*7.5</f>
        <v>102.97500000000001</v>
      </c>
      <c r="DC5" s="1">
        <f>(3.27+1+8+1+6)*7.5</f>
        <v>144.52500000000001</v>
      </c>
      <c r="DD5" s="1">
        <f>(3+1+15+9.7+1+1.3)*7.5</f>
        <v>232.5</v>
      </c>
      <c r="DE5" s="1">
        <f>(2+22+21.47)*7.5</f>
        <v>341.02499999999998</v>
      </c>
      <c r="DF5" s="1">
        <f>(1+9+12+13.35+22)*7.5</f>
        <v>430.125</v>
      </c>
      <c r="DG5" s="1">
        <f>(7+1.06+15.79+18+2+6)*7.5</f>
        <v>373.875</v>
      </c>
      <c r="DH5" s="1">
        <f>(3+1+2+2+5.6+2+12.65+12.3+1+12)*7.5</f>
        <v>401.625</v>
      </c>
      <c r="DI5" s="1">
        <f>(4.3+8.01+1+8.81)*7.5</f>
        <v>165.89999999999998</v>
      </c>
      <c r="DJ5" s="1">
        <f>(2+7.5+0.4+13.28)*7.5</f>
        <v>173.85</v>
      </c>
      <c r="DK5" s="1">
        <f>(7.6+9.5)*7.5</f>
        <v>128.25</v>
      </c>
      <c r="DL5" s="1">
        <f>(3+6.6+11.92)*7.5</f>
        <v>161.4</v>
      </c>
      <c r="DM5" s="1">
        <f>(3.7+11.6)*7.5</f>
        <v>114.75</v>
      </c>
      <c r="DN5" s="1">
        <f>(13+2+4.04+13.57)*7.5</f>
        <v>244.57499999999999</v>
      </c>
      <c r="DO5" s="1">
        <f>(2.4+9.5+5.3)*7.5</f>
        <v>129</v>
      </c>
      <c r="DP5" s="1">
        <f>(17.13+5+1+6+6.3+7.9)*7.5</f>
        <v>324.97499999999997</v>
      </c>
      <c r="DQ5" s="129">
        <f>(1+6.3+11.3+4+4+13+9)*7.5</f>
        <v>364.5</v>
      </c>
      <c r="DR5" s="129">
        <f>(6+2+13+3+10.4+7.7+11.5)*7.5</f>
        <v>402</v>
      </c>
      <c r="DS5" s="129">
        <f>(4+3+4.4+5+1+10.7+11.1+3.6)*7.5</f>
        <v>321</v>
      </c>
      <c r="DT5" s="129">
        <f>(1+7.6+9.7+17)*7.5</f>
        <v>264.75</v>
      </c>
      <c r="DU5" s="1">
        <f>(3+9.96+1+16)*7.5</f>
        <v>224.70000000000002</v>
      </c>
      <c r="DV5" s="1">
        <f>(2+12+1+13.9+21+1+17)*7.5</f>
        <v>509.25000000000006</v>
      </c>
      <c r="DW5" s="1">
        <f>(3+19+22+8+14.6+15+4.4)*7.5</f>
        <v>645</v>
      </c>
      <c r="DX5" s="1">
        <f>SUM(13.8,12,11.3,20.5,21,17.3)*7.5</f>
        <v>719.24999999999989</v>
      </c>
      <c r="DY5" s="1">
        <f>(13.2+13+13.9+19.6+21+2+7.5+1)*7.5</f>
        <v>684</v>
      </c>
      <c r="DZ5" s="1">
        <f>(3+15.3+18+10.7+6.3+1)*7.5</f>
        <v>407.25</v>
      </c>
      <c r="EA5" s="1">
        <f>(0.3+6.8+13.9+16+6.8)*7.5</f>
        <v>328.5</v>
      </c>
      <c r="EB5" s="1">
        <f>(5.9+14.6+16+4.2)*7.5</f>
        <v>305.25</v>
      </c>
      <c r="EC5" s="1">
        <f>(5.3+15.3+16)*7.5</f>
        <v>274.5</v>
      </c>
      <c r="ED5" s="1">
        <f>(2+4.7)*7.5</f>
        <v>50.25</v>
      </c>
      <c r="EE5" s="1">
        <f>(6+0.9+5)*7.5</f>
        <v>89.25</v>
      </c>
      <c r="EF5" s="1">
        <f>(0.9+6.5)*7.5</f>
        <v>55.5</v>
      </c>
      <c r="EG5" s="1">
        <f>(1+3.8)*7.5</f>
        <v>36</v>
      </c>
      <c r="EH5" s="1">
        <f>(1+1.3)*7.5</f>
        <v>17.25</v>
      </c>
      <c r="EI5" s="1">
        <f>(4.26+1.7)*7.5</f>
        <v>44.7</v>
      </c>
      <c r="EJ5" s="61">
        <f>(2.6+1.7)*7.5</f>
        <v>32.25</v>
      </c>
      <c r="EK5" s="61">
        <f>(4+5.7)*7.5</f>
        <v>72.75</v>
      </c>
      <c r="EL5" s="61">
        <f>1*7.5</f>
        <v>7.5</v>
      </c>
      <c r="EM5" s="61">
        <f>(1.53)*7.5</f>
        <v>11.475</v>
      </c>
      <c r="EN5" s="154">
        <f>(5+0.8)*7.5</f>
        <v>43.5</v>
      </c>
      <c r="EO5" s="154">
        <f>(1+4)*7.5</f>
        <v>37.5</v>
      </c>
      <c r="EP5" s="154">
        <f>(2.66+5)*7.5</f>
        <v>57.45</v>
      </c>
      <c r="EQ5" s="154">
        <f>(6.06+2)*7.5</f>
        <v>60.449999999999989</v>
      </c>
      <c r="ER5" s="334"/>
    </row>
    <row r="6" spans="1:148" ht="15" x14ac:dyDescent="0.25">
      <c r="A6" s="146" t="s">
        <v>189</v>
      </c>
      <c r="B6" s="152"/>
      <c r="C6" s="152"/>
      <c r="D6" s="152"/>
      <c r="E6" s="152"/>
      <c r="F6" s="152"/>
      <c r="G6" s="152"/>
      <c r="H6" s="152"/>
      <c r="I6" s="152"/>
      <c r="J6" s="152"/>
      <c r="K6" s="152"/>
      <c r="L6" s="152"/>
      <c r="M6" s="152"/>
      <c r="N6" s="152"/>
      <c r="O6" s="152"/>
      <c r="P6" s="152"/>
      <c r="Q6" s="152"/>
      <c r="R6" s="152"/>
      <c r="S6" s="152"/>
      <c r="T6" s="152"/>
      <c r="U6" s="152"/>
      <c r="V6" s="152"/>
      <c r="W6" s="152"/>
      <c r="X6" s="152"/>
      <c r="Y6" s="147"/>
      <c r="Z6" s="147"/>
      <c r="AA6" s="147"/>
      <c r="AB6" s="147"/>
      <c r="AC6" s="147"/>
      <c r="AD6" s="147"/>
      <c r="AE6" s="147"/>
      <c r="AF6" s="153"/>
      <c r="AG6" s="153"/>
      <c r="AH6" s="153"/>
      <c r="AI6" s="153"/>
      <c r="AJ6" s="153"/>
      <c r="AK6" s="153"/>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8">
        <v>24.75</v>
      </c>
      <c r="BJ6" s="8">
        <v>21.75</v>
      </c>
      <c r="BK6" s="8">
        <v>133.5</v>
      </c>
      <c r="BL6" s="8">
        <v>69</v>
      </c>
      <c r="BM6" s="8">
        <v>33.75</v>
      </c>
      <c r="BN6" s="8">
        <v>22.5</v>
      </c>
      <c r="BO6" s="8">
        <v>67.5</v>
      </c>
      <c r="BP6" s="8">
        <v>48.75</v>
      </c>
      <c r="BQ6" s="8">
        <v>27</v>
      </c>
      <c r="BR6" s="8">
        <v>18.5</v>
      </c>
      <c r="BS6" s="8">
        <v>9</v>
      </c>
      <c r="BT6" s="8">
        <v>111.75</v>
      </c>
      <c r="BU6" s="8">
        <v>90.75</v>
      </c>
      <c r="BV6" s="8">
        <v>174.75</v>
      </c>
      <c r="BW6" s="8">
        <v>7.5</v>
      </c>
      <c r="BX6" s="8">
        <v>21</v>
      </c>
      <c r="BY6" s="8">
        <v>26.25</v>
      </c>
      <c r="BZ6" s="8">
        <v>31.5</v>
      </c>
      <c r="CA6" s="8">
        <v>153.75</v>
      </c>
      <c r="CB6" s="8">
        <v>48</v>
      </c>
      <c r="CC6" s="8">
        <v>74.25</v>
      </c>
      <c r="CD6" s="8">
        <v>20.25</v>
      </c>
      <c r="CE6" s="8">
        <v>6</v>
      </c>
      <c r="CF6" s="149">
        <f>CF5-(4.4*7.5)</f>
        <v>23.25</v>
      </c>
      <c r="CG6" s="149">
        <f>CG5-(19.04*7.5)</f>
        <v>123.9</v>
      </c>
      <c r="CH6" s="149">
        <f>CH5-(19.6*7.5)</f>
        <v>148.5</v>
      </c>
      <c r="CI6" s="149">
        <f>CI5-(20.9*7.5)</f>
        <v>129.75</v>
      </c>
      <c r="CJ6" s="149">
        <f>CJ5-(19*7.5)</f>
        <v>57.75</v>
      </c>
      <c r="CK6" s="130">
        <f>CK5-(18.1*7.5)</f>
        <v>130.5</v>
      </c>
      <c r="CL6" s="130">
        <f>CL5-(18.1*7.5)</f>
        <v>258</v>
      </c>
      <c r="CM6" s="130">
        <f>CM5-(19.04*7.5)</f>
        <v>195.75000000000003</v>
      </c>
      <c r="CN6" s="130">
        <f>CN5-(19.9*7.5)</f>
        <v>127.5</v>
      </c>
      <c r="CO6" s="130">
        <f>CO5-(19.9*7.5)</f>
        <v>101.25</v>
      </c>
      <c r="CP6" s="130">
        <v>72</v>
      </c>
      <c r="CQ6" s="130">
        <f>13.6*7.5</f>
        <v>102</v>
      </c>
      <c r="CR6" s="130">
        <f t="shared" ref="CR6:EN6" si="0">CR5</f>
        <v>159.75</v>
      </c>
      <c r="CS6" s="130">
        <f t="shared" si="0"/>
        <v>52.5</v>
      </c>
      <c r="CT6" s="130">
        <f t="shared" si="0"/>
        <v>103.5</v>
      </c>
      <c r="CU6" s="130">
        <f t="shared" si="0"/>
        <v>119.47499999999999</v>
      </c>
      <c r="CV6" s="130">
        <f t="shared" si="0"/>
        <v>127.5</v>
      </c>
      <c r="CW6" s="130">
        <f t="shared" si="0"/>
        <v>165</v>
      </c>
      <c r="CX6" s="130">
        <f t="shared" si="0"/>
        <v>113.02500000000001</v>
      </c>
      <c r="CY6" s="130">
        <f t="shared" si="0"/>
        <v>112.5</v>
      </c>
      <c r="CZ6" s="130">
        <f t="shared" si="0"/>
        <v>195.52500000000001</v>
      </c>
      <c r="DA6" s="130">
        <f t="shared" si="0"/>
        <v>193.05</v>
      </c>
      <c r="DB6" s="130">
        <f t="shared" si="0"/>
        <v>102.97500000000001</v>
      </c>
      <c r="DC6" s="130">
        <f t="shared" si="0"/>
        <v>144.52500000000001</v>
      </c>
      <c r="DD6" s="130">
        <f t="shared" si="0"/>
        <v>232.5</v>
      </c>
      <c r="DE6" s="130">
        <f t="shared" si="0"/>
        <v>341.02499999999998</v>
      </c>
      <c r="DF6" s="130">
        <f t="shared" si="0"/>
        <v>430.125</v>
      </c>
      <c r="DG6" s="130">
        <f t="shared" si="0"/>
        <v>373.875</v>
      </c>
      <c r="DH6" s="130">
        <f t="shared" si="0"/>
        <v>401.625</v>
      </c>
      <c r="DI6" s="130">
        <f t="shared" si="0"/>
        <v>165.89999999999998</v>
      </c>
      <c r="DJ6" s="130">
        <f t="shared" si="0"/>
        <v>173.85</v>
      </c>
      <c r="DK6" s="130">
        <f t="shared" si="0"/>
        <v>128.25</v>
      </c>
      <c r="DL6" s="130">
        <f t="shared" si="0"/>
        <v>161.4</v>
      </c>
      <c r="DM6" s="130">
        <f t="shared" si="0"/>
        <v>114.75</v>
      </c>
      <c r="DN6" s="130">
        <f t="shared" si="0"/>
        <v>244.57499999999999</v>
      </c>
      <c r="DO6" s="130">
        <f t="shared" si="0"/>
        <v>129</v>
      </c>
      <c r="DP6" s="130">
        <f t="shared" si="0"/>
        <v>324.97499999999997</v>
      </c>
      <c r="DQ6" s="130">
        <f t="shared" si="0"/>
        <v>364.5</v>
      </c>
      <c r="DR6" s="130">
        <f t="shared" si="0"/>
        <v>402</v>
      </c>
      <c r="DS6" s="130">
        <f t="shared" si="0"/>
        <v>321</v>
      </c>
      <c r="DT6" s="130">
        <f t="shared" si="0"/>
        <v>264.75</v>
      </c>
      <c r="DU6" s="130">
        <f t="shared" si="0"/>
        <v>224.70000000000002</v>
      </c>
      <c r="DV6" s="130">
        <f t="shared" si="0"/>
        <v>509.25000000000006</v>
      </c>
      <c r="DW6" s="130">
        <f t="shared" si="0"/>
        <v>645</v>
      </c>
      <c r="DX6" s="130">
        <f t="shared" si="0"/>
        <v>719.24999999999989</v>
      </c>
      <c r="DY6" s="130">
        <f t="shared" si="0"/>
        <v>684</v>
      </c>
      <c r="DZ6" s="130">
        <f t="shared" si="0"/>
        <v>407.25</v>
      </c>
      <c r="EA6" s="130">
        <f t="shared" si="0"/>
        <v>328.5</v>
      </c>
      <c r="EB6" s="130">
        <f t="shared" si="0"/>
        <v>305.25</v>
      </c>
      <c r="EC6" s="130">
        <f t="shared" si="0"/>
        <v>274.5</v>
      </c>
      <c r="ED6" s="130">
        <f t="shared" si="0"/>
        <v>50.25</v>
      </c>
      <c r="EE6" s="130">
        <f t="shared" si="0"/>
        <v>89.25</v>
      </c>
      <c r="EF6" s="130">
        <f t="shared" si="0"/>
        <v>55.5</v>
      </c>
      <c r="EG6" s="130">
        <f t="shared" si="0"/>
        <v>36</v>
      </c>
      <c r="EH6" s="130">
        <f t="shared" si="0"/>
        <v>17.25</v>
      </c>
      <c r="EI6" s="130">
        <f t="shared" si="0"/>
        <v>44.7</v>
      </c>
      <c r="EJ6" s="1">
        <f t="shared" si="0"/>
        <v>32.25</v>
      </c>
      <c r="EK6" s="1">
        <f t="shared" si="0"/>
        <v>72.75</v>
      </c>
      <c r="EL6" s="1">
        <f t="shared" si="0"/>
        <v>7.5</v>
      </c>
      <c r="EM6" s="1">
        <f t="shared" si="0"/>
        <v>11.475</v>
      </c>
      <c r="EN6" s="1">
        <f t="shared" si="0"/>
        <v>43.5</v>
      </c>
      <c r="EO6" s="1">
        <f>EO5</f>
        <v>37.5</v>
      </c>
      <c r="EP6" s="1">
        <f>EP5</f>
        <v>57.45</v>
      </c>
      <c r="EQ6" s="1">
        <f>EQ5</f>
        <v>60.449999999999989</v>
      </c>
      <c r="ER6" s="1">
        <f>ER5</f>
        <v>0</v>
      </c>
    </row>
    <row r="7" spans="1:148" ht="15" x14ac:dyDescent="0.25">
      <c r="A7" s="146" t="s">
        <v>190</v>
      </c>
      <c r="B7" s="152">
        <v>266325</v>
      </c>
      <c r="C7" s="152">
        <v>267075</v>
      </c>
      <c r="D7" s="152">
        <v>396540</v>
      </c>
      <c r="E7" s="152">
        <v>261990</v>
      </c>
      <c r="F7" s="152">
        <v>258795</v>
      </c>
      <c r="G7" s="152">
        <v>305775</v>
      </c>
      <c r="H7" s="152">
        <v>261840</v>
      </c>
      <c r="I7" s="152">
        <v>266205</v>
      </c>
      <c r="J7" s="152">
        <v>399307</v>
      </c>
      <c r="K7" s="152">
        <v>271035</v>
      </c>
      <c r="L7" s="152">
        <v>270904</v>
      </c>
      <c r="M7" s="152">
        <v>268453</v>
      </c>
      <c r="N7" s="152">
        <v>250006</v>
      </c>
      <c r="O7" s="152">
        <v>372518</v>
      </c>
      <c r="P7" s="152">
        <v>247593</v>
      </c>
      <c r="Q7" s="152">
        <v>248322</v>
      </c>
      <c r="R7" s="152">
        <v>248300</v>
      </c>
      <c r="S7" s="152">
        <v>273350</v>
      </c>
      <c r="T7" s="152">
        <v>273350</v>
      </c>
      <c r="U7" s="152">
        <v>265830</v>
      </c>
      <c r="V7" s="152">
        <v>267203</v>
      </c>
      <c r="W7" s="152">
        <v>270579</v>
      </c>
      <c r="X7" s="152">
        <v>270579</v>
      </c>
      <c r="Y7" s="152">
        <v>270579</v>
      </c>
      <c r="Z7" s="152">
        <v>220332.91</v>
      </c>
      <c r="AA7" s="152">
        <v>226198.25</v>
      </c>
      <c r="AB7" s="152">
        <v>188358</v>
      </c>
      <c r="AC7" s="152">
        <v>219932</v>
      </c>
      <c r="AD7" s="155">
        <v>219042.65</v>
      </c>
      <c r="AE7" s="155">
        <v>223648</v>
      </c>
      <c r="AF7" s="156">
        <v>213452.7</v>
      </c>
      <c r="AG7" s="156">
        <v>316785</v>
      </c>
      <c r="AH7" s="156">
        <v>202880</v>
      </c>
      <c r="AI7" s="156">
        <v>197306</v>
      </c>
      <c r="AJ7" s="156">
        <v>201173</v>
      </c>
      <c r="AK7" s="156">
        <v>215777</v>
      </c>
      <c r="AL7" s="157">
        <v>211484.93</v>
      </c>
      <c r="AM7" s="157">
        <v>336864</v>
      </c>
      <c r="AN7" s="157">
        <v>191530.29</v>
      </c>
      <c r="AO7" s="157">
        <v>228243</v>
      </c>
      <c r="AP7" s="157">
        <v>222540.53</v>
      </c>
      <c r="AQ7" s="157">
        <v>219029</v>
      </c>
      <c r="AR7" s="157">
        <v>231590.33</v>
      </c>
      <c r="AS7" s="157">
        <v>330836</v>
      </c>
      <c r="AT7" s="157">
        <v>233762.18</v>
      </c>
      <c r="AU7" s="157">
        <v>227075.25</v>
      </c>
      <c r="AV7" s="157">
        <v>225825.3</v>
      </c>
      <c r="AW7" s="157">
        <v>230278</v>
      </c>
      <c r="AX7" s="157">
        <v>345134</v>
      </c>
      <c r="AY7" s="157">
        <v>235989</v>
      </c>
      <c r="AZ7" s="157">
        <v>251121</v>
      </c>
      <c r="BA7" s="157">
        <v>250568</v>
      </c>
      <c r="BB7" s="157">
        <v>253134</v>
      </c>
      <c r="BC7" s="157">
        <v>250909</v>
      </c>
      <c r="BD7" s="157">
        <v>338340</v>
      </c>
      <c r="BE7" s="157">
        <v>216273</v>
      </c>
      <c r="BF7" s="157">
        <v>210826</v>
      </c>
      <c r="BG7" s="157">
        <v>208333</v>
      </c>
      <c r="BH7" s="157">
        <v>207638</v>
      </c>
      <c r="BI7" s="25">
        <v>327643</v>
      </c>
      <c r="BJ7" s="158">
        <v>228256</v>
      </c>
      <c r="BK7" s="158">
        <v>227425</v>
      </c>
      <c r="BL7" s="158">
        <v>185995</v>
      </c>
      <c r="BM7" s="158">
        <v>226830</v>
      </c>
      <c r="BN7" s="158">
        <v>216743</v>
      </c>
      <c r="BO7" s="158">
        <v>225161</v>
      </c>
      <c r="BP7" s="25">
        <v>332212</v>
      </c>
      <c r="BQ7" s="25">
        <v>219757</v>
      </c>
      <c r="BR7" s="25">
        <v>215766</v>
      </c>
      <c r="BS7" s="25">
        <v>215681</v>
      </c>
      <c r="BT7" s="25">
        <v>221791</v>
      </c>
      <c r="BU7" s="25">
        <v>329240.31</v>
      </c>
      <c r="BV7" s="25">
        <v>232721.7</v>
      </c>
      <c r="BW7" s="25">
        <v>229263</v>
      </c>
      <c r="BX7" s="159">
        <v>188975</v>
      </c>
      <c r="BY7" s="159">
        <v>236524</v>
      </c>
      <c r="BZ7" s="159">
        <v>210549.8</v>
      </c>
      <c r="CA7" s="159">
        <v>330337.95</v>
      </c>
      <c r="CB7" s="159">
        <v>227488.5</v>
      </c>
      <c r="CC7" s="159">
        <v>232083</v>
      </c>
      <c r="CD7" s="159">
        <v>208497</v>
      </c>
      <c r="CE7" s="159">
        <v>208346.85</v>
      </c>
      <c r="CF7" s="159">
        <v>217925.15</v>
      </c>
      <c r="CG7" s="159">
        <v>309401.63</v>
      </c>
      <c r="CH7" s="159">
        <v>217397.25</v>
      </c>
      <c r="CI7" s="160">
        <v>217158.5</v>
      </c>
      <c r="CJ7" s="160">
        <v>185943.2</v>
      </c>
      <c r="CK7" s="161">
        <v>217411.78</v>
      </c>
      <c r="CL7" s="161">
        <v>209524.08</v>
      </c>
      <c r="CM7" s="161">
        <v>323512.46999999997</v>
      </c>
      <c r="CN7" s="161">
        <v>208432.61</v>
      </c>
      <c r="CO7" s="161">
        <v>215012.23000000004</v>
      </c>
      <c r="CP7" s="161">
        <v>215125.13</v>
      </c>
      <c r="CQ7" s="161">
        <v>212440.42</v>
      </c>
      <c r="CR7" s="161">
        <v>327046.88</v>
      </c>
      <c r="CS7" s="161">
        <v>221765.23</v>
      </c>
      <c r="CT7" s="161">
        <v>232096.69</v>
      </c>
      <c r="CU7" s="162">
        <v>232613.03999999995</v>
      </c>
      <c r="CV7" s="162">
        <v>196228.03</v>
      </c>
      <c r="CW7" s="129">
        <v>233615.13</v>
      </c>
      <c r="CX7" s="1">
        <v>336313.67</v>
      </c>
      <c r="CY7" s="162">
        <v>223042.15</v>
      </c>
      <c r="CZ7" s="162">
        <v>233310.09</v>
      </c>
      <c r="DA7" s="162">
        <v>223705.13</v>
      </c>
      <c r="DB7" s="162">
        <v>218678.55000000002</v>
      </c>
      <c r="DC7" s="162">
        <v>332445.98</v>
      </c>
      <c r="DD7" s="162">
        <v>219160.33</v>
      </c>
      <c r="DE7" s="162">
        <v>225523.94</v>
      </c>
      <c r="DF7" s="162">
        <v>235542.85000000003</v>
      </c>
      <c r="DG7" s="162">
        <v>234409.96000000002</v>
      </c>
      <c r="DH7" s="162">
        <v>190465.7</v>
      </c>
      <c r="DI7" s="1">
        <v>232061.24999999997</v>
      </c>
      <c r="DJ7" s="133">
        <v>334642.45</v>
      </c>
      <c r="DK7" s="1">
        <v>222565.03</v>
      </c>
      <c r="DL7" s="1">
        <v>235087.69000000003</v>
      </c>
      <c r="DM7" s="1">
        <v>222011.19999999998</v>
      </c>
      <c r="DN7" s="1">
        <v>216578.25</v>
      </c>
      <c r="DO7" s="1">
        <v>330141.94</v>
      </c>
      <c r="DP7" s="162">
        <v>218568.78</v>
      </c>
      <c r="DQ7" s="162">
        <v>234076.5</v>
      </c>
      <c r="DR7" s="129">
        <v>225996.03000000003</v>
      </c>
      <c r="DS7" s="129">
        <v>234277.37</v>
      </c>
      <c r="DT7" s="1">
        <f t="shared" ref="DT7:EN7" si="1">IF(DT70=0,DT69,SUM(DT69:DT70))</f>
        <v>506982.83</v>
      </c>
      <c r="DU7" s="1">
        <f t="shared" si="1"/>
        <v>405859.25999999995</v>
      </c>
      <c r="DV7" s="1">
        <f t="shared" si="1"/>
        <v>411278.04</v>
      </c>
      <c r="DW7" s="1">
        <f t="shared" si="1"/>
        <v>433594.85999999987</v>
      </c>
      <c r="DX7" s="1">
        <f t="shared" si="1"/>
        <v>447077.94999999995</v>
      </c>
      <c r="DY7" s="1">
        <f t="shared" si="1"/>
        <v>413957.86</v>
      </c>
      <c r="DZ7" s="1">
        <f t="shared" si="1"/>
        <v>442928.38</v>
      </c>
      <c r="EA7" s="1">
        <f t="shared" si="1"/>
        <v>531465.07000000007</v>
      </c>
      <c r="EB7" s="1">
        <f t="shared" si="1"/>
        <v>421205.41000000003</v>
      </c>
      <c r="EC7" s="1">
        <f t="shared" si="1"/>
        <v>437516.35000000015</v>
      </c>
      <c r="ED7" s="1">
        <f t="shared" si="1"/>
        <v>413464.35000000009</v>
      </c>
      <c r="EE7" s="1">
        <f t="shared" si="1"/>
        <v>442440.67000000004</v>
      </c>
      <c r="EF7" s="1">
        <f t="shared" si="1"/>
        <v>532255.92009999987</v>
      </c>
      <c r="EG7" s="1">
        <f t="shared" si="1"/>
        <v>418144.32000000007</v>
      </c>
      <c r="EH7" s="1">
        <f t="shared" si="1"/>
        <v>425960.79999999993</v>
      </c>
      <c r="EI7" s="1">
        <f t="shared" si="1"/>
        <v>422040.61999999988</v>
      </c>
      <c r="EJ7" s="1">
        <f t="shared" si="1"/>
        <v>435382.98</v>
      </c>
      <c r="EK7" s="1">
        <f t="shared" si="1"/>
        <v>432393.9</v>
      </c>
      <c r="EL7" s="1">
        <f t="shared" si="1"/>
        <v>640612.67000000004</v>
      </c>
      <c r="EM7" s="1">
        <f t="shared" si="1"/>
        <v>424421.1</v>
      </c>
      <c r="EN7" s="1">
        <f t="shared" si="1"/>
        <v>430204.71</v>
      </c>
      <c r="EO7" s="1">
        <f>IF(EO70=0,EO69,SUM(EO69:EO70))</f>
        <v>445522.98</v>
      </c>
      <c r="EP7" s="1">
        <f>IF(EP70=0,EP69,SUM(EP69:EP70))</f>
        <v>482009.07660000003</v>
      </c>
      <c r="EQ7" s="1">
        <f>IF(EQ70=0,EQ69,SUM(EQ69:EQ70))</f>
        <v>726720.83499999996</v>
      </c>
      <c r="ER7" s="1">
        <f>IF(ER70=0,ER69,SUM(ER69:ER70))</f>
        <v>671713.69400000002</v>
      </c>
    </row>
    <row r="8" spans="1:148" ht="15" x14ac:dyDescent="0.25">
      <c r="A8" s="146" t="s">
        <v>191</v>
      </c>
      <c r="B8" s="163">
        <f t="shared" ref="B8:AG8" si="2">SUM(B4)/B7*200000</f>
        <v>3.7548108514033607</v>
      </c>
      <c r="C8" s="163">
        <f t="shared" si="2"/>
        <v>4.4931199101376018</v>
      </c>
      <c r="D8" s="163">
        <f t="shared" si="2"/>
        <v>4.0349019014475216</v>
      </c>
      <c r="E8" s="163">
        <f t="shared" si="2"/>
        <v>7.6338791556929646</v>
      </c>
      <c r="F8" s="163">
        <f t="shared" si="2"/>
        <v>8.5009370351050073</v>
      </c>
      <c r="G8" s="163">
        <f t="shared" si="2"/>
        <v>6.5407570926334726</v>
      </c>
      <c r="H8" s="163">
        <f t="shared" si="2"/>
        <v>8.402077604644056</v>
      </c>
      <c r="I8" s="163">
        <f t="shared" si="2"/>
        <v>8.264307582502207</v>
      </c>
      <c r="J8" s="163">
        <f t="shared" si="2"/>
        <v>3.506074273679149</v>
      </c>
      <c r="K8" s="163">
        <f t="shared" si="2"/>
        <v>5.9032966222074643</v>
      </c>
      <c r="L8" s="163">
        <f t="shared" si="2"/>
        <v>6.6444201636003903</v>
      </c>
      <c r="M8" s="163">
        <f t="shared" si="2"/>
        <v>8.1951030534208957</v>
      </c>
      <c r="N8" s="163">
        <f t="shared" si="2"/>
        <v>11.199731206451046</v>
      </c>
      <c r="O8" s="163">
        <f t="shared" si="2"/>
        <v>3.2213208489254215</v>
      </c>
      <c r="P8" s="163">
        <f t="shared" si="2"/>
        <v>2.4233318389453662</v>
      </c>
      <c r="Q8" s="163">
        <f t="shared" si="2"/>
        <v>5.6378411900677348</v>
      </c>
      <c r="R8" s="163">
        <f t="shared" si="2"/>
        <v>4.0273862263391056</v>
      </c>
      <c r="S8" s="163">
        <f t="shared" si="2"/>
        <v>6.5849643314432056</v>
      </c>
      <c r="T8" s="163">
        <f t="shared" si="2"/>
        <v>10.243277848911651</v>
      </c>
      <c r="U8" s="163">
        <f t="shared" si="2"/>
        <v>8.2759658428318854</v>
      </c>
      <c r="V8" s="163">
        <f t="shared" si="2"/>
        <v>4.4909675415320933</v>
      </c>
      <c r="W8" s="163">
        <f t="shared" si="2"/>
        <v>10.348179274814379</v>
      </c>
      <c r="X8" s="163">
        <f t="shared" si="2"/>
        <v>9.609023612327638</v>
      </c>
      <c r="Y8" s="164">
        <f t="shared" si="2"/>
        <v>8.8698679498408968</v>
      </c>
      <c r="Z8" s="164">
        <f t="shared" si="2"/>
        <v>9.0771732647655767</v>
      </c>
      <c r="AA8" s="164">
        <f t="shared" si="2"/>
        <v>6.1892609690835361</v>
      </c>
      <c r="AB8" s="164">
        <f t="shared" si="2"/>
        <v>15.927117510272989</v>
      </c>
      <c r="AC8" s="164">
        <f t="shared" si="2"/>
        <v>12.731207827874069</v>
      </c>
      <c r="AD8" s="164">
        <f t="shared" si="2"/>
        <v>8.2175777183119365</v>
      </c>
      <c r="AE8" s="164">
        <f t="shared" si="2"/>
        <v>8.9426241236228368</v>
      </c>
      <c r="AF8" s="165">
        <f t="shared" si="2"/>
        <v>9.369757327970083</v>
      </c>
      <c r="AG8" s="165">
        <f t="shared" si="2"/>
        <v>6.9447732689363448</v>
      </c>
      <c r="AH8" s="165">
        <f t="shared" ref="AH8:BC8" si="3">SUM(AH4)/AH7*200000</f>
        <v>4.9290220820189274</v>
      </c>
      <c r="AI8" s="165">
        <f t="shared" si="3"/>
        <v>15.204808774188315</v>
      </c>
      <c r="AJ8" s="165">
        <f t="shared" si="3"/>
        <v>8.9475227789017424</v>
      </c>
      <c r="AK8" s="165">
        <f t="shared" si="3"/>
        <v>7.4150627731407885</v>
      </c>
      <c r="AL8" s="163">
        <f t="shared" si="3"/>
        <v>3.7827754440942907</v>
      </c>
      <c r="AM8" s="163">
        <f t="shared" si="3"/>
        <v>7.7182483138595988</v>
      </c>
      <c r="AN8" s="163">
        <f t="shared" si="3"/>
        <v>11.486433816812996</v>
      </c>
      <c r="AO8" s="163">
        <f t="shared" si="3"/>
        <v>7.8863316728223865</v>
      </c>
      <c r="AP8" s="163">
        <f t="shared" si="3"/>
        <v>7.1897015793033292</v>
      </c>
      <c r="AQ8" s="163">
        <f t="shared" si="3"/>
        <v>6.3918476548767513</v>
      </c>
      <c r="AR8" s="163">
        <f t="shared" si="3"/>
        <v>3.4543756641307088</v>
      </c>
      <c r="AS8" s="163">
        <f t="shared" si="3"/>
        <v>6.0452913225888354</v>
      </c>
      <c r="AT8" s="163">
        <f t="shared" si="3"/>
        <v>6.8445631367743065</v>
      </c>
      <c r="AU8" s="163">
        <f t="shared" si="3"/>
        <v>4.4038264848326705</v>
      </c>
      <c r="AV8" s="163">
        <f t="shared" si="3"/>
        <v>5.3138421602893917</v>
      </c>
      <c r="AW8" s="163">
        <f t="shared" si="3"/>
        <v>4.3425772327360841</v>
      </c>
      <c r="AX8" s="163">
        <f t="shared" si="3"/>
        <v>6.9538208348061916</v>
      </c>
      <c r="AY8" s="163">
        <f t="shared" si="3"/>
        <v>10.169965549241702</v>
      </c>
      <c r="AZ8" s="163">
        <f t="shared" si="3"/>
        <v>4.7785728792096238</v>
      </c>
      <c r="BA8" s="163">
        <f t="shared" si="3"/>
        <v>3.1927460809041861</v>
      </c>
      <c r="BB8" s="163">
        <f t="shared" si="3"/>
        <v>7.110858280594468</v>
      </c>
      <c r="BC8" s="163">
        <f t="shared" si="3"/>
        <v>3.9855086904016992</v>
      </c>
      <c r="BD8" s="163">
        <v>4.1378495005024529</v>
      </c>
      <c r="BE8" s="163">
        <v>5.548542813943488</v>
      </c>
      <c r="BF8" s="163">
        <f>SUM(BF4)/BF7*200000</f>
        <v>5.6918975837894754</v>
      </c>
      <c r="BG8" s="163">
        <f>SUM(BG4)/BG7*200000</f>
        <v>8.6400138240221196</v>
      </c>
      <c r="BH8" s="163">
        <f t="shared" ref="BH8:BO8" si="4">SUM(BH4)/BJ7*200000</f>
        <v>7.0096733492219263</v>
      </c>
      <c r="BI8" s="122">
        <f t="shared" si="4"/>
        <v>6.1558755633725397</v>
      </c>
      <c r="BJ8" s="122">
        <f t="shared" si="4"/>
        <v>8.6023817844565702</v>
      </c>
      <c r="BK8" s="122">
        <f t="shared" si="4"/>
        <v>5.2903055151434994</v>
      </c>
      <c r="BL8" s="122">
        <f t="shared" si="4"/>
        <v>8.3047664745804948</v>
      </c>
      <c r="BM8" s="122">
        <f t="shared" si="4"/>
        <v>7.1060263544752429</v>
      </c>
      <c r="BN8" s="122">
        <f t="shared" si="4"/>
        <v>4.8162017025273025</v>
      </c>
      <c r="BO8" s="122">
        <f t="shared" si="4"/>
        <v>5.4605769099505368</v>
      </c>
      <c r="BP8" s="122">
        <f>SUM(BP4)/BP7*200000</f>
        <v>4.2141764897113889</v>
      </c>
      <c r="BQ8" s="122">
        <f>SUM(BQ4)/BQ7*200000</f>
        <v>1.8201923033168455</v>
      </c>
      <c r="BR8" s="122">
        <f>SUM(BR4)/BR7*200000</f>
        <v>3.707720400804575</v>
      </c>
      <c r="BS8" s="122">
        <f>SUM(BS4)/BS7*200000</f>
        <v>1.8545908077206616</v>
      </c>
      <c r="BT8" s="122">
        <v>6.3122489190273718</v>
      </c>
      <c r="BU8" s="122">
        <v>7.2895083837091512</v>
      </c>
      <c r="BV8" s="122">
        <v>5.1563734709741285</v>
      </c>
      <c r="BW8" s="122">
        <v>2.617081692205022</v>
      </c>
      <c r="BX8" s="122">
        <v>5.2917052520174623</v>
      </c>
      <c r="BY8" s="122">
        <f t="shared" ref="BY8:EJ8" si="5">BY4/BY7*200000</f>
        <v>3.382320610170638</v>
      </c>
      <c r="BZ8" s="122">
        <f t="shared" si="5"/>
        <v>8.5490463538792252</v>
      </c>
      <c r="CA8" s="122">
        <f t="shared" si="5"/>
        <v>3.0272028993338491</v>
      </c>
      <c r="CB8" s="122">
        <f t="shared" si="5"/>
        <v>6.1541572431133877</v>
      </c>
      <c r="CC8" s="122">
        <f t="shared" si="5"/>
        <v>10.341127958532077</v>
      </c>
      <c r="CD8" s="122">
        <f t="shared" si="5"/>
        <v>10.551710576171359</v>
      </c>
      <c r="CE8" s="122">
        <f t="shared" si="5"/>
        <v>2.8798131577223272</v>
      </c>
      <c r="CF8" s="122">
        <f t="shared" si="5"/>
        <v>5.5064777975373653</v>
      </c>
      <c r="CG8" s="122">
        <f t="shared" si="5"/>
        <v>1.2928180113336829</v>
      </c>
      <c r="CH8" s="122">
        <f t="shared" si="5"/>
        <v>6.4398238708171327</v>
      </c>
      <c r="CI8" s="122">
        <f t="shared" si="5"/>
        <v>3.6839451368470497</v>
      </c>
      <c r="CJ8" s="122">
        <f t="shared" si="5"/>
        <v>3.2267918375073674</v>
      </c>
      <c r="CK8" s="166">
        <f t="shared" si="5"/>
        <v>5.5194801312054027</v>
      </c>
      <c r="CL8" s="166">
        <f t="shared" si="5"/>
        <v>6.6818095562094824</v>
      </c>
      <c r="CM8" s="166">
        <f t="shared" si="5"/>
        <v>1.8546425737468484</v>
      </c>
      <c r="CN8" s="166">
        <f t="shared" si="5"/>
        <v>7.6763420080955669</v>
      </c>
      <c r="CO8" s="166">
        <f t="shared" si="5"/>
        <v>4.6508982303006663</v>
      </c>
      <c r="CP8" s="166">
        <f t="shared" si="5"/>
        <v>5.5781488661970826</v>
      </c>
      <c r="CQ8" s="166">
        <f t="shared" si="5"/>
        <v>4.7072021416640011</v>
      </c>
      <c r="CR8" s="166">
        <f t="shared" si="5"/>
        <v>3.0576656166235252</v>
      </c>
      <c r="CS8" s="166">
        <f t="shared" si="5"/>
        <v>5.4111277949207812</v>
      </c>
      <c r="CT8" s="166">
        <f t="shared" si="5"/>
        <v>0.86170983308723625</v>
      </c>
      <c r="CU8" s="166">
        <f t="shared" si="5"/>
        <v>4.2989851299823956</v>
      </c>
      <c r="CV8" s="166">
        <f t="shared" si="5"/>
        <v>3.057667143679728</v>
      </c>
      <c r="CW8" s="166">
        <f t="shared" si="5"/>
        <v>6.8488714750624249</v>
      </c>
      <c r="CX8" s="166">
        <f t="shared" si="5"/>
        <v>2.3787317357632238</v>
      </c>
      <c r="CY8" s="166">
        <f t="shared" si="5"/>
        <v>3.5867659991620418</v>
      </c>
      <c r="CZ8" s="166">
        <f t="shared" si="5"/>
        <v>2.5716847479678226</v>
      </c>
      <c r="DA8" s="166">
        <f t="shared" si="5"/>
        <v>4.4701701744613551</v>
      </c>
      <c r="DB8" s="166">
        <f t="shared" si="5"/>
        <v>3.6583377747840378</v>
      </c>
      <c r="DC8" s="166">
        <f t="shared" si="5"/>
        <v>4.8128119942975403</v>
      </c>
      <c r="DD8" s="166">
        <f t="shared" si="5"/>
        <v>1.8251478267075067</v>
      </c>
      <c r="DE8" s="166">
        <f t="shared" si="5"/>
        <v>4.4341190562740254</v>
      </c>
      <c r="DF8" s="166">
        <f t="shared" si="5"/>
        <v>3.3964096129430374</v>
      </c>
      <c r="DG8" s="166">
        <f t="shared" si="5"/>
        <v>4.2660303342059356</v>
      </c>
      <c r="DH8" s="166">
        <f t="shared" si="5"/>
        <v>13.650751815156219</v>
      </c>
      <c r="DI8" s="166">
        <f t="shared" si="5"/>
        <v>2.585524295848618</v>
      </c>
      <c r="DJ8" s="166">
        <f t="shared" si="5"/>
        <v>1.792958424730634</v>
      </c>
      <c r="DK8" s="166">
        <f t="shared" si="5"/>
        <v>8.087523902564568</v>
      </c>
      <c r="DL8" s="166">
        <f t="shared" si="5"/>
        <v>2.5522391240477114</v>
      </c>
      <c r="DM8" s="166">
        <f t="shared" si="5"/>
        <v>3.6034218093501593</v>
      </c>
      <c r="DN8" s="166">
        <f t="shared" si="5"/>
        <v>1.8469075264944657</v>
      </c>
      <c r="DO8" s="166">
        <f t="shared" si="5"/>
        <v>0</v>
      </c>
      <c r="DP8" s="166">
        <f t="shared" si="5"/>
        <v>9.1504376791598503</v>
      </c>
      <c r="DQ8" s="166">
        <f t="shared" si="5"/>
        <v>4.2721076229352368</v>
      </c>
      <c r="DR8" s="166">
        <f t="shared" si="5"/>
        <v>1.7699425958942727</v>
      </c>
      <c r="DS8" s="166">
        <f t="shared" si="5"/>
        <v>9.3905783559035179</v>
      </c>
      <c r="DT8" s="166">
        <f t="shared" si="5"/>
        <v>1.9724533866363876</v>
      </c>
      <c r="DU8" s="166">
        <f t="shared" si="5"/>
        <v>4.4350349429011429</v>
      </c>
      <c r="DV8" s="166">
        <f t="shared" si="5"/>
        <v>2.9177341926644078</v>
      </c>
      <c r="DW8" s="166">
        <f t="shared" si="5"/>
        <v>1.8450403217418219</v>
      </c>
      <c r="DX8" s="166">
        <f t="shared" si="5"/>
        <v>2.2367464107769126</v>
      </c>
      <c r="DY8" s="166">
        <f t="shared" si="5"/>
        <v>2.8988457907285539</v>
      </c>
      <c r="DZ8" s="166">
        <f t="shared" si="5"/>
        <v>2.7092416159921835</v>
      </c>
      <c r="EA8" s="166">
        <f t="shared" si="5"/>
        <v>1.5052729617771492</v>
      </c>
      <c r="EB8" s="166">
        <f t="shared" si="5"/>
        <v>2.8489662561551619</v>
      </c>
      <c r="EC8" s="166">
        <f t="shared" si="5"/>
        <v>1.8285030947986283</v>
      </c>
      <c r="ED8" s="166">
        <f t="shared" si="5"/>
        <v>1.9348705638103985</v>
      </c>
      <c r="EE8" s="166">
        <f t="shared" si="5"/>
        <v>1.8081520399107973</v>
      </c>
      <c r="EF8" s="166">
        <f t="shared" si="5"/>
        <v>2.2545545379270648</v>
      </c>
      <c r="EG8" s="166">
        <f t="shared" si="5"/>
        <v>2.8698225531318942</v>
      </c>
      <c r="EH8" s="166">
        <f t="shared" si="5"/>
        <v>1.8781070934226813</v>
      </c>
      <c r="EI8" s="166">
        <f t="shared" si="5"/>
        <v>3.3172162433085237</v>
      </c>
      <c r="EJ8" s="1">
        <f t="shared" si="5"/>
        <v>3.6749254644726812</v>
      </c>
      <c r="EK8" s="1">
        <f t="shared" ref="EK8:EN8" si="6">EK4/EK7*200000</f>
        <v>2.3127060765658349</v>
      </c>
      <c r="EL8" s="1">
        <f t="shared" si="6"/>
        <v>1.8732067849984921</v>
      </c>
      <c r="EM8" s="1">
        <f t="shared" si="6"/>
        <v>3.298610742962591</v>
      </c>
      <c r="EN8" s="1">
        <f t="shared" si="6"/>
        <v>1.8595798265435075</v>
      </c>
      <c r="EO8" s="1">
        <f>EO4/EO7*200000</f>
        <v>2.2445531316925562</v>
      </c>
      <c r="EP8" s="1">
        <f>EP4/EP7*200000</f>
        <v>0.82985989148072403</v>
      </c>
      <c r="EQ8" s="1">
        <f>EQ4/EQ7*200000</f>
        <v>1.1008353709853387</v>
      </c>
      <c r="ER8" s="1">
        <f>ER4/ER7*200000</f>
        <v>1.4887295121900552</v>
      </c>
    </row>
    <row r="9" spans="1:148" ht="15" x14ac:dyDescent="0.25">
      <c r="A9" s="146" t="s">
        <v>192</v>
      </c>
      <c r="B9" s="167">
        <v>2</v>
      </c>
      <c r="C9" s="167">
        <v>4</v>
      </c>
      <c r="D9" s="167">
        <v>4</v>
      </c>
      <c r="E9" s="167">
        <v>8</v>
      </c>
      <c r="F9" s="167">
        <v>2</v>
      </c>
      <c r="G9" s="167">
        <v>3</v>
      </c>
      <c r="H9" s="167">
        <v>2</v>
      </c>
      <c r="I9" s="167">
        <v>4</v>
      </c>
      <c r="J9" s="167">
        <v>2</v>
      </c>
      <c r="K9" s="167">
        <v>4</v>
      </c>
      <c r="L9" s="167">
        <v>2</v>
      </c>
      <c r="M9" s="167">
        <v>2</v>
      </c>
      <c r="N9" s="167">
        <v>5</v>
      </c>
      <c r="O9" s="167">
        <v>1</v>
      </c>
      <c r="P9" s="167">
        <v>0</v>
      </c>
      <c r="Q9" s="167">
        <v>3</v>
      </c>
      <c r="R9" s="167">
        <v>3</v>
      </c>
      <c r="S9" s="167">
        <v>1</v>
      </c>
      <c r="T9" s="167">
        <v>2</v>
      </c>
      <c r="U9" s="167">
        <v>4</v>
      </c>
      <c r="V9" s="167">
        <v>2</v>
      </c>
      <c r="W9" s="167">
        <v>3</v>
      </c>
      <c r="X9" s="167">
        <v>3</v>
      </c>
      <c r="Y9" s="147">
        <v>3</v>
      </c>
      <c r="Z9" s="147">
        <v>3</v>
      </c>
      <c r="AA9" s="147">
        <v>2</v>
      </c>
      <c r="AB9" s="147">
        <v>5</v>
      </c>
      <c r="AC9" s="147">
        <v>5</v>
      </c>
      <c r="AD9" s="147">
        <v>3</v>
      </c>
      <c r="AE9" s="147">
        <v>2</v>
      </c>
      <c r="AF9" s="148">
        <v>3</v>
      </c>
      <c r="AG9" s="148">
        <v>4</v>
      </c>
      <c r="AH9" s="148">
        <v>2</v>
      </c>
      <c r="AI9" s="148">
        <v>4</v>
      </c>
      <c r="AJ9" s="148">
        <v>1</v>
      </c>
      <c r="AK9" s="148">
        <v>3</v>
      </c>
      <c r="AL9" s="130">
        <v>2</v>
      </c>
      <c r="AM9" s="130">
        <v>4</v>
      </c>
      <c r="AN9" s="130">
        <v>3</v>
      </c>
      <c r="AO9" s="130">
        <v>2</v>
      </c>
      <c r="AP9" s="130">
        <v>2</v>
      </c>
      <c r="AQ9" s="130">
        <v>3</v>
      </c>
      <c r="AR9" s="130">
        <v>2</v>
      </c>
      <c r="AS9" s="130">
        <v>3</v>
      </c>
      <c r="AT9" s="130">
        <v>0</v>
      </c>
      <c r="AU9" s="130">
        <v>1</v>
      </c>
      <c r="AV9" s="130">
        <v>1</v>
      </c>
      <c r="AW9" s="130">
        <v>2</v>
      </c>
      <c r="AX9" s="130">
        <v>0</v>
      </c>
      <c r="AY9" s="130">
        <v>4</v>
      </c>
      <c r="AZ9" s="130">
        <v>1</v>
      </c>
      <c r="BA9" s="130">
        <v>0</v>
      </c>
      <c r="BB9" s="130">
        <v>4</v>
      </c>
      <c r="BC9" s="130">
        <v>0</v>
      </c>
      <c r="BD9" s="130">
        <v>2</v>
      </c>
      <c r="BE9" s="130">
        <v>2</v>
      </c>
      <c r="BF9" s="130">
        <v>2</v>
      </c>
      <c r="BG9" s="130">
        <v>2</v>
      </c>
      <c r="BH9" s="130">
        <v>2</v>
      </c>
      <c r="BI9" s="8">
        <v>3</v>
      </c>
      <c r="BJ9" s="8">
        <v>2</v>
      </c>
      <c r="BK9" s="8">
        <v>3</v>
      </c>
      <c r="BL9" s="8">
        <v>2</v>
      </c>
      <c r="BM9" s="8">
        <v>3</v>
      </c>
      <c r="BN9" s="8">
        <v>1</v>
      </c>
      <c r="BO9" s="8">
        <v>1</v>
      </c>
      <c r="BP9" s="8">
        <v>1</v>
      </c>
      <c r="BQ9" s="8">
        <v>0</v>
      </c>
      <c r="BR9" s="8">
        <v>0</v>
      </c>
      <c r="BS9" s="8">
        <v>1</v>
      </c>
      <c r="BT9" s="8">
        <v>0</v>
      </c>
      <c r="BU9" s="8">
        <v>3</v>
      </c>
      <c r="BV9" s="8">
        <v>2</v>
      </c>
      <c r="BW9" s="8">
        <v>1</v>
      </c>
      <c r="BX9" s="8">
        <v>1</v>
      </c>
      <c r="BY9" s="8">
        <v>0</v>
      </c>
      <c r="BZ9" s="8">
        <v>2</v>
      </c>
      <c r="CA9" s="8">
        <v>2</v>
      </c>
      <c r="CB9" s="8">
        <v>3</v>
      </c>
      <c r="CC9" s="8">
        <v>3</v>
      </c>
      <c r="CD9" s="8">
        <v>1</v>
      </c>
      <c r="CE9" s="8">
        <v>0</v>
      </c>
      <c r="CF9" s="8">
        <v>2</v>
      </c>
      <c r="CG9" s="8">
        <v>0</v>
      </c>
      <c r="CH9" s="8">
        <v>3</v>
      </c>
      <c r="CI9" s="149">
        <v>1</v>
      </c>
      <c r="CJ9" s="149">
        <v>1</v>
      </c>
      <c r="CK9" s="130">
        <v>4</v>
      </c>
      <c r="CL9" s="130">
        <v>4</v>
      </c>
      <c r="CM9" s="130">
        <v>1</v>
      </c>
      <c r="CN9" s="130">
        <v>2</v>
      </c>
      <c r="CO9" s="130">
        <v>1</v>
      </c>
      <c r="CP9" s="130">
        <v>1</v>
      </c>
      <c r="CQ9" s="130">
        <v>1</v>
      </c>
      <c r="CR9" s="130">
        <v>2</v>
      </c>
      <c r="CS9" s="130">
        <v>2</v>
      </c>
      <c r="CT9" s="130">
        <v>1</v>
      </c>
      <c r="CU9" s="130">
        <v>0</v>
      </c>
      <c r="CV9" s="130">
        <v>0</v>
      </c>
      <c r="CW9" s="130">
        <v>2</v>
      </c>
      <c r="CX9" s="130">
        <v>2</v>
      </c>
      <c r="CY9" s="130">
        <v>1</v>
      </c>
      <c r="CZ9" s="130">
        <v>0</v>
      </c>
      <c r="DA9" s="130">
        <v>3</v>
      </c>
      <c r="DB9" s="130">
        <v>1</v>
      </c>
      <c r="DC9" s="130">
        <v>3</v>
      </c>
      <c r="DD9" s="130">
        <v>1</v>
      </c>
      <c r="DE9" s="130">
        <v>1</v>
      </c>
      <c r="DF9" s="130">
        <v>2</v>
      </c>
      <c r="DG9" s="130">
        <v>1</v>
      </c>
      <c r="DH9" s="130">
        <v>5</v>
      </c>
      <c r="DI9" s="130">
        <v>1</v>
      </c>
      <c r="DJ9" s="130">
        <v>1</v>
      </c>
      <c r="DK9" s="130">
        <v>0</v>
      </c>
      <c r="DL9" s="130">
        <v>1</v>
      </c>
      <c r="DM9" s="130">
        <v>0</v>
      </c>
      <c r="DN9" s="130">
        <v>1</v>
      </c>
      <c r="DO9" s="130">
        <v>0</v>
      </c>
      <c r="DP9" s="130">
        <v>3</v>
      </c>
      <c r="DQ9" s="130">
        <v>1</v>
      </c>
      <c r="DR9" s="130">
        <v>2</v>
      </c>
      <c r="DS9" s="130">
        <v>3</v>
      </c>
      <c r="DT9" s="130">
        <v>1</v>
      </c>
      <c r="DU9" s="130">
        <v>1</v>
      </c>
      <c r="DV9" s="130">
        <v>3</v>
      </c>
      <c r="DW9" s="130">
        <v>1</v>
      </c>
      <c r="DX9" s="130">
        <v>0</v>
      </c>
      <c r="DY9" s="130">
        <v>2</v>
      </c>
      <c r="DZ9" s="130">
        <v>2</v>
      </c>
      <c r="EA9" s="130">
        <v>0</v>
      </c>
      <c r="EB9" s="130">
        <v>1</v>
      </c>
      <c r="EC9" s="130">
        <v>0</v>
      </c>
      <c r="ED9" s="130">
        <v>1</v>
      </c>
      <c r="EE9" s="130">
        <v>2</v>
      </c>
      <c r="EF9" s="130">
        <v>1</v>
      </c>
      <c r="EG9" s="130">
        <v>1</v>
      </c>
      <c r="EH9" s="130">
        <v>1</v>
      </c>
      <c r="EI9" s="130">
        <v>2</v>
      </c>
      <c r="EJ9" s="1">
        <v>2</v>
      </c>
      <c r="EK9" s="1">
        <v>2</v>
      </c>
      <c r="EL9" s="1">
        <v>1</v>
      </c>
      <c r="EM9" s="1">
        <v>1</v>
      </c>
      <c r="EN9" s="1">
        <v>2</v>
      </c>
      <c r="EO9" s="1">
        <v>1</v>
      </c>
      <c r="EP9" s="1">
        <v>1</v>
      </c>
      <c r="EQ9" s="1">
        <v>1</v>
      </c>
      <c r="ER9" s="1">
        <v>0</v>
      </c>
    </row>
    <row r="10" spans="1:148" ht="15" x14ac:dyDescent="0.25">
      <c r="A10" s="146" t="s">
        <v>193</v>
      </c>
      <c r="B10" s="165">
        <f t="shared" ref="B10:AS10" si="7">SUM((B5)/7.5)/B9</f>
        <v>47.93333333333333</v>
      </c>
      <c r="C10" s="165">
        <f t="shared" si="7"/>
        <v>23.833333333333332</v>
      </c>
      <c r="D10" s="165">
        <f t="shared" si="7"/>
        <v>25.033333333333335</v>
      </c>
      <c r="E10" s="165">
        <f t="shared" si="7"/>
        <v>14.783333333333333</v>
      </c>
      <c r="F10" s="165">
        <f t="shared" si="7"/>
        <v>55.4</v>
      </c>
      <c r="G10" s="165">
        <f t="shared" si="7"/>
        <v>24.088888888888889</v>
      </c>
      <c r="H10" s="165">
        <f t="shared" si="7"/>
        <v>29.466666666666665</v>
      </c>
      <c r="I10" s="165">
        <f t="shared" si="7"/>
        <v>17.266666666666666</v>
      </c>
      <c r="J10" s="165">
        <f t="shared" si="7"/>
        <v>36.333333333333336</v>
      </c>
      <c r="K10" s="165">
        <f t="shared" si="7"/>
        <v>21.166666666666668</v>
      </c>
      <c r="L10" s="165">
        <f t="shared" si="7"/>
        <v>43</v>
      </c>
      <c r="M10" s="165">
        <f t="shared" si="7"/>
        <v>43.533333333333331</v>
      </c>
      <c r="N10" s="164">
        <f t="shared" si="7"/>
        <v>24.613333333333333</v>
      </c>
      <c r="O10" s="164">
        <f t="shared" si="7"/>
        <v>116.26666666666667</v>
      </c>
      <c r="P10" s="164" t="e">
        <f t="shared" si="7"/>
        <v>#DIV/0!</v>
      </c>
      <c r="Q10" s="164">
        <f t="shared" si="7"/>
        <v>21.37777777777778</v>
      </c>
      <c r="R10" s="164">
        <f t="shared" si="7"/>
        <v>26.666666666666668</v>
      </c>
      <c r="S10" s="164">
        <f t="shared" si="7"/>
        <v>63.866666666666667</v>
      </c>
      <c r="T10" s="164">
        <f t="shared" si="7"/>
        <v>55.93333333333333</v>
      </c>
      <c r="U10" s="164">
        <f t="shared" si="7"/>
        <v>37.833333333333336</v>
      </c>
      <c r="V10" s="164">
        <f t="shared" si="7"/>
        <v>46.533333333333331</v>
      </c>
      <c r="W10" s="164">
        <f t="shared" si="7"/>
        <v>42.844444444444441</v>
      </c>
      <c r="X10" s="164">
        <f t="shared" si="7"/>
        <v>51.733333333333327</v>
      </c>
      <c r="Y10" s="164">
        <f t="shared" si="7"/>
        <v>17.733333333333334</v>
      </c>
      <c r="Z10" s="164">
        <f t="shared" si="7"/>
        <v>11</v>
      </c>
      <c r="AA10" s="164">
        <f t="shared" si="7"/>
        <v>16</v>
      </c>
      <c r="AB10" s="164">
        <f t="shared" si="7"/>
        <v>8.9400000000000013</v>
      </c>
      <c r="AC10" s="164">
        <f t="shared" si="7"/>
        <v>10.3</v>
      </c>
      <c r="AD10" s="164">
        <f t="shared" si="7"/>
        <v>13.586666666666666</v>
      </c>
      <c r="AE10" s="164">
        <f t="shared" si="7"/>
        <v>4.75</v>
      </c>
      <c r="AF10" s="165">
        <f t="shared" si="7"/>
        <v>2.1</v>
      </c>
      <c r="AG10" s="165">
        <f t="shared" si="7"/>
        <v>4.8</v>
      </c>
      <c r="AH10" s="165">
        <f t="shared" si="7"/>
        <v>7.25</v>
      </c>
      <c r="AI10" s="165">
        <f t="shared" si="7"/>
        <v>8.65</v>
      </c>
      <c r="AJ10" s="165">
        <f t="shared" si="7"/>
        <v>33.200000000000003</v>
      </c>
      <c r="AK10" s="165">
        <f t="shared" si="7"/>
        <v>6.7</v>
      </c>
      <c r="AL10" s="163">
        <f t="shared" si="7"/>
        <v>10.35</v>
      </c>
      <c r="AM10" s="163">
        <f t="shared" si="7"/>
        <v>9.4</v>
      </c>
      <c r="AN10" s="163">
        <f t="shared" si="7"/>
        <v>1.0333333333333334</v>
      </c>
      <c r="AO10" s="163">
        <f t="shared" si="7"/>
        <v>2.1</v>
      </c>
      <c r="AP10" s="163">
        <f t="shared" si="7"/>
        <v>0.65</v>
      </c>
      <c r="AQ10" s="163">
        <f t="shared" si="7"/>
        <v>0.53666666666666663</v>
      </c>
      <c r="AR10" s="163">
        <f t="shared" si="7"/>
        <v>2.65</v>
      </c>
      <c r="AS10" s="163">
        <f t="shared" si="7"/>
        <v>1.4666666666666668</v>
      </c>
      <c r="AT10" s="163">
        <v>0</v>
      </c>
      <c r="AU10" s="163">
        <f>SUM((AU5)/7.5)/AU9</f>
        <v>4.8</v>
      </c>
      <c r="AV10" s="163">
        <f>SUM((AV5)/7.5)/AV9</f>
        <v>1.4</v>
      </c>
      <c r="AW10" s="163">
        <f>SUM((AW5)/7.5)/AW9</f>
        <v>2.5</v>
      </c>
      <c r="AX10" s="163">
        <v>0</v>
      </c>
      <c r="AY10" s="163">
        <f>SUM((AY5)/7.5)/AY9</f>
        <v>1.075</v>
      </c>
      <c r="AZ10" s="163">
        <f>SUM((AZ5)/7.5)/AZ9</f>
        <v>3</v>
      </c>
      <c r="BA10" s="163">
        <v>0</v>
      </c>
      <c r="BB10" s="163">
        <f>SUM((BB5)/7.5)/BB9</f>
        <v>5.5</v>
      </c>
      <c r="BC10" s="163">
        <v>0</v>
      </c>
      <c r="BD10" s="163">
        <v>4.95</v>
      </c>
      <c r="BE10" s="163">
        <v>2.2666666666666666</v>
      </c>
      <c r="BF10" s="163">
        <f t="shared" ref="BF10:BP10" si="8">SUM((BF5)/7.5)/BF9</f>
        <v>7.8</v>
      </c>
      <c r="BG10" s="163">
        <f t="shared" si="8"/>
        <v>7</v>
      </c>
      <c r="BH10" s="163">
        <f t="shared" si="8"/>
        <v>3.45</v>
      </c>
      <c r="BI10" s="122">
        <f t="shared" si="8"/>
        <v>1.0999999999999999</v>
      </c>
      <c r="BJ10" s="122">
        <f t="shared" si="8"/>
        <v>1.45</v>
      </c>
      <c r="BK10" s="122">
        <f t="shared" si="8"/>
        <v>5.9333333333333336</v>
      </c>
      <c r="BL10" s="122">
        <f t="shared" si="8"/>
        <v>4.5999999999999996</v>
      </c>
      <c r="BM10" s="122">
        <f t="shared" si="8"/>
        <v>1.5</v>
      </c>
      <c r="BN10" s="122">
        <f t="shared" si="8"/>
        <v>3</v>
      </c>
      <c r="BO10" s="122">
        <f t="shared" si="8"/>
        <v>9</v>
      </c>
      <c r="BP10" s="122">
        <f t="shared" si="8"/>
        <v>6.5</v>
      </c>
      <c r="BQ10" s="122">
        <v>0</v>
      </c>
      <c r="BR10" s="122">
        <v>0</v>
      </c>
      <c r="BS10" s="122">
        <f>SUM((BS5)/7.5)/BS9</f>
        <v>1.2</v>
      </c>
      <c r="BT10" s="122">
        <v>0</v>
      </c>
      <c r="BU10" s="122">
        <v>4.0333333333333332</v>
      </c>
      <c r="BV10" s="122">
        <v>11.65</v>
      </c>
      <c r="BW10" s="122">
        <v>1</v>
      </c>
      <c r="BX10" s="122">
        <f t="shared" ref="BX10:EI10" si="9">BX5/7.5/BX9</f>
        <v>2.8</v>
      </c>
      <c r="BY10" s="122" t="e">
        <f t="shared" si="9"/>
        <v>#DIV/0!</v>
      </c>
      <c r="BZ10" s="122">
        <f t="shared" si="9"/>
        <v>2.1</v>
      </c>
      <c r="CA10" s="122">
        <f t="shared" si="9"/>
        <v>10.25</v>
      </c>
      <c r="CB10" s="122">
        <f t="shared" si="9"/>
        <v>2.1333333333333333</v>
      </c>
      <c r="CC10" s="122">
        <f t="shared" si="9"/>
        <v>3.3000000000000003</v>
      </c>
      <c r="CD10" s="122">
        <f t="shared" si="9"/>
        <v>2.7</v>
      </c>
      <c r="CE10" s="122" t="e">
        <f t="shared" si="9"/>
        <v>#DIV/0!</v>
      </c>
      <c r="CF10" s="122">
        <f t="shared" si="9"/>
        <v>3.75</v>
      </c>
      <c r="CG10" s="122" t="e">
        <f t="shared" si="9"/>
        <v>#DIV/0!</v>
      </c>
      <c r="CH10" s="122">
        <f t="shared" si="9"/>
        <v>13.133333333333333</v>
      </c>
      <c r="CI10" s="122">
        <f t="shared" si="9"/>
        <v>38.200000000000003</v>
      </c>
      <c r="CJ10" s="122">
        <f t="shared" si="9"/>
        <v>26.7</v>
      </c>
      <c r="CK10" s="168">
        <f t="shared" si="9"/>
        <v>8.875</v>
      </c>
      <c r="CL10" s="168">
        <f t="shared" si="9"/>
        <v>13.125</v>
      </c>
      <c r="CM10" s="168">
        <f t="shared" si="9"/>
        <v>45.14</v>
      </c>
      <c r="CN10" s="168">
        <f t="shared" si="9"/>
        <v>18.45</v>
      </c>
      <c r="CO10" s="168">
        <f t="shared" si="9"/>
        <v>33.4</v>
      </c>
      <c r="CP10" s="168">
        <f t="shared" si="9"/>
        <v>49.7</v>
      </c>
      <c r="CQ10" s="168">
        <f t="shared" si="9"/>
        <v>24</v>
      </c>
      <c r="CR10" s="168">
        <f t="shared" si="9"/>
        <v>10.65</v>
      </c>
      <c r="CS10" s="168">
        <f t="shared" si="9"/>
        <v>3.5</v>
      </c>
      <c r="CT10" s="168">
        <f t="shared" si="9"/>
        <v>13.8</v>
      </c>
      <c r="CU10" s="168" t="e">
        <f t="shared" si="9"/>
        <v>#DIV/0!</v>
      </c>
      <c r="CV10" s="168" t="e">
        <f t="shared" si="9"/>
        <v>#DIV/0!</v>
      </c>
      <c r="CW10" s="166">
        <f t="shared" si="9"/>
        <v>11</v>
      </c>
      <c r="CX10" s="166">
        <f t="shared" si="9"/>
        <v>7.5350000000000001</v>
      </c>
      <c r="CY10" s="166">
        <f t="shared" si="9"/>
        <v>15</v>
      </c>
      <c r="CZ10" s="166" t="e">
        <f t="shared" si="9"/>
        <v>#DIV/0!</v>
      </c>
      <c r="DA10" s="166">
        <f t="shared" si="9"/>
        <v>8.58</v>
      </c>
      <c r="DB10" s="166">
        <f t="shared" si="9"/>
        <v>13.73</v>
      </c>
      <c r="DC10" s="166">
        <f t="shared" si="9"/>
        <v>6.4233333333333329</v>
      </c>
      <c r="DD10" s="166">
        <f t="shared" si="9"/>
        <v>31</v>
      </c>
      <c r="DE10" s="166">
        <f t="shared" si="9"/>
        <v>45.47</v>
      </c>
      <c r="DF10" s="166">
        <f t="shared" si="9"/>
        <v>28.675000000000001</v>
      </c>
      <c r="DG10" s="166">
        <f t="shared" si="9"/>
        <v>49.85</v>
      </c>
      <c r="DH10" s="166">
        <f t="shared" si="9"/>
        <v>10.709999999999999</v>
      </c>
      <c r="DI10" s="166">
        <f t="shared" si="9"/>
        <v>22.119999999999997</v>
      </c>
      <c r="DJ10" s="166">
        <f t="shared" si="9"/>
        <v>23.18</v>
      </c>
      <c r="DK10" s="166" t="e">
        <f t="shared" si="9"/>
        <v>#DIV/0!</v>
      </c>
      <c r="DL10" s="166">
        <f t="shared" si="9"/>
        <v>21.52</v>
      </c>
      <c r="DM10" s="166" t="e">
        <f t="shared" si="9"/>
        <v>#DIV/0!</v>
      </c>
      <c r="DN10" s="166">
        <f t="shared" si="9"/>
        <v>32.61</v>
      </c>
      <c r="DO10" s="166" t="e">
        <f t="shared" si="9"/>
        <v>#DIV/0!</v>
      </c>
      <c r="DP10" s="166">
        <f t="shared" si="9"/>
        <v>14.443333333333333</v>
      </c>
      <c r="DQ10" s="166">
        <f t="shared" si="9"/>
        <v>48.6</v>
      </c>
      <c r="DR10" s="166">
        <f t="shared" si="9"/>
        <v>26.8</v>
      </c>
      <c r="DS10" s="166">
        <f t="shared" si="9"/>
        <v>14.266666666666666</v>
      </c>
      <c r="DT10" s="166">
        <f t="shared" si="9"/>
        <v>35.299999999999997</v>
      </c>
      <c r="DU10" s="166">
        <f t="shared" si="9"/>
        <v>29.96</v>
      </c>
      <c r="DV10" s="166">
        <f t="shared" si="9"/>
        <v>22.633333333333336</v>
      </c>
      <c r="DW10" s="166">
        <f t="shared" si="9"/>
        <v>86</v>
      </c>
      <c r="DX10" s="166" t="e">
        <f t="shared" si="9"/>
        <v>#DIV/0!</v>
      </c>
      <c r="DY10" s="166">
        <f t="shared" si="9"/>
        <v>45.6</v>
      </c>
      <c r="DZ10" s="166">
        <f t="shared" si="9"/>
        <v>27.15</v>
      </c>
      <c r="EA10" s="166" t="e">
        <f t="shared" si="9"/>
        <v>#DIV/0!</v>
      </c>
      <c r="EB10" s="166">
        <f t="shared" si="9"/>
        <v>40.700000000000003</v>
      </c>
      <c r="EC10" s="166" t="e">
        <f t="shared" si="9"/>
        <v>#DIV/0!</v>
      </c>
      <c r="ED10" s="166">
        <f t="shared" si="9"/>
        <v>6.7</v>
      </c>
      <c r="EE10" s="166">
        <f t="shared" si="9"/>
        <v>5.95</v>
      </c>
      <c r="EF10" s="166">
        <f t="shared" si="9"/>
        <v>7.4</v>
      </c>
      <c r="EG10" s="166">
        <f t="shared" si="9"/>
        <v>4.8</v>
      </c>
      <c r="EH10" s="166">
        <f t="shared" si="9"/>
        <v>2.2999999999999998</v>
      </c>
      <c r="EI10" s="166">
        <f t="shared" si="9"/>
        <v>2.98</v>
      </c>
      <c r="EJ10" s="1">
        <f t="shared" ref="EJ10:EN10" si="10">EJ5/7.5/EJ9</f>
        <v>2.15</v>
      </c>
      <c r="EK10" s="1">
        <f t="shared" si="10"/>
        <v>4.8499999999999996</v>
      </c>
      <c r="EL10" s="1">
        <f t="shared" si="10"/>
        <v>1</v>
      </c>
      <c r="EM10" s="1">
        <f t="shared" si="10"/>
        <v>1.53</v>
      </c>
      <c r="EN10" s="1">
        <f t="shared" si="10"/>
        <v>2.9</v>
      </c>
      <c r="EO10" s="1">
        <f>EO5/7.5/EO9</f>
        <v>5</v>
      </c>
      <c r="EP10" s="1">
        <f>EP5/7.5/EP9</f>
        <v>7.66</v>
      </c>
      <c r="EQ10" s="1">
        <f>EQ5/7.5/EQ9</f>
        <v>8.0599999999999987</v>
      </c>
      <c r="ER10" s="1" t="e">
        <f>ER5/7.5/ER9</f>
        <v>#DIV/0!</v>
      </c>
    </row>
    <row r="11" spans="1:148" s="170" customFormat="1" ht="15" x14ac:dyDescent="0.25">
      <c r="A11" s="146" t="s">
        <v>194</v>
      </c>
      <c r="B11" s="169"/>
      <c r="C11" s="169"/>
      <c r="D11" s="169"/>
      <c r="E11" s="169"/>
      <c r="F11" s="169"/>
      <c r="G11" s="169"/>
      <c r="H11" s="169"/>
      <c r="I11" s="169"/>
      <c r="J11" s="169"/>
      <c r="K11" s="169"/>
      <c r="L11" s="169"/>
      <c r="M11" s="169"/>
      <c r="N11" s="164">
        <f t="shared" ref="N11:BC11" si="11">SUM(N9)/N7*200000</f>
        <v>3.9999040023039449</v>
      </c>
      <c r="O11" s="164">
        <f t="shared" si="11"/>
        <v>0.53688680815423684</v>
      </c>
      <c r="P11" s="164">
        <f t="shared" si="11"/>
        <v>0</v>
      </c>
      <c r="Q11" s="164">
        <f t="shared" si="11"/>
        <v>2.4162176528861719</v>
      </c>
      <c r="R11" s="164">
        <f t="shared" si="11"/>
        <v>2.4164317358034633</v>
      </c>
      <c r="S11" s="164">
        <f t="shared" si="11"/>
        <v>0.73166270349368934</v>
      </c>
      <c r="T11" s="164">
        <f t="shared" si="11"/>
        <v>1.4633254069873787</v>
      </c>
      <c r="U11" s="164">
        <f t="shared" si="11"/>
        <v>3.00944212466614</v>
      </c>
      <c r="V11" s="164">
        <f t="shared" si="11"/>
        <v>1.4969891805106978</v>
      </c>
      <c r="W11" s="164">
        <f t="shared" si="11"/>
        <v>2.2174669874602242</v>
      </c>
      <c r="X11" s="164">
        <f t="shared" si="11"/>
        <v>2.2174669874602242</v>
      </c>
      <c r="Y11" s="164">
        <f t="shared" si="11"/>
        <v>2.2174669874602242</v>
      </c>
      <c r="Z11" s="164">
        <f t="shared" si="11"/>
        <v>2.723151979429673</v>
      </c>
      <c r="AA11" s="164">
        <f t="shared" si="11"/>
        <v>1.7683602768810105</v>
      </c>
      <c r="AB11" s="164">
        <f t="shared" si="11"/>
        <v>5.3090391700909967</v>
      </c>
      <c r="AC11" s="164">
        <f t="shared" si="11"/>
        <v>4.5468599385264534</v>
      </c>
      <c r="AD11" s="164">
        <f t="shared" si="11"/>
        <v>2.7391925727706457</v>
      </c>
      <c r="AE11" s="164">
        <f t="shared" si="11"/>
        <v>1.7885248247245673</v>
      </c>
      <c r="AF11" s="165">
        <f t="shared" si="11"/>
        <v>2.8109271983910253</v>
      </c>
      <c r="AG11" s="165">
        <f t="shared" si="11"/>
        <v>2.5253720977950347</v>
      </c>
      <c r="AH11" s="165">
        <f t="shared" si="11"/>
        <v>1.9716088328075712</v>
      </c>
      <c r="AI11" s="165">
        <f t="shared" si="11"/>
        <v>4.0546156731168841</v>
      </c>
      <c r="AJ11" s="165">
        <f t="shared" si="11"/>
        <v>0.99416919765574907</v>
      </c>
      <c r="AK11" s="165">
        <f t="shared" si="11"/>
        <v>2.780648539927796</v>
      </c>
      <c r="AL11" s="163">
        <f t="shared" si="11"/>
        <v>1.8913877220471453</v>
      </c>
      <c r="AM11" s="163">
        <f t="shared" si="11"/>
        <v>2.374845635033723</v>
      </c>
      <c r="AN11" s="163">
        <f t="shared" si="11"/>
        <v>3.1326637682217262</v>
      </c>
      <c r="AO11" s="163">
        <f t="shared" si="11"/>
        <v>1.752518149516086</v>
      </c>
      <c r="AP11" s="163">
        <f t="shared" si="11"/>
        <v>1.7974253948258323</v>
      </c>
      <c r="AQ11" s="163">
        <f t="shared" si="11"/>
        <v>2.7393632806614647</v>
      </c>
      <c r="AR11" s="163">
        <f t="shared" si="11"/>
        <v>1.7271878320653544</v>
      </c>
      <c r="AS11" s="163">
        <f t="shared" si="11"/>
        <v>1.8135873967766505</v>
      </c>
      <c r="AT11" s="163">
        <f t="shared" si="11"/>
        <v>0</v>
      </c>
      <c r="AU11" s="163">
        <f t="shared" si="11"/>
        <v>0.88076529696653427</v>
      </c>
      <c r="AV11" s="163">
        <f t="shared" si="11"/>
        <v>0.8856403600482321</v>
      </c>
      <c r="AW11" s="163">
        <f t="shared" si="11"/>
        <v>1.7370308930944338</v>
      </c>
      <c r="AX11" s="163">
        <f t="shared" si="11"/>
        <v>0</v>
      </c>
      <c r="AY11" s="163">
        <f t="shared" si="11"/>
        <v>3.3899885164139008</v>
      </c>
      <c r="AZ11" s="163">
        <f t="shared" si="11"/>
        <v>0.79642881320160397</v>
      </c>
      <c r="BA11" s="163">
        <f t="shared" si="11"/>
        <v>0</v>
      </c>
      <c r="BB11" s="163">
        <f t="shared" si="11"/>
        <v>3.1603814580419858</v>
      </c>
      <c r="BC11" s="163">
        <f t="shared" si="11"/>
        <v>0</v>
      </c>
      <c r="BD11" s="163">
        <v>1.1822427144292722</v>
      </c>
      <c r="BE11" s="163">
        <v>1.8495142713144961</v>
      </c>
      <c r="BF11" s="163">
        <f>SUM(BF9)/BF7*200000</f>
        <v>1.8972991945964919</v>
      </c>
      <c r="BG11" s="163">
        <f>SUM(BG9)/BG7*200000</f>
        <v>1.920003072004915</v>
      </c>
      <c r="BH11" s="163">
        <f t="shared" ref="BH11:BO11" si="12">SUM(BH9)/BJ7*200000</f>
        <v>1.7524183373054816</v>
      </c>
      <c r="BI11" s="29">
        <f t="shared" si="12"/>
        <v>2.6382323843025173</v>
      </c>
      <c r="BJ11" s="29">
        <f t="shared" si="12"/>
        <v>2.1505954461141426</v>
      </c>
      <c r="BK11" s="29">
        <f t="shared" si="12"/>
        <v>2.6451527575717497</v>
      </c>
      <c r="BL11" s="29">
        <f t="shared" si="12"/>
        <v>1.8455036610178877</v>
      </c>
      <c r="BM11" s="29">
        <f t="shared" si="12"/>
        <v>2.664759882928216</v>
      </c>
      <c r="BN11" s="29">
        <f t="shared" si="12"/>
        <v>0.60202521281591281</v>
      </c>
      <c r="BO11" s="29">
        <f t="shared" si="12"/>
        <v>0.91009615165842273</v>
      </c>
      <c r="BP11" s="29">
        <f>SUM(BP9)/BP7*200000</f>
        <v>0.60202521281591281</v>
      </c>
      <c r="BQ11" s="29">
        <f>SUM(BQ9)/BQ7*200000</f>
        <v>0</v>
      </c>
      <c r="BR11" s="29">
        <f>SUM(BR9)/BR7*200000</f>
        <v>0</v>
      </c>
      <c r="BS11" s="29">
        <f>SUM(BS9)/BS7*200000</f>
        <v>0.92729540386033082</v>
      </c>
      <c r="BT11" s="29">
        <v>0</v>
      </c>
      <c r="BU11" s="29">
        <v>1.8223770959272878</v>
      </c>
      <c r="BV11" s="29">
        <v>1.7187911569913763</v>
      </c>
      <c r="BW11" s="29">
        <v>0.87236056406834062</v>
      </c>
      <c r="BX11" s="29">
        <f t="shared" ref="BX11:EI11" si="13">BX9/BX7*200000</f>
        <v>1.0583410504034927</v>
      </c>
      <c r="BY11" s="29">
        <f t="shared" si="13"/>
        <v>0</v>
      </c>
      <c r="BZ11" s="29">
        <f t="shared" si="13"/>
        <v>1.8997880786398278</v>
      </c>
      <c r="CA11" s="29">
        <f t="shared" si="13"/>
        <v>1.2108811597335396</v>
      </c>
      <c r="CB11" s="29">
        <f t="shared" si="13"/>
        <v>2.637495961334309</v>
      </c>
      <c r="CC11" s="29">
        <f t="shared" si="13"/>
        <v>2.5852819896330193</v>
      </c>
      <c r="CD11" s="29">
        <f t="shared" si="13"/>
        <v>0.95924641601557814</v>
      </c>
      <c r="CE11" s="29">
        <f t="shared" si="13"/>
        <v>0</v>
      </c>
      <c r="CF11" s="29">
        <f t="shared" si="13"/>
        <v>1.8354925991791218</v>
      </c>
      <c r="CG11" s="29">
        <f t="shared" si="13"/>
        <v>0</v>
      </c>
      <c r="CH11" s="29">
        <f t="shared" si="13"/>
        <v>2.7599245160644856</v>
      </c>
      <c r="CI11" s="29">
        <f t="shared" si="13"/>
        <v>0.92098628421176243</v>
      </c>
      <c r="CJ11" s="29">
        <f t="shared" si="13"/>
        <v>1.0755972791691224</v>
      </c>
      <c r="CK11" s="163">
        <f t="shared" si="13"/>
        <v>3.6796534208036014</v>
      </c>
      <c r="CL11" s="163">
        <f t="shared" si="13"/>
        <v>3.8181768892625612</v>
      </c>
      <c r="CM11" s="163">
        <f t="shared" si="13"/>
        <v>0.6182141912489495</v>
      </c>
      <c r="CN11" s="163">
        <f t="shared" si="13"/>
        <v>1.9190855020238917</v>
      </c>
      <c r="CO11" s="163">
        <f t="shared" si="13"/>
        <v>0.93017964606013337</v>
      </c>
      <c r="CP11" s="163">
        <f t="shared" si="13"/>
        <v>0.92969147769951377</v>
      </c>
      <c r="CQ11" s="163">
        <f t="shared" si="13"/>
        <v>0.94144042833280028</v>
      </c>
      <c r="CR11" s="163">
        <f t="shared" si="13"/>
        <v>1.22306624664941</v>
      </c>
      <c r="CS11" s="163">
        <f t="shared" si="13"/>
        <v>1.803709264973594</v>
      </c>
      <c r="CT11" s="163">
        <f t="shared" si="13"/>
        <v>0.86170983308723625</v>
      </c>
      <c r="CU11" s="163">
        <f t="shared" si="13"/>
        <v>0</v>
      </c>
      <c r="CV11" s="163">
        <f t="shared" si="13"/>
        <v>0</v>
      </c>
      <c r="CW11" s="163">
        <f t="shared" si="13"/>
        <v>1.7122178687656062</v>
      </c>
      <c r="CX11" s="163">
        <f t="shared" si="13"/>
        <v>1.1893658678816119</v>
      </c>
      <c r="CY11" s="163">
        <f t="shared" si="13"/>
        <v>0.89669149979051044</v>
      </c>
      <c r="CZ11" s="163">
        <f t="shared" si="13"/>
        <v>0</v>
      </c>
      <c r="DA11" s="163">
        <f t="shared" si="13"/>
        <v>2.682102104676813</v>
      </c>
      <c r="DB11" s="163">
        <f t="shared" si="13"/>
        <v>0.91458444369600944</v>
      </c>
      <c r="DC11" s="163">
        <f t="shared" si="13"/>
        <v>1.8048044978615776</v>
      </c>
      <c r="DD11" s="163">
        <f t="shared" si="13"/>
        <v>0.91257391335375337</v>
      </c>
      <c r="DE11" s="163">
        <f t="shared" si="13"/>
        <v>0.88682381125480514</v>
      </c>
      <c r="DF11" s="163">
        <f t="shared" si="13"/>
        <v>1.6982048064715187</v>
      </c>
      <c r="DG11" s="163">
        <f t="shared" si="13"/>
        <v>0.85320606684118705</v>
      </c>
      <c r="DH11" s="163">
        <f t="shared" si="13"/>
        <v>5.2502891596754688</v>
      </c>
      <c r="DI11" s="163">
        <f t="shared" si="13"/>
        <v>0.86184143194953933</v>
      </c>
      <c r="DJ11" s="163">
        <f t="shared" si="13"/>
        <v>0.59765280824354472</v>
      </c>
      <c r="DK11" s="163">
        <f t="shared" si="13"/>
        <v>0</v>
      </c>
      <c r="DL11" s="163">
        <f t="shared" si="13"/>
        <v>0.85074637468257053</v>
      </c>
      <c r="DM11" s="163">
        <f t="shared" si="13"/>
        <v>0</v>
      </c>
      <c r="DN11" s="163">
        <f t="shared" si="13"/>
        <v>0.92345376324723283</v>
      </c>
      <c r="DO11" s="163">
        <f t="shared" si="13"/>
        <v>0</v>
      </c>
      <c r="DP11" s="163">
        <f t="shared" si="13"/>
        <v>2.7451313037479554</v>
      </c>
      <c r="DQ11" s="163">
        <f t="shared" si="13"/>
        <v>0.85442152458704745</v>
      </c>
      <c r="DR11" s="163">
        <f t="shared" si="13"/>
        <v>1.7699425958942727</v>
      </c>
      <c r="DS11" s="163">
        <f t="shared" si="13"/>
        <v>2.5610668243373231</v>
      </c>
      <c r="DT11" s="163">
        <f t="shared" si="13"/>
        <v>0.39449067732727749</v>
      </c>
      <c r="DU11" s="163">
        <f t="shared" si="13"/>
        <v>0.49278166032234921</v>
      </c>
      <c r="DV11" s="163">
        <f t="shared" si="13"/>
        <v>1.4588670963322039</v>
      </c>
      <c r="DW11" s="163">
        <f t="shared" si="13"/>
        <v>0.46126008043545547</v>
      </c>
      <c r="DX11" s="163">
        <f t="shared" si="13"/>
        <v>0</v>
      </c>
      <c r="DY11" s="163">
        <f t="shared" si="13"/>
        <v>0.96628193024285136</v>
      </c>
      <c r="DZ11" s="163">
        <f t="shared" si="13"/>
        <v>0.90308053866406113</v>
      </c>
      <c r="EA11" s="163">
        <f t="shared" si="13"/>
        <v>0</v>
      </c>
      <c r="EB11" s="163">
        <f t="shared" si="13"/>
        <v>0.47482770935919361</v>
      </c>
      <c r="EC11" s="163">
        <f t="shared" si="13"/>
        <v>0</v>
      </c>
      <c r="ED11" s="163">
        <f t="shared" si="13"/>
        <v>0.48371764095259961</v>
      </c>
      <c r="EE11" s="163">
        <f t="shared" si="13"/>
        <v>0.90407601995539866</v>
      </c>
      <c r="EF11" s="163">
        <f t="shared" si="13"/>
        <v>0.37575908965451082</v>
      </c>
      <c r="EG11" s="163">
        <f t="shared" si="13"/>
        <v>0.47830375885531579</v>
      </c>
      <c r="EH11" s="163">
        <f t="shared" si="13"/>
        <v>0.46952677335567033</v>
      </c>
      <c r="EI11" s="163">
        <f t="shared" si="13"/>
        <v>0.94777606951672122</v>
      </c>
      <c r="EJ11" s="1">
        <f t="shared" ref="EJ11:EN11" si="14">EJ9/EJ7*200000</f>
        <v>0.9187313661181703</v>
      </c>
      <c r="EK11" s="1">
        <f t="shared" si="14"/>
        <v>0.925082430626334</v>
      </c>
      <c r="EL11" s="1">
        <f t="shared" si="14"/>
        <v>0.31220113083308199</v>
      </c>
      <c r="EM11" s="1">
        <f t="shared" si="14"/>
        <v>0.47123010613751298</v>
      </c>
      <c r="EN11" s="1">
        <f t="shared" si="14"/>
        <v>0.92978991327175375</v>
      </c>
      <c r="EO11" s="1">
        <f>EO9/EO7*200000</f>
        <v>0.44891062633851125</v>
      </c>
      <c r="EP11" s="1">
        <f>EP9/EP7*200000</f>
        <v>0.41492994574036202</v>
      </c>
      <c r="EQ11" s="1">
        <f>EQ9/EQ7*200000</f>
        <v>0.27520884274633467</v>
      </c>
      <c r="ER11" s="1">
        <f>ER9/ER7*200000</f>
        <v>0</v>
      </c>
    </row>
    <row r="12" spans="1:148" x14ac:dyDescent="0.2">
      <c r="A12" s="171" t="s">
        <v>195</v>
      </c>
      <c r="B12" s="172"/>
      <c r="C12" s="173"/>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3"/>
      <c r="AB12" s="173"/>
      <c r="AC12" s="173"/>
      <c r="AD12" s="173"/>
      <c r="AE12" s="173"/>
      <c r="AF12" s="173"/>
      <c r="AG12" s="173"/>
      <c r="AH12" s="173"/>
      <c r="AI12" s="173"/>
      <c r="AJ12" s="173"/>
      <c r="AK12" s="173"/>
      <c r="AL12" s="173"/>
      <c r="AM12" s="173"/>
      <c r="AN12" s="173"/>
      <c r="AO12" s="173"/>
      <c r="AP12" s="173"/>
      <c r="AQ12" s="173"/>
      <c r="AR12" s="173"/>
      <c r="AS12" s="173"/>
      <c r="AT12" s="173"/>
      <c r="AU12" s="173"/>
      <c r="AV12" s="173"/>
      <c r="AW12" s="173"/>
      <c r="AX12" s="173"/>
      <c r="AY12" s="173"/>
      <c r="AZ12" s="173"/>
      <c r="BA12" s="173"/>
      <c r="BB12" s="173"/>
      <c r="BC12" s="174"/>
      <c r="BD12" s="174"/>
      <c r="BE12" s="174"/>
      <c r="BF12" s="174"/>
      <c r="BG12" s="174"/>
      <c r="BH12" s="174"/>
      <c r="BI12" s="174"/>
      <c r="BJ12" s="174"/>
      <c r="BK12" s="174"/>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c r="CH12" s="173"/>
      <c r="CI12" s="173"/>
      <c r="CJ12" s="173"/>
      <c r="CK12" s="173"/>
      <c r="CL12" s="173"/>
      <c r="CM12" s="173"/>
      <c r="CN12" s="173"/>
      <c r="CO12" s="173"/>
      <c r="CP12" s="173"/>
      <c r="CQ12" s="173"/>
      <c r="CR12" s="173"/>
      <c r="CS12" s="173"/>
      <c r="CT12" s="173"/>
      <c r="CU12" s="173"/>
      <c r="CV12" s="173"/>
      <c r="CW12" s="173"/>
      <c r="CX12" s="173"/>
      <c r="CY12" s="173"/>
      <c r="CZ12" s="173"/>
      <c r="DA12" s="173"/>
      <c r="DB12" s="173"/>
      <c r="DC12" s="173"/>
      <c r="DD12" s="173"/>
      <c r="DE12" s="173"/>
      <c r="DF12" s="173"/>
      <c r="DG12" s="173"/>
      <c r="DH12" s="173"/>
      <c r="DI12" s="173"/>
      <c r="DJ12" s="173"/>
      <c r="DK12" s="173"/>
      <c r="DL12" s="173"/>
      <c r="DM12" s="173"/>
      <c r="DN12" s="173"/>
      <c r="DO12" s="173"/>
      <c r="DP12" s="173"/>
      <c r="DQ12" s="173"/>
      <c r="DR12" s="173"/>
      <c r="DS12" s="173"/>
      <c r="DT12" s="173"/>
      <c r="DU12" s="173"/>
      <c r="DV12" s="173"/>
      <c r="DW12" s="173"/>
      <c r="DX12" s="173"/>
      <c r="DY12" s="173"/>
      <c r="DZ12" s="173"/>
      <c r="EA12" s="173"/>
      <c r="EB12" s="173"/>
      <c r="EC12" s="173"/>
      <c r="ED12" s="173"/>
      <c r="EE12" s="173"/>
      <c r="EF12" s="173"/>
      <c r="EG12" s="173"/>
      <c r="EH12" s="173"/>
      <c r="EI12" s="173"/>
      <c r="EJ12" s="173"/>
      <c r="EK12" s="173"/>
      <c r="EL12" s="173"/>
      <c r="EM12" s="173"/>
      <c r="EN12" s="173"/>
      <c r="EO12" s="173"/>
      <c r="EP12" s="173"/>
      <c r="EQ12" s="173"/>
      <c r="ER12" s="173"/>
    </row>
    <row r="13" spans="1:148" ht="15" x14ac:dyDescent="0.25">
      <c r="A13" s="175" t="s">
        <v>196</v>
      </c>
      <c r="B13" s="148">
        <v>3</v>
      </c>
      <c r="C13" s="148">
        <v>2</v>
      </c>
      <c r="D13" s="148">
        <v>4</v>
      </c>
      <c r="E13" s="148">
        <v>2</v>
      </c>
      <c r="F13" s="148">
        <v>3</v>
      </c>
      <c r="G13" s="148">
        <v>0</v>
      </c>
      <c r="H13" s="148">
        <v>3</v>
      </c>
      <c r="I13" s="148">
        <v>2</v>
      </c>
      <c r="J13" s="148">
        <v>5</v>
      </c>
      <c r="K13" s="148">
        <v>5</v>
      </c>
      <c r="L13" s="148">
        <v>3</v>
      </c>
      <c r="M13" s="148">
        <v>4</v>
      </c>
      <c r="N13" s="147">
        <v>3</v>
      </c>
      <c r="O13" s="147">
        <v>0</v>
      </c>
      <c r="P13" s="147">
        <v>2</v>
      </c>
      <c r="Q13" s="147">
        <v>1</v>
      </c>
      <c r="R13" s="147">
        <v>3</v>
      </c>
      <c r="S13" s="147">
        <v>1</v>
      </c>
      <c r="T13" s="147">
        <v>5</v>
      </c>
      <c r="U13" s="147">
        <v>3</v>
      </c>
      <c r="V13" s="147">
        <v>2</v>
      </c>
      <c r="W13" s="147">
        <v>2</v>
      </c>
      <c r="X13" s="147">
        <v>0</v>
      </c>
      <c r="Y13" s="176">
        <v>2</v>
      </c>
      <c r="Z13" s="176">
        <v>2</v>
      </c>
      <c r="AA13" s="176">
        <v>1</v>
      </c>
      <c r="AB13" s="176">
        <v>2</v>
      </c>
      <c r="AC13" s="176">
        <v>2</v>
      </c>
      <c r="AD13" s="176">
        <v>4</v>
      </c>
      <c r="AE13" s="176">
        <v>3</v>
      </c>
      <c r="AF13" s="176">
        <v>0</v>
      </c>
      <c r="AG13" s="176">
        <v>3</v>
      </c>
      <c r="AH13" s="176">
        <v>0</v>
      </c>
      <c r="AI13" s="176">
        <v>2</v>
      </c>
      <c r="AJ13" s="176">
        <v>1</v>
      </c>
      <c r="AK13" s="176">
        <v>5</v>
      </c>
      <c r="AL13" s="176">
        <v>6</v>
      </c>
      <c r="AM13" s="176">
        <v>1</v>
      </c>
      <c r="AN13" s="176">
        <v>0</v>
      </c>
      <c r="AO13" s="176">
        <v>4</v>
      </c>
      <c r="AP13" s="176">
        <v>1</v>
      </c>
      <c r="AQ13" s="176">
        <v>2</v>
      </c>
      <c r="AR13" s="176">
        <v>2</v>
      </c>
      <c r="AS13" s="176">
        <v>6</v>
      </c>
      <c r="AT13" s="176">
        <v>3</v>
      </c>
      <c r="AU13" s="176">
        <v>3</v>
      </c>
      <c r="AV13" s="176">
        <v>3</v>
      </c>
      <c r="AW13" s="176">
        <v>4</v>
      </c>
      <c r="AX13" s="176">
        <v>2</v>
      </c>
      <c r="AY13" s="176">
        <v>1</v>
      </c>
      <c r="AZ13" s="176">
        <v>0</v>
      </c>
      <c r="BA13" s="176">
        <v>2</v>
      </c>
      <c r="BB13" s="176">
        <v>0</v>
      </c>
      <c r="BC13" s="177">
        <v>4</v>
      </c>
      <c r="BD13" s="177">
        <v>3</v>
      </c>
      <c r="BE13" s="177">
        <v>4</v>
      </c>
      <c r="BF13" s="178">
        <v>0</v>
      </c>
      <c r="BG13" s="178">
        <v>1</v>
      </c>
      <c r="BH13" s="178">
        <v>2</v>
      </c>
      <c r="BI13" s="178">
        <v>2</v>
      </c>
      <c r="BJ13" s="178">
        <v>0</v>
      </c>
      <c r="BK13" s="178">
        <v>0</v>
      </c>
      <c r="BL13" s="178">
        <v>0</v>
      </c>
      <c r="BM13" s="178">
        <v>1</v>
      </c>
      <c r="BN13" s="178">
        <v>2</v>
      </c>
      <c r="BO13" s="178">
        <v>1</v>
      </c>
      <c r="BP13" s="178">
        <v>1</v>
      </c>
      <c r="BQ13" s="178">
        <v>2</v>
      </c>
      <c r="BR13" s="178">
        <v>2</v>
      </c>
      <c r="BS13" s="179">
        <v>2</v>
      </c>
      <c r="BT13" s="179">
        <v>3</v>
      </c>
      <c r="BU13" s="179">
        <v>3</v>
      </c>
      <c r="BV13" s="179">
        <v>1</v>
      </c>
      <c r="BW13" s="179">
        <v>3</v>
      </c>
      <c r="BX13" s="179">
        <v>1</v>
      </c>
      <c r="BY13" s="179">
        <v>3</v>
      </c>
      <c r="BZ13" s="179">
        <v>0</v>
      </c>
      <c r="CA13" s="179">
        <v>0</v>
      </c>
      <c r="CB13" s="8">
        <v>0</v>
      </c>
      <c r="CC13" s="179">
        <v>1</v>
      </c>
      <c r="CD13" s="179">
        <v>1</v>
      </c>
      <c r="CE13" s="179">
        <v>0</v>
      </c>
      <c r="CF13" s="179">
        <v>3</v>
      </c>
      <c r="CG13" s="179">
        <v>0</v>
      </c>
      <c r="CH13" s="179">
        <v>3</v>
      </c>
      <c r="CI13" s="180">
        <v>1</v>
      </c>
      <c r="CJ13" s="180">
        <v>2</v>
      </c>
      <c r="CK13" s="130">
        <v>0</v>
      </c>
      <c r="CL13" s="180">
        <v>2</v>
      </c>
      <c r="CM13" s="180">
        <v>0</v>
      </c>
      <c r="CN13" s="180">
        <v>2</v>
      </c>
      <c r="CO13" s="180">
        <v>1</v>
      </c>
      <c r="CP13" s="180">
        <v>1</v>
      </c>
      <c r="CQ13" s="180">
        <v>4</v>
      </c>
      <c r="CR13" s="180">
        <v>3</v>
      </c>
      <c r="CS13" s="180">
        <v>0</v>
      </c>
      <c r="CT13" s="180">
        <v>2</v>
      </c>
      <c r="CU13" s="180">
        <v>3</v>
      </c>
      <c r="CV13" s="180">
        <v>8</v>
      </c>
      <c r="CW13" s="180">
        <v>3</v>
      </c>
      <c r="CX13" s="180">
        <v>5</v>
      </c>
      <c r="CY13" s="1">
        <v>4</v>
      </c>
      <c r="CZ13" s="180">
        <v>5</v>
      </c>
      <c r="DA13" s="180">
        <v>5</v>
      </c>
      <c r="DB13" s="180">
        <v>0</v>
      </c>
      <c r="DC13" s="180">
        <v>3</v>
      </c>
      <c r="DD13" s="180">
        <v>3</v>
      </c>
      <c r="DE13" s="180">
        <v>3</v>
      </c>
      <c r="DF13" s="180">
        <v>2</v>
      </c>
      <c r="DG13" s="180">
        <v>2</v>
      </c>
      <c r="DH13" s="180">
        <v>5</v>
      </c>
      <c r="DI13" s="180">
        <v>3</v>
      </c>
      <c r="DJ13" s="180">
        <v>1</v>
      </c>
      <c r="DK13" s="180">
        <v>6</v>
      </c>
      <c r="DL13" s="180">
        <v>4</v>
      </c>
      <c r="DM13" s="180">
        <v>1</v>
      </c>
      <c r="DN13" s="180">
        <v>3</v>
      </c>
      <c r="DO13" s="180">
        <v>3</v>
      </c>
      <c r="DP13" s="180">
        <v>5</v>
      </c>
      <c r="DQ13" s="180">
        <v>5</v>
      </c>
      <c r="DR13" s="180">
        <v>3</v>
      </c>
      <c r="DS13" s="180">
        <v>3</v>
      </c>
      <c r="DT13" s="180">
        <v>5</v>
      </c>
      <c r="DU13" s="177">
        <v>3</v>
      </c>
      <c r="DV13" s="178">
        <v>3</v>
      </c>
      <c r="DW13" s="178">
        <v>3</v>
      </c>
      <c r="DX13" s="178">
        <v>4</v>
      </c>
      <c r="DY13" s="178">
        <v>1</v>
      </c>
      <c r="DZ13" s="178">
        <v>2</v>
      </c>
      <c r="EA13" s="178">
        <v>0</v>
      </c>
      <c r="EB13" s="178">
        <v>6</v>
      </c>
      <c r="EC13" s="178">
        <v>9</v>
      </c>
      <c r="ED13" s="178">
        <v>6</v>
      </c>
      <c r="EE13" s="178">
        <v>5</v>
      </c>
      <c r="EF13" s="178">
        <v>4</v>
      </c>
      <c r="EG13" s="178">
        <v>7</v>
      </c>
      <c r="EH13" s="178">
        <v>2</v>
      </c>
      <c r="EI13" s="178">
        <v>4</v>
      </c>
      <c r="EJ13" s="61">
        <v>4</v>
      </c>
      <c r="EK13" s="61">
        <v>5</v>
      </c>
      <c r="EL13" s="61">
        <v>12</v>
      </c>
      <c r="EM13" s="61">
        <v>4</v>
      </c>
      <c r="EN13" s="61">
        <v>10</v>
      </c>
      <c r="EO13" s="61">
        <v>10</v>
      </c>
      <c r="EP13" s="61">
        <v>2</v>
      </c>
      <c r="EQ13" s="61">
        <v>6</v>
      </c>
      <c r="ER13" s="61">
        <v>4</v>
      </c>
    </row>
    <row r="14" spans="1:148" ht="15" x14ac:dyDescent="0.25">
      <c r="A14" s="175" t="s">
        <v>197</v>
      </c>
      <c r="B14" s="148">
        <v>0</v>
      </c>
      <c r="C14" s="148">
        <v>36</v>
      </c>
      <c r="D14" s="148">
        <v>197</v>
      </c>
      <c r="E14" s="148">
        <v>72</v>
      </c>
      <c r="F14" s="148">
        <v>15</v>
      </c>
      <c r="G14" s="148">
        <v>35</v>
      </c>
      <c r="H14" s="148">
        <v>2</v>
      </c>
      <c r="I14" s="148">
        <v>135</v>
      </c>
      <c r="J14" s="148">
        <v>30</v>
      </c>
      <c r="K14" s="148">
        <v>138</v>
      </c>
      <c r="L14" s="148">
        <v>0</v>
      </c>
      <c r="M14" s="148">
        <v>53</v>
      </c>
      <c r="N14" s="147">
        <v>9</v>
      </c>
      <c r="O14" s="147">
        <v>169</v>
      </c>
      <c r="P14" s="147">
        <v>30</v>
      </c>
      <c r="Q14" s="147">
        <v>0</v>
      </c>
      <c r="R14" s="147">
        <v>0</v>
      </c>
      <c r="S14" s="147">
        <v>8</v>
      </c>
      <c r="T14" s="147">
        <v>105.5</v>
      </c>
      <c r="U14" s="147">
        <v>23.5</v>
      </c>
      <c r="V14" s="147">
        <v>0</v>
      </c>
      <c r="W14" s="147">
        <v>0</v>
      </c>
      <c r="X14" s="147">
        <v>0</v>
      </c>
      <c r="Y14" s="147">
        <v>14</v>
      </c>
      <c r="Z14" s="147">
        <v>0</v>
      </c>
      <c r="AA14" s="147">
        <v>0</v>
      </c>
      <c r="AB14" s="147">
        <v>2.48</v>
      </c>
      <c r="AC14" s="147">
        <v>68</v>
      </c>
      <c r="AD14" s="147">
        <v>30</v>
      </c>
      <c r="AE14" s="147">
        <v>71</v>
      </c>
      <c r="AF14" s="147">
        <v>0</v>
      </c>
      <c r="AG14" s="147">
        <v>0</v>
      </c>
      <c r="AH14" s="147">
        <v>0</v>
      </c>
      <c r="AI14" s="147">
        <v>0</v>
      </c>
      <c r="AJ14" s="147">
        <v>0</v>
      </c>
      <c r="AK14" s="147">
        <v>0</v>
      </c>
      <c r="AL14" s="147">
        <v>37</v>
      </c>
      <c r="AM14" s="147">
        <v>99</v>
      </c>
      <c r="AN14" s="147">
        <v>121</v>
      </c>
      <c r="AO14" s="147">
        <v>133</v>
      </c>
      <c r="AP14" s="147">
        <v>143</v>
      </c>
      <c r="AQ14" s="147">
        <v>127</v>
      </c>
      <c r="AR14" s="147">
        <v>123</v>
      </c>
      <c r="AS14" s="147">
        <v>130.5</v>
      </c>
      <c r="AT14" s="147">
        <v>130.13999999999999</v>
      </c>
      <c r="AU14" s="147">
        <v>141.5</v>
      </c>
      <c r="AV14" s="147">
        <v>109.5</v>
      </c>
      <c r="AW14" s="147">
        <v>123</v>
      </c>
      <c r="AX14" s="147">
        <v>124.5</v>
      </c>
      <c r="AY14" s="147">
        <f>3*7.5</f>
        <v>22.5</v>
      </c>
      <c r="AZ14" s="147">
        <v>1E-3</v>
      </c>
      <c r="BA14" s="147">
        <v>15</v>
      </c>
      <c r="BB14" s="147">
        <v>25</v>
      </c>
      <c r="BC14" s="177">
        <v>60</v>
      </c>
      <c r="BD14" s="177">
        <v>1E-3</v>
      </c>
      <c r="BE14" s="177">
        <v>67.5</v>
      </c>
      <c r="BF14" s="178">
        <v>0</v>
      </c>
      <c r="BG14" s="129">
        <v>0</v>
      </c>
      <c r="BH14" s="178">
        <v>0</v>
      </c>
      <c r="BI14" s="129">
        <f>7.5/2</f>
        <v>3.75</v>
      </c>
      <c r="BJ14" s="129">
        <v>0</v>
      </c>
      <c r="BK14" s="129">
        <v>0</v>
      </c>
      <c r="BL14" s="129">
        <v>0</v>
      </c>
      <c r="BM14" s="181">
        <v>75</v>
      </c>
      <c r="BN14" s="181">
        <v>0</v>
      </c>
      <c r="BO14" s="182">
        <v>0</v>
      </c>
      <c r="BP14" s="182">
        <v>0</v>
      </c>
      <c r="BQ14" s="182">
        <v>0</v>
      </c>
      <c r="BR14" s="182">
        <f>9.5*7.5</f>
        <v>71.25</v>
      </c>
      <c r="BS14" s="183">
        <f>21*7.5</f>
        <v>157.5</v>
      </c>
      <c r="BT14" s="183">
        <v>127.5</v>
      </c>
      <c r="BU14" s="183">
        <v>71.25</v>
      </c>
      <c r="BV14" s="183">
        <v>45</v>
      </c>
      <c r="BW14" s="183">
        <v>3.75</v>
      </c>
      <c r="BX14" s="183">
        <v>15</v>
      </c>
      <c r="BY14" s="183">
        <v>37.5</v>
      </c>
      <c r="BZ14" s="183">
        <v>0</v>
      </c>
      <c r="CA14" s="8">
        <v>0</v>
      </c>
      <c r="CB14" s="8">
        <v>0</v>
      </c>
      <c r="CC14" s="183">
        <v>0</v>
      </c>
      <c r="CD14" s="183">
        <f>4*7.5</f>
        <v>30</v>
      </c>
      <c r="CE14" s="183">
        <v>0</v>
      </c>
      <c r="CF14" s="183">
        <v>22.5</v>
      </c>
      <c r="CG14" s="183">
        <v>0</v>
      </c>
      <c r="CH14" s="183">
        <f>7.5*4</f>
        <v>30</v>
      </c>
      <c r="CI14" s="184">
        <f>2*7.5</f>
        <v>15</v>
      </c>
      <c r="CJ14" s="184">
        <v>18.75</v>
      </c>
      <c r="CK14" s="130">
        <v>7.5</v>
      </c>
      <c r="CL14" s="184">
        <f>22.5-15</f>
        <v>7.5</v>
      </c>
      <c r="CM14" s="184">
        <v>0</v>
      </c>
      <c r="CN14" s="184">
        <v>0</v>
      </c>
      <c r="CO14" s="184">
        <v>0</v>
      </c>
      <c r="CP14" s="184">
        <v>0</v>
      </c>
      <c r="CQ14" s="184">
        <f>0.8*7.5</f>
        <v>6</v>
      </c>
      <c r="CR14" s="129">
        <f>14.8*7.5</f>
        <v>111</v>
      </c>
      <c r="CS14" s="184">
        <v>0</v>
      </c>
      <c r="CT14" s="129">
        <f>(1+4.6)*7.5</f>
        <v>42</v>
      </c>
      <c r="CU14" s="129">
        <v>0</v>
      </c>
      <c r="CV14" s="129">
        <f>(11+10+1+2+14+2.33)*7.5</f>
        <v>302.47499999999997</v>
      </c>
      <c r="CW14" s="130">
        <f>(21+21+13+2.53+8)*7.5</f>
        <v>491.47500000000002</v>
      </c>
      <c r="CX14" s="1">
        <f>(2+3+22+6.67+22)*7.5</f>
        <v>417.52500000000003</v>
      </c>
      <c r="CY14" s="1">
        <f>(12+10+4.73+14.93)*7.5+1*5</f>
        <v>317.45</v>
      </c>
      <c r="CZ14" s="1">
        <f>(4+21+5.4+6+22+4)*7.5</f>
        <v>468</v>
      </c>
      <c r="DA14" s="30">
        <f>(2+16+10.77+1)*7.5</f>
        <v>223.27500000000001</v>
      </c>
      <c r="DB14" s="1">
        <f>(0.13+3)*7.5</f>
        <v>23.474999999999998</v>
      </c>
      <c r="DC14" s="1">
        <f>(9)*7.5</f>
        <v>67.5</v>
      </c>
      <c r="DD14" s="1">
        <f>6*7.5</f>
        <v>45</v>
      </c>
      <c r="DE14" s="1">
        <f>(2+5+7.07)*7.5</f>
        <v>105.52500000000001</v>
      </c>
      <c r="DF14" s="1">
        <f>(5+6.47+9.66)*7.5</f>
        <v>158.47499999999999</v>
      </c>
      <c r="DG14" s="1">
        <f>(4.32+5)*7.5</f>
        <v>69.900000000000006</v>
      </c>
      <c r="DH14" s="126">
        <f>(7+4.45+5.5)*7.5</f>
        <v>127.125</v>
      </c>
      <c r="DI14" s="1">
        <f>(2+5+5+4.8)*7.5</f>
        <v>126</v>
      </c>
      <c r="DJ14" s="1">
        <f>(3+5.47+1.4+5)*7.5</f>
        <v>111.52499999999999</v>
      </c>
      <c r="DK14" s="1">
        <f>(11+2+4.7+2.4+7)*7.5</f>
        <v>203.24999999999997</v>
      </c>
      <c r="DL14" s="1">
        <f>(1+7+16.7+2+1)*7.5</f>
        <v>207.75</v>
      </c>
      <c r="DM14" s="1">
        <f>(6+6+1+13.2+2.4)*7.5</f>
        <v>214.49999999999997</v>
      </c>
      <c r="DN14" s="1">
        <f>(7+0.3)*7.5</f>
        <v>54.75</v>
      </c>
      <c r="DO14" s="1">
        <v>0</v>
      </c>
      <c r="DP14" s="129">
        <f>(6+10)*7.5</f>
        <v>120</v>
      </c>
      <c r="DQ14" s="129">
        <f>(4+11.67+2+5)*7.5</f>
        <v>170.02500000000001</v>
      </c>
      <c r="DR14" s="129">
        <f>(4+13)*7.5</f>
        <v>127.5</v>
      </c>
      <c r="DS14" s="129">
        <f>(2+6.3)*7.5</f>
        <v>62.250000000000007</v>
      </c>
      <c r="DT14" s="129">
        <f>(2+7.4)*7.5</f>
        <v>70.5</v>
      </c>
      <c r="DU14" s="177">
        <f>(2+7.6+3)*7.5</f>
        <v>94.5</v>
      </c>
      <c r="DV14" s="1">
        <f>(5+5.6)*7.5</f>
        <v>79.5</v>
      </c>
      <c r="DW14" s="129">
        <f>(2)*7.5</f>
        <v>15</v>
      </c>
      <c r="DX14" s="1">
        <f>(2+2)*7.5</f>
        <v>30</v>
      </c>
      <c r="DY14" s="1">
        <f>(2.7)*7.5</f>
        <v>20.25</v>
      </c>
      <c r="DZ14" s="1">
        <f>(3+18.4)*7.5</f>
        <v>160.5</v>
      </c>
      <c r="EA14" s="1">
        <f>(0.4)*7.5</f>
        <v>3</v>
      </c>
      <c r="EB14" s="1">
        <f>(8.8+3.4)*7.5</f>
        <v>91.500000000000014</v>
      </c>
      <c r="EC14" s="1">
        <f>(11.8+0.2+3.2)*7.5</f>
        <v>114</v>
      </c>
      <c r="ED14" s="1">
        <f>(9+8+5.3)*7.5</f>
        <v>167.25</v>
      </c>
      <c r="EE14" s="1">
        <f>(0.1)*7.5</f>
        <v>0.75</v>
      </c>
      <c r="EF14" s="1">
        <f>(3.1+7.5+4.2)*7.5</f>
        <v>111</v>
      </c>
      <c r="EG14" s="1">
        <f>(9.6+0.7+0.7+4.6+1)*7.5</f>
        <v>124.49999999999999</v>
      </c>
      <c r="EH14" s="61">
        <f>(9.1+2)*7.5</f>
        <v>83.25</v>
      </c>
      <c r="EI14" s="154">
        <f>(9.4+8.9+14+6+7.8+14)*7.5</f>
        <v>450.74999999999994</v>
      </c>
      <c r="EJ14" s="61">
        <f>(0.67+0.64+4.7+5.3+14.6+14.1+13.9)*7.5</f>
        <v>404.32499999999999</v>
      </c>
      <c r="EK14" s="61">
        <f>(13.6+4+4+2.84+1.06+4.06)*7.5</f>
        <v>221.7</v>
      </c>
      <c r="EL14" s="61">
        <f>(12.2+3.75)*7.5</f>
        <v>119.625</v>
      </c>
      <c r="EM14" s="61">
        <f xml:space="preserve"> (4.26+13.6+1)*7.5</f>
        <v>141.44999999999999</v>
      </c>
      <c r="EN14" s="61">
        <f>(5.33+13.44+3.93+1.53+0.87+4+0.87)*7.5</f>
        <v>224.77500000000001</v>
      </c>
      <c r="EO14" s="61">
        <f>(1.06+15.33+14.08+1.06+1+1+0.53+2+3)*7.5</f>
        <v>292.95000000000005</v>
      </c>
      <c r="EP14" s="61">
        <f>(8.53+14.08+1+6.72)*7.5</f>
        <v>227.47499999999999</v>
      </c>
      <c r="EQ14" s="61">
        <f>(5.2+13.33+3.97+2.4+5.26)*7.5</f>
        <v>226.2</v>
      </c>
      <c r="ER14" s="335"/>
    </row>
    <row r="15" spans="1:148" s="187" customFormat="1" ht="15" x14ac:dyDescent="0.25">
      <c r="A15" s="185" t="s">
        <v>198</v>
      </c>
      <c r="B15" s="147">
        <v>81434</v>
      </c>
      <c r="C15" s="147">
        <v>98037</v>
      </c>
      <c r="D15" s="147">
        <v>75110</v>
      </c>
      <c r="E15" s="147">
        <v>83645</v>
      </c>
      <c r="F15" s="147">
        <v>95078</v>
      </c>
      <c r="G15" s="147">
        <v>83444</v>
      </c>
      <c r="H15" s="147">
        <v>87737</v>
      </c>
      <c r="I15" s="147">
        <v>88110</v>
      </c>
      <c r="J15" s="147">
        <v>85572</v>
      </c>
      <c r="K15" s="147">
        <v>83936</v>
      </c>
      <c r="L15" s="147">
        <v>86063</v>
      </c>
      <c r="M15" s="147">
        <v>84011</v>
      </c>
      <c r="N15" s="147">
        <v>88320</v>
      </c>
      <c r="O15" s="147">
        <v>91866</v>
      </c>
      <c r="P15" s="147">
        <v>76456</v>
      </c>
      <c r="Q15" s="147">
        <v>83081</v>
      </c>
      <c r="R15" s="147">
        <v>90688</v>
      </c>
      <c r="S15" s="147">
        <v>82737</v>
      </c>
      <c r="T15" s="147">
        <v>84512</v>
      </c>
      <c r="U15" s="147">
        <v>89749</v>
      </c>
      <c r="V15" s="147">
        <v>80177</v>
      </c>
      <c r="W15" s="147">
        <v>88582</v>
      </c>
      <c r="X15" s="147">
        <v>87132</v>
      </c>
      <c r="Y15" s="147">
        <v>85000</v>
      </c>
      <c r="Z15" s="147">
        <v>82634</v>
      </c>
      <c r="AA15" s="147">
        <v>80991.88</v>
      </c>
      <c r="AB15" s="147">
        <v>68736</v>
      </c>
      <c r="AC15" s="147">
        <v>80424</v>
      </c>
      <c r="AD15" s="186">
        <v>78770.78</v>
      </c>
      <c r="AE15" s="186">
        <v>76531</v>
      </c>
      <c r="AF15" s="186">
        <v>78584.350000000006</v>
      </c>
      <c r="AG15" s="186">
        <v>122413</v>
      </c>
      <c r="AH15" s="186">
        <v>76833</v>
      </c>
      <c r="AI15" s="186">
        <v>75566</v>
      </c>
      <c r="AJ15" s="186">
        <v>77680</v>
      </c>
      <c r="AK15" s="186">
        <v>79707</v>
      </c>
      <c r="AL15" s="186">
        <v>84358.1</v>
      </c>
      <c r="AM15" s="186">
        <v>123318.39999999999</v>
      </c>
      <c r="AN15" s="186">
        <v>71801</v>
      </c>
      <c r="AO15" s="186">
        <v>85028</v>
      </c>
      <c r="AP15" s="186">
        <v>85018.53</v>
      </c>
      <c r="AQ15" s="186">
        <v>77582</v>
      </c>
      <c r="AR15" s="186">
        <v>87720</v>
      </c>
      <c r="AS15" s="186">
        <v>127810</v>
      </c>
      <c r="AT15" s="147">
        <v>81766.75</v>
      </c>
      <c r="AU15" s="186">
        <v>78216.350000000006</v>
      </c>
      <c r="AV15" s="186">
        <v>79275.98</v>
      </c>
      <c r="AW15" s="186">
        <v>83000</v>
      </c>
      <c r="AX15" s="186">
        <v>125572.1</v>
      </c>
      <c r="AY15" s="186">
        <v>85810.65</v>
      </c>
      <c r="AZ15" s="186">
        <v>85576.2</v>
      </c>
      <c r="BA15" s="186">
        <v>84726.95</v>
      </c>
      <c r="BB15" s="186">
        <v>84140</v>
      </c>
      <c r="BC15" s="187">
        <v>85788</v>
      </c>
      <c r="BD15" s="187">
        <v>123786.62</v>
      </c>
      <c r="BE15" s="187">
        <v>85954.12</v>
      </c>
      <c r="BF15" s="187">
        <v>81778</v>
      </c>
      <c r="BG15" s="187">
        <v>86069.8</v>
      </c>
      <c r="BH15" s="187">
        <v>86886.6</v>
      </c>
      <c r="BI15" s="187">
        <v>127214.35</v>
      </c>
      <c r="BJ15" s="129">
        <v>88727.91</v>
      </c>
      <c r="BK15" s="129">
        <v>87465.46</v>
      </c>
      <c r="BL15" s="129">
        <v>86434.77</v>
      </c>
      <c r="BM15" s="181">
        <v>88859.63</v>
      </c>
      <c r="BN15" s="181">
        <v>87133.56</v>
      </c>
      <c r="BO15" s="181">
        <v>88002.64</v>
      </c>
      <c r="BP15" s="181">
        <v>90547.12</v>
      </c>
      <c r="BQ15" s="181">
        <v>89863</v>
      </c>
      <c r="BR15" s="181">
        <v>84973.1</v>
      </c>
      <c r="BS15" s="188">
        <v>83523.5</v>
      </c>
      <c r="BT15" s="188">
        <v>83524.5</v>
      </c>
      <c r="BU15" s="188">
        <v>131854</v>
      </c>
      <c r="BV15" s="188">
        <v>87348</v>
      </c>
      <c r="BW15" s="188">
        <v>91128</v>
      </c>
      <c r="BX15" s="188">
        <v>76605</v>
      </c>
      <c r="BY15" s="188">
        <v>90793</v>
      </c>
      <c r="BZ15" s="188">
        <v>90212.76</v>
      </c>
      <c r="CA15" s="183">
        <v>127231.2</v>
      </c>
      <c r="CB15" s="8">
        <v>91048.87</v>
      </c>
      <c r="CC15" s="8">
        <v>86954.97</v>
      </c>
      <c r="CD15" s="188">
        <v>86659.49</v>
      </c>
      <c r="CE15" s="188">
        <v>85006.61</v>
      </c>
      <c r="CF15" s="188">
        <v>84692.19</v>
      </c>
      <c r="CG15" s="188">
        <v>132006.83000000002</v>
      </c>
      <c r="CH15" s="188">
        <v>87341.99</v>
      </c>
      <c r="CI15" s="188">
        <v>88493.75999999998</v>
      </c>
      <c r="CJ15" s="129">
        <v>68447.590000000011</v>
      </c>
      <c r="CK15" s="129">
        <v>85488.14</v>
      </c>
      <c r="CL15" s="189">
        <v>83993.24</v>
      </c>
      <c r="CM15" s="189">
        <v>121264.24</v>
      </c>
      <c r="CN15" s="189">
        <v>81552.099999999991</v>
      </c>
      <c r="CO15" s="189">
        <v>81792.86</v>
      </c>
      <c r="CP15" s="189">
        <v>80962.69</v>
      </c>
      <c r="CQ15" s="190">
        <v>79137.260000000009</v>
      </c>
      <c r="CR15" s="190">
        <v>124813.39</v>
      </c>
      <c r="CS15" s="191">
        <v>83216.36</v>
      </c>
      <c r="CT15" s="192">
        <v>84631.1</v>
      </c>
      <c r="CU15" s="192">
        <v>87482.029999999984</v>
      </c>
      <c r="CV15" s="192">
        <v>72262.789999999994</v>
      </c>
      <c r="CW15" s="192">
        <v>86548.97</v>
      </c>
      <c r="CX15" s="1">
        <v>130184.25</v>
      </c>
      <c r="CY15" s="162">
        <v>81330.05</v>
      </c>
      <c r="CZ15" s="162">
        <v>89870.5</v>
      </c>
      <c r="DA15" s="162">
        <v>85644.42</v>
      </c>
      <c r="DB15" s="162">
        <v>86034.73</v>
      </c>
      <c r="DC15" s="162">
        <v>127258.44</v>
      </c>
      <c r="DD15" s="162">
        <v>85199.340000000011</v>
      </c>
      <c r="DE15" s="162">
        <v>86314.96</v>
      </c>
      <c r="DF15" s="162">
        <f t="shared" ref="DF15:EN15" si="15">IF(DF67="",DF66,SUM(DF66:DF67))</f>
        <v>87138.12</v>
      </c>
      <c r="DG15" s="162">
        <f t="shared" si="15"/>
        <v>90569.89</v>
      </c>
      <c r="DH15" s="162">
        <f t="shared" si="15"/>
        <v>74661.38</v>
      </c>
      <c r="DI15" s="162">
        <f t="shared" si="15"/>
        <v>87988.79</v>
      </c>
      <c r="DJ15" s="162">
        <f t="shared" si="15"/>
        <v>131055.22000000002</v>
      </c>
      <c r="DK15" s="162">
        <f t="shared" si="15"/>
        <v>166910.54999999999</v>
      </c>
      <c r="DL15" s="162">
        <f t="shared" si="15"/>
        <v>176157.81</v>
      </c>
      <c r="DM15" s="162">
        <f t="shared" si="15"/>
        <v>166821.03</v>
      </c>
      <c r="DN15" s="162">
        <f t="shared" si="15"/>
        <v>169371.02000000002</v>
      </c>
      <c r="DO15" s="162">
        <f t="shared" si="15"/>
        <v>206340.53</v>
      </c>
      <c r="DP15" s="162">
        <f t="shared" si="15"/>
        <v>161820.41999999998</v>
      </c>
      <c r="DQ15" s="162">
        <f t="shared" si="15"/>
        <v>172409.04</v>
      </c>
      <c r="DR15" s="162">
        <f t="shared" si="15"/>
        <v>165830.19</v>
      </c>
      <c r="DS15" s="162">
        <f t="shared" si="15"/>
        <v>166807.71</v>
      </c>
      <c r="DT15" s="162">
        <f t="shared" si="15"/>
        <v>216638.44</v>
      </c>
      <c r="DU15" s="162">
        <f t="shared" si="15"/>
        <v>159470.01999999999</v>
      </c>
      <c r="DV15" s="162">
        <f t="shared" si="15"/>
        <v>170519.15</v>
      </c>
      <c r="DW15" s="162">
        <f t="shared" si="15"/>
        <v>165213.83000000002</v>
      </c>
      <c r="DX15" s="162">
        <f t="shared" si="15"/>
        <v>167890.94</v>
      </c>
      <c r="DY15" s="162">
        <f t="shared" si="15"/>
        <v>165221.40999999997</v>
      </c>
      <c r="DZ15" s="162">
        <f t="shared" si="15"/>
        <v>165645.26</v>
      </c>
      <c r="EA15" s="162">
        <f t="shared" si="15"/>
        <v>206977.82</v>
      </c>
      <c r="EB15" s="162">
        <f t="shared" si="15"/>
        <v>163741.69</v>
      </c>
      <c r="EC15" s="162">
        <f t="shared" si="15"/>
        <v>170992.96999999997</v>
      </c>
      <c r="ED15" s="162">
        <f t="shared" si="15"/>
        <v>162050.34999999998</v>
      </c>
      <c r="EE15" s="162">
        <f t="shared" si="15"/>
        <v>166068.21000000002</v>
      </c>
      <c r="EF15" s="162">
        <f t="shared" si="15"/>
        <v>204717.39</v>
      </c>
      <c r="EG15" s="162">
        <f t="shared" si="15"/>
        <v>160789.99</v>
      </c>
      <c r="EH15" s="162">
        <f t="shared" si="15"/>
        <v>171893.84</v>
      </c>
      <c r="EI15" s="162">
        <f t="shared" si="15"/>
        <v>157716.03999999998</v>
      </c>
      <c r="EJ15" s="1">
        <f t="shared" si="15"/>
        <v>170358.36</v>
      </c>
      <c r="EK15" s="1">
        <f t="shared" si="15"/>
        <v>167251.6</v>
      </c>
      <c r="EL15" s="1">
        <f t="shared" si="15"/>
        <v>256741.03</v>
      </c>
      <c r="EM15" s="1">
        <f t="shared" si="15"/>
        <v>176126.5</v>
      </c>
      <c r="EN15" s="1">
        <f t="shared" si="15"/>
        <v>219112.66</v>
      </c>
      <c r="EO15" s="1">
        <f>IF(EO67="",EO66,SUM(EO66:EO67))</f>
        <v>221803.4</v>
      </c>
      <c r="EP15" s="1">
        <f>IF(EP67="",EP66,SUM(EP66:EP67))</f>
        <v>264313.50650000002</v>
      </c>
      <c r="EQ15" s="1">
        <f>IF(EQ67="",EQ66,SUM(EQ66:EQ67))</f>
        <v>414337.05499999999</v>
      </c>
      <c r="ER15" s="1">
        <f>IF(ER67="",ER66,SUM(ER66:ER67))</f>
        <v>380261.94300000003</v>
      </c>
    </row>
    <row r="16" spans="1:148" s="194" customFormat="1" ht="15" x14ac:dyDescent="0.25">
      <c r="A16" s="193" t="s">
        <v>199</v>
      </c>
      <c r="B16" s="165">
        <f t="shared" ref="B16:AK16" si="16">SUM(B13)/B15*200000</f>
        <v>7.3679298573077583</v>
      </c>
      <c r="C16" s="165">
        <f t="shared" si="16"/>
        <v>4.0800922100839481</v>
      </c>
      <c r="D16" s="165">
        <f t="shared" si="16"/>
        <v>10.651045133803756</v>
      </c>
      <c r="E16" s="165">
        <f t="shared" si="16"/>
        <v>4.7821148903102397</v>
      </c>
      <c r="F16" s="165">
        <f t="shared" si="16"/>
        <v>6.3106081322703469</v>
      </c>
      <c r="G16" s="165">
        <f t="shared" si="16"/>
        <v>0</v>
      </c>
      <c r="H16" s="165">
        <f t="shared" si="16"/>
        <v>6.8386199664907616</v>
      </c>
      <c r="I16" s="165">
        <f t="shared" si="16"/>
        <v>4.5397798206786968</v>
      </c>
      <c r="J16" s="165">
        <f t="shared" si="16"/>
        <v>11.686065535455523</v>
      </c>
      <c r="K16" s="165">
        <f t="shared" si="16"/>
        <v>11.913839115516584</v>
      </c>
      <c r="L16" s="165">
        <f t="shared" si="16"/>
        <v>6.971637056574834</v>
      </c>
      <c r="M16" s="165">
        <f t="shared" si="16"/>
        <v>9.5225625215745566</v>
      </c>
      <c r="N16" s="164">
        <f t="shared" si="16"/>
        <v>6.7934782608695654</v>
      </c>
      <c r="O16" s="164">
        <f t="shared" si="16"/>
        <v>0</v>
      </c>
      <c r="P16" s="164">
        <f t="shared" si="16"/>
        <v>5.2317672909908968</v>
      </c>
      <c r="Q16" s="164">
        <f t="shared" si="16"/>
        <v>2.4072892719153596</v>
      </c>
      <c r="R16" s="164">
        <f t="shared" si="16"/>
        <v>6.6160903316866619</v>
      </c>
      <c r="S16" s="164">
        <f t="shared" si="16"/>
        <v>2.4172981858177116</v>
      </c>
      <c r="T16" s="164">
        <f t="shared" si="16"/>
        <v>11.832639151836426</v>
      </c>
      <c r="U16" s="164">
        <f t="shared" si="16"/>
        <v>6.6853112569499382</v>
      </c>
      <c r="V16" s="164">
        <f t="shared" si="16"/>
        <v>4.9889619217481327</v>
      </c>
      <c r="W16" s="164">
        <f t="shared" si="16"/>
        <v>4.5155900747330158</v>
      </c>
      <c r="X16" s="164">
        <f t="shared" si="16"/>
        <v>0</v>
      </c>
      <c r="Y16" s="164">
        <f t="shared" si="16"/>
        <v>4.7058823529411766</v>
      </c>
      <c r="Z16" s="164">
        <f t="shared" si="16"/>
        <v>4.8406225040540214</v>
      </c>
      <c r="AA16" s="164">
        <f t="shared" si="16"/>
        <v>2.4693833505284726</v>
      </c>
      <c r="AB16" s="164">
        <f t="shared" si="16"/>
        <v>5.8193668528864055</v>
      </c>
      <c r="AC16" s="164">
        <f t="shared" si="16"/>
        <v>4.9736397095394409</v>
      </c>
      <c r="AD16" s="164">
        <f t="shared" si="16"/>
        <v>10.156050251121037</v>
      </c>
      <c r="AE16" s="164">
        <f t="shared" si="16"/>
        <v>7.8399602775345931</v>
      </c>
      <c r="AF16" s="164">
        <f t="shared" si="16"/>
        <v>0</v>
      </c>
      <c r="AG16" s="164">
        <f t="shared" si="16"/>
        <v>4.9014402065140139</v>
      </c>
      <c r="AH16" s="164">
        <f t="shared" si="16"/>
        <v>0</v>
      </c>
      <c r="AI16" s="164">
        <f t="shared" si="16"/>
        <v>5.2933859143000817</v>
      </c>
      <c r="AJ16" s="164">
        <f t="shared" si="16"/>
        <v>2.5746652935118437</v>
      </c>
      <c r="AK16" s="164">
        <f t="shared" si="16"/>
        <v>12.545949540190948</v>
      </c>
      <c r="AL16" s="194">
        <f t="shared" ref="AL16:AS16" si="17">(SUM(AL13)/AL15)*200000</f>
        <v>14.225071451348477</v>
      </c>
      <c r="AM16" s="194">
        <f t="shared" si="17"/>
        <v>1.6218179930975427</v>
      </c>
      <c r="AN16" s="194">
        <f t="shared" si="17"/>
        <v>0</v>
      </c>
      <c r="AO16" s="194">
        <f t="shared" si="17"/>
        <v>9.4086653808157319</v>
      </c>
      <c r="AP16" s="194">
        <f t="shared" si="17"/>
        <v>2.3524283470909224</v>
      </c>
      <c r="AQ16" s="194">
        <f t="shared" si="17"/>
        <v>5.1558351163929776</v>
      </c>
      <c r="AR16" s="194">
        <f t="shared" si="17"/>
        <v>4.5599635202918378</v>
      </c>
      <c r="AS16" s="194">
        <f t="shared" si="17"/>
        <v>9.3889367029183948</v>
      </c>
      <c r="AT16" s="164">
        <f>AT13/AT15*200000</f>
        <v>7.337946047751684</v>
      </c>
      <c r="AU16" s="164">
        <f>AU13/AU15*200000</f>
        <v>7.6710304175533626</v>
      </c>
      <c r="AV16" s="194">
        <f>(SUM(AV13)/AV15)*200000</f>
        <v>7.5684967880561045</v>
      </c>
      <c r="AW16" s="194">
        <f>(SUM(AW13)/AW15)*200000</f>
        <v>9.6385542168674689</v>
      </c>
      <c r="AX16" s="194">
        <f>(SUM(AX13)/AX15)*200000</f>
        <v>3.1854209653258962</v>
      </c>
      <c r="AY16" s="194">
        <f>(SUM(AY13)/AY15)*200000</f>
        <v>2.3307130292102443</v>
      </c>
      <c r="AZ16" s="194">
        <v>1E-3</v>
      </c>
      <c r="BA16" s="194">
        <f>(SUM(BA13)/BA15)*200000</f>
        <v>4.7210480254511697</v>
      </c>
      <c r="BB16" s="194">
        <v>1E-3</v>
      </c>
      <c r="BC16" s="194">
        <f>(SUM(BC13)/BC15)*200000</f>
        <v>9.325313563668578</v>
      </c>
      <c r="BD16" s="194">
        <v>7.38</v>
      </c>
      <c r="BE16" s="194">
        <v>9.3072909128730537</v>
      </c>
      <c r="BF16" s="194">
        <f t="shared" ref="BF16:BS16" si="18">(SUM(BF13)/BF15)*200000</f>
        <v>0</v>
      </c>
      <c r="BG16" s="194">
        <f t="shared" si="18"/>
        <v>2.3236954192992196</v>
      </c>
      <c r="BH16" s="194">
        <f t="shared" si="18"/>
        <v>4.6037018366468478</v>
      </c>
      <c r="BI16" s="194">
        <f t="shared" si="18"/>
        <v>3.1442993655982989</v>
      </c>
      <c r="BJ16" s="194">
        <f t="shared" si="18"/>
        <v>0</v>
      </c>
      <c r="BK16" s="194">
        <f t="shared" si="18"/>
        <v>0</v>
      </c>
      <c r="BL16" s="194">
        <f t="shared" si="18"/>
        <v>0</v>
      </c>
      <c r="BM16" s="181">
        <f t="shared" si="18"/>
        <v>2.250740859488161</v>
      </c>
      <c r="BN16" s="181">
        <f t="shared" si="18"/>
        <v>4.5906537044968667</v>
      </c>
      <c r="BO16" s="181">
        <f t="shared" si="18"/>
        <v>2.2726590929544841</v>
      </c>
      <c r="BP16" s="181">
        <f t="shared" si="18"/>
        <v>2.2087947137357875</v>
      </c>
      <c r="BQ16" s="181">
        <f t="shared" si="18"/>
        <v>4.4512201907347855</v>
      </c>
      <c r="BR16" s="181">
        <f t="shared" si="18"/>
        <v>4.7073720977579958</v>
      </c>
      <c r="BS16" s="195">
        <f t="shared" si="18"/>
        <v>4.7890713392039368</v>
      </c>
      <c r="BT16" s="195">
        <v>7.183521002819532</v>
      </c>
      <c r="BU16" s="195">
        <v>4.5504876605942934</v>
      </c>
      <c r="BV16" s="195">
        <v>2.2896918074827126</v>
      </c>
      <c r="BW16" s="195">
        <v>6.5841453779299455</v>
      </c>
      <c r="BX16" s="195">
        <f t="shared" ref="BX16:EI16" si="19">BX13/BX15*200000</f>
        <v>2.6107956399712813</v>
      </c>
      <c r="BY16" s="195">
        <f t="shared" si="19"/>
        <v>6.6084389765730842</v>
      </c>
      <c r="BZ16" s="195">
        <f t="shared" si="19"/>
        <v>0</v>
      </c>
      <c r="CA16" s="195">
        <f t="shared" si="19"/>
        <v>0</v>
      </c>
      <c r="CB16" s="195">
        <f t="shared" si="19"/>
        <v>0</v>
      </c>
      <c r="CC16" s="195">
        <f t="shared" si="19"/>
        <v>2.3000410442324344</v>
      </c>
      <c r="CD16" s="195">
        <f t="shared" si="19"/>
        <v>2.3078834181922834</v>
      </c>
      <c r="CE16" s="195">
        <f t="shared" si="19"/>
        <v>0</v>
      </c>
      <c r="CF16" s="195">
        <f t="shared" si="19"/>
        <v>7.0844785097657761</v>
      </c>
      <c r="CG16" s="195">
        <f t="shared" si="19"/>
        <v>0</v>
      </c>
      <c r="CH16" s="195">
        <f t="shared" si="19"/>
        <v>6.8695480833445632</v>
      </c>
      <c r="CI16" s="195">
        <f t="shared" si="19"/>
        <v>2.2600463580708974</v>
      </c>
      <c r="CJ16" s="195">
        <f t="shared" si="19"/>
        <v>5.843887271998911</v>
      </c>
      <c r="CK16" s="122">
        <f t="shared" si="19"/>
        <v>0</v>
      </c>
      <c r="CL16" s="122">
        <f t="shared" si="19"/>
        <v>4.7622880127019744</v>
      </c>
      <c r="CM16" s="122">
        <f t="shared" si="19"/>
        <v>0</v>
      </c>
      <c r="CN16" s="122">
        <f t="shared" si="19"/>
        <v>4.9048399734648163</v>
      </c>
      <c r="CO16" s="122">
        <f t="shared" si="19"/>
        <v>2.445201207049124</v>
      </c>
      <c r="CP16" s="122">
        <f t="shared" si="19"/>
        <v>2.4702736532098921</v>
      </c>
      <c r="CQ16" s="122">
        <f t="shared" si="19"/>
        <v>10.109018179300117</v>
      </c>
      <c r="CR16" s="122">
        <f t="shared" si="19"/>
        <v>4.8071765377096165</v>
      </c>
      <c r="CS16" s="122">
        <f t="shared" si="19"/>
        <v>0</v>
      </c>
      <c r="CT16" s="122">
        <f t="shared" si="19"/>
        <v>4.7263949068368483</v>
      </c>
      <c r="CU16" s="122">
        <f t="shared" si="19"/>
        <v>6.8585514076433762</v>
      </c>
      <c r="CV16" s="122">
        <f t="shared" si="19"/>
        <v>22.141409154005817</v>
      </c>
      <c r="CW16" s="122">
        <f t="shared" si="19"/>
        <v>6.9324915131861191</v>
      </c>
      <c r="CX16" s="122">
        <f t="shared" si="19"/>
        <v>7.6814207555829528</v>
      </c>
      <c r="CY16" s="122">
        <f t="shared" si="19"/>
        <v>9.8364626604803505</v>
      </c>
      <c r="CZ16" s="122">
        <f t="shared" si="19"/>
        <v>11.127121803038817</v>
      </c>
      <c r="DA16" s="122">
        <f t="shared" si="19"/>
        <v>11.676183924183269</v>
      </c>
      <c r="DB16" s="122">
        <f t="shared" si="19"/>
        <v>0</v>
      </c>
      <c r="DC16" s="122">
        <f t="shared" si="19"/>
        <v>4.7148149859451358</v>
      </c>
      <c r="DD16" s="122">
        <f t="shared" si="19"/>
        <v>7.042308074217476</v>
      </c>
      <c r="DE16" s="122">
        <f t="shared" si="19"/>
        <v>6.9512863123611481</v>
      </c>
      <c r="DF16" s="122">
        <f t="shared" si="19"/>
        <v>4.5904134723126919</v>
      </c>
      <c r="DG16" s="122">
        <f t="shared" si="19"/>
        <v>4.4164788099002878</v>
      </c>
      <c r="DH16" s="122">
        <f t="shared" si="19"/>
        <v>13.393805472119586</v>
      </c>
      <c r="DI16" s="122">
        <f t="shared" si="19"/>
        <v>6.8190504722249292</v>
      </c>
      <c r="DJ16" s="122">
        <f t="shared" si="19"/>
        <v>1.5260742761715251</v>
      </c>
      <c r="DK16" s="122">
        <f t="shared" si="19"/>
        <v>7.1894796344509082</v>
      </c>
      <c r="DL16" s="122">
        <f t="shared" si="19"/>
        <v>4.5413825251347077</v>
      </c>
      <c r="DM16" s="122">
        <f t="shared" si="19"/>
        <v>1.19888961241877</v>
      </c>
      <c r="DN16" s="122">
        <f t="shared" si="19"/>
        <v>3.542518667006906</v>
      </c>
      <c r="DO16" s="122">
        <f t="shared" si="19"/>
        <v>2.9078145723479532</v>
      </c>
      <c r="DP16" s="122">
        <f t="shared" si="19"/>
        <v>6.1796898067623358</v>
      </c>
      <c r="DQ16" s="122">
        <f t="shared" si="19"/>
        <v>5.80015989880809</v>
      </c>
      <c r="DR16" s="122">
        <f t="shared" si="19"/>
        <v>3.6181590336476126</v>
      </c>
      <c r="DS16" s="122">
        <f t="shared" si="19"/>
        <v>3.5969560399816052</v>
      </c>
      <c r="DT16" s="122">
        <f t="shared" si="19"/>
        <v>4.6159859718339922</v>
      </c>
      <c r="DU16" s="122">
        <f t="shared" si="19"/>
        <v>3.7624626873439913</v>
      </c>
      <c r="DV16" s="122">
        <f t="shared" si="19"/>
        <v>3.5186663785269863</v>
      </c>
      <c r="DW16" s="122">
        <f t="shared" si="19"/>
        <v>3.6316572286956847</v>
      </c>
      <c r="DX16" s="122">
        <f t="shared" si="19"/>
        <v>4.7649980397989307</v>
      </c>
      <c r="DY16" s="122">
        <f t="shared" si="19"/>
        <v>1.2104968720458205</v>
      </c>
      <c r="DZ16" s="122">
        <f t="shared" si="19"/>
        <v>2.4147989504800802</v>
      </c>
      <c r="EA16" s="122">
        <f t="shared" si="19"/>
        <v>0</v>
      </c>
      <c r="EB16" s="122">
        <f t="shared" si="19"/>
        <v>7.3286161880947969</v>
      </c>
      <c r="EC16" s="122">
        <f t="shared" si="19"/>
        <v>10.526748555803202</v>
      </c>
      <c r="ED16" s="122">
        <f t="shared" si="19"/>
        <v>7.4051058822150049</v>
      </c>
      <c r="EE16" s="122">
        <f t="shared" si="19"/>
        <v>6.0216220792648993</v>
      </c>
      <c r="EF16" s="122">
        <f t="shared" si="19"/>
        <v>3.9078262965349446</v>
      </c>
      <c r="EG16" s="122">
        <f t="shared" si="19"/>
        <v>8.7070096838739772</v>
      </c>
      <c r="EH16" s="122">
        <f t="shared" si="19"/>
        <v>2.3270176522905066</v>
      </c>
      <c r="EI16" s="122">
        <f t="shared" si="19"/>
        <v>5.0724073467733533</v>
      </c>
      <c r="EJ16" s="1">
        <f t="shared" ref="EJ16:EN16" si="20">EJ13/EJ15*200000</f>
        <v>4.6959832203127583</v>
      </c>
      <c r="EK16" s="1">
        <f t="shared" si="20"/>
        <v>5.9790160452874588</v>
      </c>
      <c r="EL16" s="1">
        <f t="shared" si="20"/>
        <v>9.3479409971986165</v>
      </c>
      <c r="EM16" s="1">
        <f t="shared" si="20"/>
        <v>4.5421898465023718</v>
      </c>
      <c r="EN16" s="1">
        <f t="shared" si="20"/>
        <v>9.1277245230832396</v>
      </c>
      <c r="EO16" s="1">
        <f>EO13/EO15*200000</f>
        <v>9.0169943292122667</v>
      </c>
      <c r="EP16" s="1">
        <f>EP13/EP15*200000</f>
        <v>1.5133543695770233</v>
      </c>
      <c r="EQ16" s="1">
        <f>EQ13/EQ15*200000</f>
        <v>2.8961928109471167</v>
      </c>
      <c r="ER16" s="1">
        <f>ER13/ER15*200000</f>
        <v>2.1038129498012901</v>
      </c>
    </row>
    <row r="17" spans="1:148" ht="15" x14ac:dyDescent="0.25">
      <c r="A17" s="175" t="s">
        <v>200</v>
      </c>
      <c r="B17" s="148">
        <v>1</v>
      </c>
      <c r="C17" s="148">
        <v>2</v>
      </c>
      <c r="D17" s="148">
        <v>1</v>
      </c>
      <c r="E17" s="148">
        <v>0</v>
      </c>
      <c r="F17" s="148">
        <v>2</v>
      </c>
      <c r="G17" s="148">
        <v>0</v>
      </c>
      <c r="H17" s="148">
        <v>1</v>
      </c>
      <c r="I17" s="148">
        <v>1</v>
      </c>
      <c r="J17" s="148">
        <v>1</v>
      </c>
      <c r="K17" s="148">
        <v>4</v>
      </c>
      <c r="L17" s="148">
        <v>0</v>
      </c>
      <c r="M17" s="148">
        <v>2</v>
      </c>
      <c r="N17" s="147">
        <v>1</v>
      </c>
      <c r="O17" s="147">
        <v>0</v>
      </c>
      <c r="P17" s="147">
        <v>2</v>
      </c>
      <c r="Q17" s="147">
        <v>0</v>
      </c>
      <c r="R17" s="147">
        <v>0</v>
      </c>
      <c r="S17" s="147">
        <v>1</v>
      </c>
      <c r="T17" s="147">
        <v>2</v>
      </c>
      <c r="U17" s="147">
        <v>2</v>
      </c>
      <c r="V17" s="147">
        <v>0</v>
      </c>
      <c r="W17" s="147">
        <v>0</v>
      </c>
      <c r="X17" s="147">
        <v>0</v>
      </c>
      <c r="Y17" s="147">
        <v>1</v>
      </c>
      <c r="Z17" s="147">
        <v>1</v>
      </c>
      <c r="AA17" s="147">
        <v>0</v>
      </c>
      <c r="AB17" s="147">
        <v>1</v>
      </c>
      <c r="AC17" s="147">
        <v>0</v>
      </c>
      <c r="AD17" s="147">
        <v>2</v>
      </c>
      <c r="AE17" s="147">
        <v>0</v>
      </c>
      <c r="AF17" s="147">
        <v>0</v>
      </c>
      <c r="AG17" s="147">
        <v>0</v>
      </c>
      <c r="AH17" s="147">
        <v>0</v>
      </c>
      <c r="AI17" s="147">
        <v>0</v>
      </c>
      <c r="AJ17" s="147">
        <v>0</v>
      </c>
      <c r="AK17" s="147">
        <v>0</v>
      </c>
      <c r="AL17" s="147">
        <v>1</v>
      </c>
      <c r="AM17" s="147">
        <v>0</v>
      </c>
      <c r="AN17" s="147">
        <v>0</v>
      </c>
      <c r="AO17" s="147">
        <v>0</v>
      </c>
      <c r="AP17" s="147">
        <v>2</v>
      </c>
      <c r="AQ17" s="147">
        <v>1</v>
      </c>
      <c r="AR17" s="147">
        <v>1</v>
      </c>
      <c r="AS17" s="147">
        <v>2</v>
      </c>
      <c r="AT17" s="147">
        <v>2</v>
      </c>
      <c r="AU17" s="147">
        <v>1</v>
      </c>
      <c r="AV17" s="147">
        <v>0</v>
      </c>
      <c r="AW17" s="147">
        <v>1</v>
      </c>
      <c r="AX17" s="147">
        <v>2</v>
      </c>
      <c r="AY17" s="147">
        <v>1</v>
      </c>
      <c r="AZ17" s="147">
        <v>1E-3</v>
      </c>
      <c r="BA17" s="147">
        <v>1</v>
      </c>
      <c r="BB17" s="147">
        <v>1E-3</v>
      </c>
      <c r="BC17" s="177">
        <v>1</v>
      </c>
      <c r="BD17" s="177">
        <v>1E-3</v>
      </c>
      <c r="BE17" s="177">
        <v>1</v>
      </c>
      <c r="BF17" s="178">
        <v>0</v>
      </c>
      <c r="BG17" s="194">
        <v>0</v>
      </c>
      <c r="BH17" s="129">
        <v>0</v>
      </c>
      <c r="BI17" s="178">
        <v>1</v>
      </c>
      <c r="BJ17" s="178">
        <v>0</v>
      </c>
      <c r="BK17" s="178">
        <v>0</v>
      </c>
      <c r="BL17" s="178">
        <v>0</v>
      </c>
      <c r="BM17" s="196">
        <v>1</v>
      </c>
      <c r="BN17" s="196">
        <v>0</v>
      </c>
      <c r="BO17" s="196">
        <v>0</v>
      </c>
      <c r="BP17" s="196">
        <v>0</v>
      </c>
      <c r="BQ17" s="196">
        <v>1</v>
      </c>
      <c r="BR17" s="196">
        <v>1</v>
      </c>
      <c r="BS17" s="197">
        <v>2</v>
      </c>
      <c r="BT17" s="197">
        <v>0</v>
      </c>
      <c r="BU17" s="197">
        <v>0</v>
      </c>
      <c r="BV17" s="197">
        <v>0</v>
      </c>
      <c r="BW17" s="197">
        <v>1</v>
      </c>
      <c r="BX17" s="197">
        <v>1</v>
      </c>
      <c r="BY17" s="197">
        <v>1</v>
      </c>
      <c r="BZ17" s="197">
        <v>0</v>
      </c>
      <c r="CA17" s="197">
        <v>0</v>
      </c>
      <c r="CB17" s="8">
        <v>0</v>
      </c>
      <c r="CC17" s="8">
        <v>0</v>
      </c>
      <c r="CD17" s="8">
        <v>0</v>
      </c>
      <c r="CE17" s="7">
        <v>0</v>
      </c>
      <c r="CF17" s="7">
        <v>1</v>
      </c>
      <c r="CG17" s="7">
        <v>0</v>
      </c>
      <c r="CH17" s="7">
        <v>2</v>
      </c>
      <c r="CI17" s="7">
        <v>0</v>
      </c>
      <c r="CJ17" s="149">
        <v>1</v>
      </c>
      <c r="CK17" s="130">
        <v>0</v>
      </c>
      <c r="CL17" s="130">
        <v>1</v>
      </c>
      <c r="CM17" s="130">
        <v>0</v>
      </c>
      <c r="CN17" s="130">
        <v>0</v>
      </c>
      <c r="CO17" s="130">
        <v>0</v>
      </c>
      <c r="CP17" s="130">
        <v>0</v>
      </c>
      <c r="CQ17" s="130">
        <v>0</v>
      </c>
      <c r="CR17" s="130">
        <v>1</v>
      </c>
      <c r="CS17" s="130">
        <v>0</v>
      </c>
      <c r="CT17" s="130">
        <v>2</v>
      </c>
      <c r="CU17" s="130">
        <v>1</v>
      </c>
      <c r="CV17" s="130">
        <v>5</v>
      </c>
      <c r="CW17" s="130">
        <v>0</v>
      </c>
      <c r="CX17" s="130">
        <v>2</v>
      </c>
      <c r="CY17" s="130">
        <v>3</v>
      </c>
      <c r="CZ17" s="130">
        <v>1</v>
      </c>
      <c r="DA17" s="130">
        <v>1</v>
      </c>
      <c r="DB17" s="130">
        <v>0</v>
      </c>
      <c r="DC17" s="198">
        <v>1</v>
      </c>
      <c r="DD17" s="130">
        <v>0</v>
      </c>
      <c r="DE17" s="130">
        <v>1</v>
      </c>
      <c r="DF17" s="130">
        <v>0</v>
      </c>
      <c r="DG17" s="130">
        <v>1</v>
      </c>
      <c r="DH17" s="130">
        <v>0</v>
      </c>
      <c r="DI17" s="130">
        <v>2</v>
      </c>
      <c r="DJ17" s="130">
        <v>0</v>
      </c>
      <c r="DK17" s="130">
        <v>3</v>
      </c>
      <c r="DL17" s="130">
        <v>4</v>
      </c>
      <c r="DM17" s="130">
        <v>1</v>
      </c>
      <c r="DN17" s="130">
        <v>0</v>
      </c>
      <c r="DO17" s="130">
        <v>0</v>
      </c>
      <c r="DP17" s="130">
        <v>3</v>
      </c>
      <c r="DQ17" s="130">
        <v>1</v>
      </c>
      <c r="DR17" s="130">
        <v>0</v>
      </c>
      <c r="DS17" s="130">
        <v>1</v>
      </c>
      <c r="DT17" s="130">
        <v>3</v>
      </c>
      <c r="DU17" s="130">
        <v>1</v>
      </c>
      <c r="DV17" s="130">
        <v>1</v>
      </c>
      <c r="DW17" s="130">
        <v>0</v>
      </c>
      <c r="DX17" s="130">
        <v>1</v>
      </c>
      <c r="DY17" s="130">
        <v>0</v>
      </c>
      <c r="DZ17" s="130">
        <v>1</v>
      </c>
      <c r="EA17" s="130">
        <v>0</v>
      </c>
      <c r="EB17" s="130">
        <v>2</v>
      </c>
      <c r="EC17" s="130">
        <v>2</v>
      </c>
      <c r="ED17" s="130">
        <v>2</v>
      </c>
      <c r="EE17" s="130">
        <v>0</v>
      </c>
      <c r="EF17" s="130">
        <v>2</v>
      </c>
      <c r="EG17" s="130">
        <v>4</v>
      </c>
      <c r="EH17" s="130">
        <v>1</v>
      </c>
      <c r="EI17" s="130">
        <v>2</v>
      </c>
      <c r="EJ17" s="1">
        <v>2</v>
      </c>
      <c r="EK17" s="1">
        <v>1</v>
      </c>
      <c r="EL17" s="1">
        <v>0</v>
      </c>
      <c r="EM17" s="1">
        <v>2</v>
      </c>
      <c r="EN17" s="1">
        <v>6</v>
      </c>
      <c r="EO17" s="1">
        <v>7</v>
      </c>
      <c r="EP17" s="1">
        <v>5</v>
      </c>
      <c r="EQ17" s="1">
        <v>2</v>
      </c>
      <c r="ER17" s="1">
        <v>1</v>
      </c>
    </row>
    <row r="18" spans="1:148" s="194" customFormat="1" ht="15" x14ac:dyDescent="0.25">
      <c r="A18" s="193" t="s">
        <v>201</v>
      </c>
      <c r="B18" s="165">
        <f t="shared" ref="B18:Z18" si="21">(SUM(B14)/7.5)/B17</f>
        <v>0</v>
      </c>
      <c r="C18" s="165">
        <f t="shared" si="21"/>
        <v>2.4</v>
      </c>
      <c r="D18" s="165">
        <f t="shared" si="21"/>
        <v>26.266666666666666</v>
      </c>
      <c r="E18" s="165" t="e">
        <f t="shared" si="21"/>
        <v>#DIV/0!</v>
      </c>
      <c r="F18" s="165">
        <f t="shared" si="21"/>
        <v>1</v>
      </c>
      <c r="G18" s="165" t="e">
        <f t="shared" si="21"/>
        <v>#DIV/0!</v>
      </c>
      <c r="H18" s="165">
        <f t="shared" si="21"/>
        <v>0.26666666666666666</v>
      </c>
      <c r="I18" s="165">
        <f t="shared" si="21"/>
        <v>18</v>
      </c>
      <c r="J18" s="165">
        <f t="shared" si="21"/>
        <v>4</v>
      </c>
      <c r="K18" s="165">
        <f t="shared" si="21"/>
        <v>4.5999999999999996</v>
      </c>
      <c r="L18" s="165" t="e">
        <f t="shared" si="21"/>
        <v>#DIV/0!</v>
      </c>
      <c r="M18" s="165">
        <f t="shared" si="21"/>
        <v>3.5333333333333332</v>
      </c>
      <c r="N18" s="165">
        <f t="shared" si="21"/>
        <v>1.2</v>
      </c>
      <c r="O18" s="165" t="e">
        <f t="shared" si="21"/>
        <v>#DIV/0!</v>
      </c>
      <c r="P18" s="165">
        <f t="shared" si="21"/>
        <v>2</v>
      </c>
      <c r="Q18" s="165" t="e">
        <f t="shared" si="21"/>
        <v>#DIV/0!</v>
      </c>
      <c r="R18" s="165" t="e">
        <f t="shared" si="21"/>
        <v>#DIV/0!</v>
      </c>
      <c r="S18" s="165">
        <f t="shared" si="21"/>
        <v>1.0666666666666667</v>
      </c>
      <c r="T18" s="165">
        <f t="shared" si="21"/>
        <v>7.0333333333333332</v>
      </c>
      <c r="U18" s="165">
        <f t="shared" si="21"/>
        <v>1.5666666666666667</v>
      </c>
      <c r="V18" s="199" t="e">
        <f t="shared" si="21"/>
        <v>#DIV/0!</v>
      </c>
      <c r="W18" s="199" t="e">
        <f t="shared" si="21"/>
        <v>#DIV/0!</v>
      </c>
      <c r="X18" s="199" t="e">
        <f t="shared" si="21"/>
        <v>#DIV/0!</v>
      </c>
      <c r="Y18" s="164">
        <f t="shared" si="21"/>
        <v>1.8666666666666667</v>
      </c>
      <c r="Z18" s="164">
        <f t="shared" si="21"/>
        <v>0</v>
      </c>
      <c r="AA18" s="164">
        <v>0</v>
      </c>
      <c r="AB18" s="164">
        <f>(SUM(AB14)/7.5)/AB17</f>
        <v>0.33066666666666666</v>
      </c>
      <c r="AC18" s="164" t="e">
        <f>(SUM(AC14)/7.5)/AC17</f>
        <v>#DIV/0!</v>
      </c>
      <c r="AD18" s="164">
        <f>(SUM(AD14)/7.5)/AD17</f>
        <v>2</v>
      </c>
      <c r="AE18" s="164" t="e">
        <f>(SUM(AE14)/7.5)/AE17</f>
        <v>#DIV/0!</v>
      </c>
      <c r="AF18" s="164">
        <v>0</v>
      </c>
      <c r="AG18" s="164">
        <f>(SUM(AG14)/7.5)/2</f>
        <v>0</v>
      </c>
      <c r="AH18" s="164">
        <f>(SUM(AH14)/7.5)/1</f>
        <v>0</v>
      </c>
      <c r="AI18" s="164">
        <f>(SUM(AI14)/7.5)/1</f>
        <v>0</v>
      </c>
      <c r="AJ18" s="164">
        <f>(SUM(AJ14)/7.5)/1</f>
        <v>0</v>
      </c>
      <c r="AK18" s="164">
        <f>(SUM(AK14)/7.5)/1</f>
        <v>0</v>
      </c>
      <c r="AL18" s="194">
        <v>4.9000000000000004</v>
      </c>
      <c r="AM18" s="194">
        <v>0</v>
      </c>
      <c r="AN18" s="194">
        <v>0</v>
      </c>
      <c r="AO18" s="194">
        <v>17.7</v>
      </c>
      <c r="AP18" s="194">
        <f>SUM(AP14/7.5)/AP17</f>
        <v>9.5333333333333332</v>
      </c>
      <c r="AQ18" s="181">
        <f>SUM(AQ14/7.5)/AQ17</f>
        <v>16.933333333333334</v>
      </c>
      <c r="AR18" s="181">
        <f>SUM(AR14/7.5)/AR17</f>
        <v>16.399999999999999</v>
      </c>
      <c r="AS18" s="181">
        <f>SUM(AS14/7.5)/AS17</f>
        <v>8.6999999999999993</v>
      </c>
      <c r="AT18" s="200">
        <f>AT14/7.5/AT17</f>
        <v>8.6759999999999984</v>
      </c>
      <c r="AU18" s="200">
        <f>AU14/7.5/AU17</f>
        <v>18.866666666666667</v>
      </c>
      <c r="AV18" s="181">
        <v>0</v>
      </c>
      <c r="AW18" s="181">
        <f>SUM(AW14/7.5)/AW17</f>
        <v>16.399999999999999</v>
      </c>
      <c r="AX18" s="181">
        <f>SUM(AX14/7.5)/AX17</f>
        <v>8.3000000000000007</v>
      </c>
      <c r="AY18" s="181">
        <f>SUM(AY14/7.5)/AY17</f>
        <v>3</v>
      </c>
      <c r="AZ18" s="181">
        <v>0</v>
      </c>
      <c r="BA18" s="181">
        <f>SUM(BA14/7.5)/BA17</f>
        <v>2</v>
      </c>
      <c r="BB18" s="181">
        <v>0</v>
      </c>
      <c r="BC18" s="201">
        <v>8</v>
      </c>
      <c r="BD18" s="201">
        <v>0</v>
      </c>
      <c r="BE18" s="201">
        <v>9</v>
      </c>
      <c r="BF18" s="201">
        <v>0</v>
      </c>
      <c r="BG18" s="181">
        <v>0</v>
      </c>
      <c r="BH18" s="181">
        <v>0</v>
      </c>
      <c r="BI18" s="181">
        <v>0.5</v>
      </c>
      <c r="BJ18" s="181">
        <v>0</v>
      </c>
      <c r="BK18" s="181">
        <v>0</v>
      </c>
      <c r="BL18" s="181">
        <v>0</v>
      </c>
      <c r="BM18" s="181">
        <v>10</v>
      </c>
      <c r="BN18" s="181">
        <v>0</v>
      </c>
      <c r="BO18" s="181">
        <v>1.5</v>
      </c>
      <c r="BP18" s="181" t="e">
        <f>BP14/BP17/7.5</f>
        <v>#DIV/0!</v>
      </c>
      <c r="BQ18" s="181">
        <f>BQ14/BQ17/7.5</f>
        <v>0</v>
      </c>
      <c r="BR18" s="181">
        <f>BR14/BR17/7.5</f>
        <v>9.5</v>
      </c>
      <c r="BS18" s="195">
        <f>BS14/BS17/7.5</f>
        <v>10.5</v>
      </c>
      <c r="BT18" s="195" t="e">
        <v>#DIV/0!</v>
      </c>
      <c r="BU18" s="195" t="e">
        <v>#DIV/0!</v>
      </c>
      <c r="BV18" s="195" t="e">
        <v>#DIV/0!</v>
      </c>
      <c r="BW18" s="195">
        <v>0.5</v>
      </c>
      <c r="BX18" s="195">
        <f t="shared" ref="BX18:EI18" si="22">BX35/BX36</f>
        <v>2</v>
      </c>
      <c r="BY18" s="195">
        <f t="shared" si="22"/>
        <v>5</v>
      </c>
      <c r="BZ18" s="195" t="e">
        <f t="shared" si="22"/>
        <v>#DIV/0!</v>
      </c>
      <c r="CA18" s="195">
        <f t="shared" si="22"/>
        <v>1</v>
      </c>
      <c r="CB18" s="195" t="e">
        <f t="shared" si="22"/>
        <v>#DIV/0!</v>
      </c>
      <c r="CC18" s="195" t="e">
        <f t="shared" si="22"/>
        <v>#DIV/0!</v>
      </c>
      <c r="CD18" s="195" t="e">
        <f t="shared" si="22"/>
        <v>#DIV/0!</v>
      </c>
      <c r="CE18" s="195" t="e">
        <f t="shared" si="22"/>
        <v>#DIV/0!</v>
      </c>
      <c r="CF18" s="195">
        <f t="shared" si="22"/>
        <v>3</v>
      </c>
      <c r="CG18" s="195" t="e">
        <f t="shared" si="22"/>
        <v>#DIV/0!</v>
      </c>
      <c r="CH18" s="195">
        <f t="shared" si="22"/>
        <v>1.3333333333333333</v>
      </c>
      <c r="CI18" s="195" t="e">
        <f t="shared" si="22"/>
        <v>#DIV/0!</v>
      </c>
      <c r="CJ18" s="195">
        <f t="shared" si="22"/>
        <v>2.5</v>
      </c>
      <c r="CK18" s="194" t="e">
        <f t="shared" si="22"/>
        <v>#DIV/0!</v>
      </c>
      <c r="CL18" s="194">
        <f t="shared" si="22"/>
        <v>1</v>
      </c>
      <c r="CM18" s="122" t="e">
        <f t="shared" si="22"/>
        <v>#DIV/0!</v>
      </c>
      <c r="CN18" s="122" t="e">
        <f t="shared" si="22"/>
        <v>#DIV/0!</v>
      </c>
      <c r="CO18" s="122" t="e">
        <f t="shared" si="22"/>
        <v>#DIV/0!</v>
      </c>
      <c r="CP18" s="122" t="e">
        <f t="shared" si="22"/>
        <v>#DIV/0!</v>
      </c>
      <c r="CQ18" s="122" t="e">
        <f t="shared" si="22"/>
        <v>#DIV/0!</v>
      </c>
      <c r="CR18" s="122">
        <f t="shared" si="22"/>
        <v>14.8</v>
      </c>
      <c r="CS18" s="122" t="e">
        <f t="shared" si="22"/>
        <v>#DIV/0!</v>
      </c>
      <c r="CT18" s="122">
        <f t="shared" si="22"/>
        <v>2.8</v>
      </c>
      <c r="CU18" s="122">
        <f t="shared" si="22"/>
        <v>0</v>
      </c>
      <c r="CV18" s="122">
        <f t="shared" si="22"/>
        <v>8.0659999999999989</v>
      </c>
      <c r="CW18" s="122" t="e">
        <f t="shared" si="22"/>
        <v>#DIV/0!</v>
      </c>
      <c r="CX18" s="122">
        <f t="shared" si="22"/>
        <v>27.835000000000001</v>
      </c>
      <c r="CY18" s="122">
        <f t="shared" si="22"/>
        <v>14.10888888888889</v>
      </c>
      <c r="CZ18" s="122">
        <f t="shared" si="22"/>
        <v>62.4</v>
      </c>
      <c r="DA18" s="122">
        <f t="shared" si="22"/>
        <v>29.77</v>
      </c>
      <c r="DB18" s="122" t="e">
        <f t="shared" si="22"/>
        <v>#DIV/0!</v>
      </c>
      <c r="DC18" s="122">
        <f t="shared" si="22"/>
        <v>9</v>
      </c>
      <c r="DD18" s="122" t="e">
        <f t="shared" si="22"/>
        <v>#DIV/0!</v>
      </c>
      <c r="DE18" s="122">
        <f t="shared" si="22"/>
        <v>14.07</v>
      </c>
      <c r="DF18" s="122" t="e">
        <f t="shared" si="22"/>
        <v>#DIV/0!</v>
      </c>
      <c r="DG18" s="122">
        <f t="shared" si="22"/>
        <v>9.32</v>
      </c>
      <c r="DH18" s="122" t="e">
        <f t="shared" si="22"/>
        <v>#DIV/0!</v>
      </c>
      <c r="DI18" s="122">
        <f t="shared" si="22"/>
        <v>8.4</v>
      </c>
      <c r="DJ18" s="122" t="e">
        <f t="shared" si="22"/>
        <v>#DIV/0!</v>
      </c>
      <c r="DK18" s="122">
        <f t="shared" si="22"/>
        <v>9.0333333333333332</v>
      </c>
      <c r="DL18" s="122">
        <f t="shared" si="22"/>
        <v>6.9249999999999998</v>
      </c>
      <c r="DM18" s="122">
        <f t="shared" si="22"/>
        <v>28.599999999999998</v>
      </c>
      <c r="DN18" s="122" t="e">
        <f t="shared" si="22"/>
        <v>#DIV/0!</v>
      </c>
      <c r="DO18" s="122" t="e">
        <f t="shared" si="22"/>
        <v>#DIV/0!</v>
      </c>
      <c r="DP18" s="122">
        <f t="shared" si="22"/>
        <v>5.333333333333333</v>
      </c>
      <c r="DQ18" s="122">
        <f t="shared" si="22"/>
        <v>22.67</v>
      </c>
      <c r="DR18" s="122" t="e">
        <f t="shared" si="22"/>
        <v>#DIV/0!</v>
      </c>
      <c r="DS18" s="122">
        <f t="shared" si="22"/>
        <v>8.3000000000000007</v>
      </c>
      <c r="DT18" s="122">
        <f t="shared" si="22"/>
        <v>3.1333333333333333</v>
      </c>
      <c r="DU18" s="122">
        <f t="shared" si="22"/>
        <v>12.6</v>
      </c>
      <c r="DV18" s="122">
        <f t="shared" si="22"/>
        <v>10.6</v>
      </c>
      <c r="DW18" s="122" t="e">
        <f t="shared" si="22"/>
        <v>#DIV/0!</v>
      </c>
      <c r="DX18" s="122">
        <f t="shared" si="22"/>
        <v>4</v>
      </c>
      <c r="DY18" s="122" t="e">
        <f t="shared" si="22"/>
        <v>#DIV/0!</v>
      </c>
      <c r="DZ18" s="122">
        <f t="shared" si="22"/>
        <v>21.4</v>
      </c>
      <c r="EA18" s="122" t="e">
        <f t="shared" si="22"/>
        <v>#DIV/0!</v>
      </c>
      <c r="EB18" s="122">
        <f t="shared" si="22"/>
        <v>6.1000000000000005</v>
      </c>
      <c r="EC18" s="122">
        <f t="shared" si="22"/>
        <v>7.6</v>
      </c>
      <c r="ED18" s="122">
        <f t="shared" si="22"/>
        <v>11.15</v>
      </c>
      <c r="EE18" s="122" t="e">
        <f t="shared" si="22"/>
        <v>#DIV/0!</v>
      </c>
      <c r="EF18" s="122">
        <f t="shared" si="22"/>
        <v>7.4</v>
      </c>
      <c r="EG18" s="122">
        <f t="shared" si="22"/>
        <v>4.1499999999999995</v>
      </c>
      <c r="EH18" s="122">
        <f t="shared" si="22"/>
        <v>11.1</v>
      </c>
      <c r="EI18" s="122">
        <f t="shared" si="22"/>
        <v>30.049999999999997</v>
      </c>
      <c r="EJ18" s="1">
        <f t="shared" ref="EJ18:EN18" si="23">EJ35/EJ36</f>
        <v>26.954999999999998</v>
      </c>
      <c r="EK18" s="1">
        <f t="shared" si="23"/>
        <v>29.56</v>
      </c>
      <c r="EL18" s="1" t="e">
        <f t="shared" si="23"/>
        <v>#DIV/0!</v>
      </c>
      <c r="EM18" s="1">
        <f t="shared" si="23"/>
        <v>9.43</v>
      </c>
      <c r="EN18" s="1">
        <f t="shared" si="23"/>
        <v>4.9950000000000001</v>
      </c>
      <c r="EO18" s="1">
        <f>EO35/EO36</f>
        <v>5.580000000000001</v>
      </c>
      <c r="EP18" s="1">
        <f>EP35/EP36</f>
        <v>6.0659999999999998</v>
      </c>
      <c r="EQ18" s="1">
        <f>EQ35/EQ36</f>
        <v>15.08</v>
      </c>
      <c r="ER18" s="1">
        <f>ER35/ER36</f>
        <v>0</v>
      </c>
    </row>
    <row r="19" spans="1:148" s="194" customFormat="1" ht="15" x14ac:dyDescent="0.25">
      <c r="A19" s="193" t="s">
        <v>202</v>
      </c>
      <c r="B19" s="165"/>
      <c r="C19" s="165"/>
      <c r="D19" s="165"/>
      <c r="E19" s="165"/>
      <c r="F19" s="165"/>
      <c r="G19" s="165"/>
      <c r="H19" s="165"/>
      <c r="I19" s="165"/>
      <c r="J19" s="165"/>
      <c r="K19" s="165"/>
      <c r="L19" s="165"/>
      <c r="M19" s="165"/>
      <c r="N19" s="165">
        <f t="shared" ref="N19:AK19" si="24">SUM(N17)/N15*200000</f>
        <v>2.2644927536231885</v>
      </c>
      <c r="O19" s="165">
        <f t="shared" si="24"/>
        <v>0</v>
      </c>
      <c r="P19" s="165">
        <f t="shared" si="24"/>
        <v>5.2317672909908968</v>
      </c>
      <c r="Q19" s="165">
        <f t="shared" si="24"/>
        <v>0</v>
      </c>
      <c r="R19" s="165">
        <f t="shared" si="24"/>
        <v>0</v>
      </c>
      <c r="S19" s="165">
        <f t="shared" si="24"/>
        <v>2.4172981858177116</v>
      </c>
      <c r="T19" s="165">
        <f t="shared" si="24"/>
        <v>4.7330556607345704</v>
      </c>
      <c r="U19" s="165">
        <f t="shared" si="24"/>
        <v>4.4568741712999591</v>
      </c>
      <c r="V19" s="199">
        <f t="shared" si="24"/>
        <v>0</v>
      </c>
      <c r="W19" s="199">
        <f t="shared" si="24"/>
        <v>0</v>
      </c>
      <c r="X19" s="199">
        <f t="shared" si="24"/>
        <v>0</v>
      </c>
      <c r="Y19" s="164">
        <f t="shared" si="24"/>
        <v>2.3529411764705883</v>
      </c>
      <c r="Z19" s="164">
        <f t="shared" si="24"/>
        <v>2.4203112520270107</v>
      </c>
      <c r="AA19" s="164">
        <f t="shared" si="24"/>
        <v>0</v>
      </c>
      <c r="AB19" s="164">
        <f t="shared" si="24"/>
        <v>2.9096834264432028</v>
      </c>
      <c r="AC19" s="164">
        <f t="shared" si="24"/>
        <v>0</v>
      </c>
      <c r="AD19" s="164">
        <f t="shared" si="24"/>
        <v>5.0780251255605187</v>
      </c>
      <c r="AE19" s="164">
        <f t="shared" si="24"/>
        <v>0</v>
      </c>
      <c r="AF19" s="164">
        <f t="shared" si="24"/>
        <v>0</v>
      </c>
      <c r="AG19" s="164">
        <f t="shared" si="24"/>
        <v>0</v>
      </c>
      <c r="AH19" s="164">
        <f t="shared" si="24"/>
        <v>0</v>
      </c>
      <c r="AI19" s="164">
        <f t="shared" si="24"/>
        <v>0</v>
      </c>
      <c r="AJ19" s="164">
        <f t="shared" si="24"/>
        <v>0</v>
      </c>
      <c r="AK19" s="164">
        <f t="shared" si="24"/>
        <v>0</v>
      </c>
      <c r="AL19" s="194">
        <f t="shared" ref="AL19:AS19" si="25">(SUM(AL17)/AL15)*200000</f>
        <v>2.3708452418914128</v>
      </c>
      <c r="AM19" s="194">
        <f t="shared" si="25"/>
        <v>0</v>
      </c>
      <c r="AN19" s="194">
        <f t="shared" si="25"/>
        <v>0</v>
      </c>
      <c r="AO19" s="194">
        <f t="shared" si="25"/>
        <v>0</v>
      </c>
      <c r="AP19" s="194">
        <f t="shared" si="25"/>
        <v>4.7048566941818448</v>
      </c>
      <c r="AQ19" s="194">
        <f t="shared" si="25"/>
        <v>2.5779175581964888</v>
      </c>
      <c r="AR19" s="194">
        <f t="shared" si="25"/>
        <v>2.2799817601459189</v>
      </c>
      <c r="AS19" s="194">
        <f t="shared" si="25"/>
        <v>3.1296455676394648</v>
      </c>
      <c r="AT19" s="164">
        <f>AT17/AT15*200000</f>
        <v>4.8919640318344557</v>
      </c>
      <c r="AU19" s="164">
        <f>AU17/AU15*200000</f>
        <v>2.5570101391844542</v>
      </c>
      <c r="AV19" s="164">
        <f t="shared" ref="AV19:BC19" si="26">(SUM(AV17)/AV15)*200000</f>
        <v>0</v>
      </c>
      <c r="AW19" s="164">
        <f t="shared" si="26"/>
        <v>2.4096385542168672</v>
      </c>
      <c r="AX19" s="164">
        <f t="shared" si="26"/>
        <v>3.1854209653258962</v>
      </c>
      <c r="AY19" s="164">
        <f t="shared" si="26"/>
        <v>2.3307130292102443</v>
      </c>
      <c r="AZ19" s="164">
        <f t="shared" si="26"/>
        <v>2.3370983988538871E-3</v>
      </c>
      <c r="BA19" s="164">
        <f t="shared" si="26"/>
        <v>2.3605240127255849</v>
      </c>
      <c r="BB19" s="164">
        <f t="shared" si="26"/>
        <v>2.3769907297361541E-3</v>
      </c>
      <c r="BC19" s="164">
        <f t="shared" si="26"/>
        <v>2.3313283909171445</v>
      </c>
      <c r="BD19" s="164">
        <v>1.6156835044045955E-3</v>
      </c>
      <c r="BE19" s="164">
        <v>2.3268227282182634</v>
      </c>
      <c r="BF19" s="164">
        <f t="shared" ref="BF19:BS19" si="27">(SUM(BF17)/BF15)*200000</f>
        <v>0</v>
      </c>
      <c r="BG19" s="164">
        <f t="shared" si="27"/>
        <v>0</v>
      </c>
      <c r="BH19" s="164">
        <f t="shared" si="27"/>
        <v>0</v>
      </c>
      <c r="BI19" s="164">
        <f t="shared" si="27"/>
        <v>1.5721496827991495</v>
      </c>
      <c r="BJ19" s="164">
        <f t="shared" si="27"/>
        <v>0</v>
      </c>
      <c r="BK19" s="164">
        <f t="shared" si="27"/>
        <v>0</v>
      </c>
      <c r="BL19" s="164">
        <f t="shared" si="27"/>
        <v>0</v>
      </c>
      <c r="BM19" s="200">
        <f t="shared" si="27"/>
        <v>2.250740859488161</v>
      </c>
      <c r="BN19" s="200">
        <f t="shared" si="27"/>
        <v>0</v>
      </c>
      <c r="BO19" s="200">
        <f t="shared" si="27"/>
        <v>0</v>
      </c>
      <c r="BP19" s="200">
        <f t="shared" si="27"/>
        <v>0</v>
      </c>
      <c r="BQ19" s="200">
        <f t="shared" si="27"/>
        <v>2.2256100953673927</v>
      </c>
      <c r="BR19" s="200">
        <f t="shared" si="27"/>
        <v>2.3536860488789979</v>
      </c>
      <c r="BS19" s="200">
        <f t="shared" si="27"/>
        <v>4.7890713392039368</v>
      </c>
      <c r="BT19" s="200">
        <v>0</v>
      </c>
      <c r="BU19" s="200">
        <v>0</v>
      </c>
      <c r="BV19" s="200">
        <v>0</v>
      </c>
      <c r="BW19" s="200">
        <v>2.1947151259766482</v>
      </c>
      <c r="BX19" s="200">
        <f t="shared" ref="BX19:EI19" si="28">BX17/BX15*200000</f>
        <v>2.6107956399712813</v>
      </c>
      <c r="BY19" s="200">
        <f t="shared" si="28"/>
        <v>2.2028129921910278</v>
      </c>
      <c r="BZ19" s="200">
        <f t="shared" si="28"/>
        <v>0</v>
      </c>
      <c r="CA19" s="200">
        <f t="shared" si="28"/>
        <v>0</v>
      </c>
      <c r="CB19" s="200">
        <f t="shared" si="28"/>
        <v>0</v>
      </c>
      <c r="CC19" s="200">
        <f t="shared" si="28"/>
        <v>0</v>
      </c>
      <c r="CD19" s="200">
        <f t="shared" si="28"/>
        <v>0</v>
      </c>
      <c r="CE19" s="200">
        <f t="shared" si="28"/>
        <v>0</v>
      </c>
      <c r="CF19" s="200">
        <f t="shared" si="28"/>
        <v>2.3614928365885919</v>
      </c>
      <c r="CG19" s="200">
        <f t="shared" si="28"/>
        <v>0</v>
      </c>
      <c r="CH19" s="200">
        <f t="shared" si="28"/>
        <v>4.5796987222297085</v>
      </c>
      <c r="CI19" s="200">
        <f t="shared" si="28"/>
        <v>0</v>
      </c>
      <c r="CJ19" s="200">
        <f t="shared" si="28"/>
        <v>2.9219436359994555</v>
      </c>
      <c r="CK19" s="194">
        <f t="shared" si="28"/>
        <v>0</v>
      </c>
      <c r="CL19" s="194">
        <f t="shared" si="28"/>
        <v>2.3811440063509872</v>
      </c>
      <c r="CM19" s="194">
        <f t="shared" si="28"/>
        <v>0</v>
      </c>
      <c r="CN19" s="194">
        <f t="shared" si="28"/>
        <v>0</v>
      </c>
      <c r="CO19" s="194">
        <f t="shared" si="28"/>
        <v>0</v>
      </c>
      <c r="CP19" s="194">
        <f t="shared" si="28"/>
        <v>0</v>
      </c>
      <c r="CQ19" s="194">
        <f t="shared" si="28"/>
        <v>0</v>
      </c>
      <c r="CR19" s="194">
        <f t="shared" si="28"/>
        <v>1.6023921792365385</v>
      </c>
      <c r="CS19" s="194">
        <f t="shared" si="28"/>
        <v>0</v>
      </c>
      <c r="CT19" s="194">
        <f t="shared" si="28"/>
        <v>4.7263949068368483</v>
      </c>
      <c r="CU19" s="194">
        <f t="shared" si="28"/>
        <v>2.2861838025477925</v>
      </c>
      <c r="CV19" s="194">
        <f t="shared" si="28"/>
        <v>13.838380721253637</v>
      </c>
      <c r="CW19" s="194">
        <f t="shared" si="28"/>
        <v>0</v>
      </c>
      <c r="CX19" s="194">
        <f t="shared" si="28"/>
        <v>3.0725683022331811</v>
      </c>
      <c r="CY19" s="194">
        <f t="shared" si="28"/>
        <v>7.3773469953602628</v>
      </c>
      <c r="CZ19" s="194">
        <f t="shared" si="28"/>
        <v>2.2254243606077631</v>
      </c>
      <c r="DA19" s="194">
        <f t="shared" si="28"/>
        <v>2.3352367848366535</v>
      </c>
      <c r="DB19" s="194">
        <f t="shared" si="28"/>
        <v>0</v>
      </c>
      <c r="DC19" s="194">
        <f t="shared" si="28"/>
        <v>1.5716049953150455</v>
      </c>
      <c r="DD19" s="194">
        <f t="shared" si="28"/>
        <v>0</v>
      </c>
      <c r="DE19" s="194">
        <f t="shared" si="28"/>
        <v>2.317095437453716</v>
      </c>
      <c r="DF19" s="194">
        <f t="shared" si="28"/>
        <v>0</v>
      </c>
      <c r="DG19" s="194">
        <f t="shared" si="28"/>
        <v>2.2082394049501439</v>
      </c>
      <c r="DH19" s="194">
        <f t="shared" si="28"/>
        <v>0</v>
      </c>
      <c r="DI19" s="194">
        <f t="shared" si="28"/>
        <v>4.5460336481499519</v>
      </c>
      <c r="DJ19" s="194">
        <f t="shared" si="28"/>
        <v>0</v>
      </c>
      <c r="DK19" s="194">
        <f t="shared" si="28"/>
        <v>3.5947398172254541</v>
      </c>
      <c r="DL19" s="194">
        <f t="shared" si="28"/>
        <v>4.5413825251347077</v>
      </c>
      <c r="DM19" s="194">
        <f t="shared" si="28"/>
        <v>1.19888961241877</v>
      </c>
      <c r="DN19" s="194">
        <f t="shared" si="28"/>
        <v>0</v>
      </c>
      <c r="DO19" s="194">
        <f t="shared" si="28"/>
        <v>0</v>
      </c>
      <c r="DP19" s="194">
        <f t="shared" si="28"/>
        <v>3.7078138840574022</v>
      </c>
      <c r="DQ19" s="194">
        <f t="shared" si="28"/>
        <v>1.1600319797616179</v>
      </c>
      <c r="DR19" s="194">
        <f t="shared" si="28"/>
        <v>0</v>
      </c>
      <c r="DS19" s="194">
        <f t="shared" si="28"/>
        <v>1.1989853466605351</v>
      </c>
      <c r="DT19" s="194">
        <f t="shared" si="28"/>
        <v>2.7695915831003952</v>
      </c>
      <c r="DU19" s="194">
        <f t="shared" si="28"/>
        <v>1.2541542291146637</v>
      </c>
      <c r="DV19" s="194">
        <f t="shared" si="28"/>
        <v>1.1728887928423288</v>
      </c>
      <c r="DW19" s="194">
        <f t="shared" si="28"/>
        <v>0</v>
      </c>
      <c r="DX19" s="194">
        <f t="shared" si="28"/>
        <v>1.1912495099497327</v>
      </c>
      <c r="DY19" s="194">
        <f t="shared" si="28"/>
        <v>0</v>
      </c>
      <c r="DZ19" s="194">
        <f t="shared" si="28"/>
        <v>1.2073994752400401</v>
      </c>
      <c r="EA19" s="194">
        <f t="shared" si="28"/>
        <v>0</v>
      </c>
      <c r="EB19" s="194">
        <f t="shared" si="28"/>
        <v>2.4428720626982656</v>
      </c>
      <c r="EC19" s="194">
        <f t="shared" si="28"/>
        <v>2.339277456845156</v>
      </c>
      <c r="ED19" s="194">
        <f t="shared" si="28"/>
        <v>2.4683686274050012</v>
      </c>
      <c r="EE19" s="194">
        <f t="shared" si="28"/>
        <v>0</v>
      </c>
      <c r="EF19" s="194">
        <f t="shared" si="28"/>
        <v>1.9539131482674723</v>
      </c>
      <c r="EG19" s="194">
        <f t="shared" si="28"/>
        <v>4.9754341050708444</v>
      </c>
      <c r="EH19" s="194">
        <f t="shared" si="28"/>
        <v>1.1635088261452533</v>
      </c>
      <c r="EI19" s="194">
        <f t="shared" si="28"/>
        <v>2.5362036733866766</v>
      </c>
      <c r="EJ19" s="1">
        <f t="shared" ref="EJ19:EN19" si="29">EJ17/EJ15*200000</f>
        <v>2.3479916101563791</v>
      </c>
      <c r="EK19" s="1">
        <f t="shared" si="29"/>
        <v>1.1958032090574917</v>
      </c>
      <c r="EL19" s="1">
        <f t="shared" si="29"/>
        <v>0</v>
      </c>
      <c r="EM19" s="1">
        <f t="shared" si="29"/>
        <v>2.2710949232511859</v>
      </c>
      <c r="EN19" s="1">
        <f t="shared" si="29"/>
        <v>5.4766347138499434</v>
      </c>
      <c r="EO19" s="1">
        <f>EO17/EO15*200000</f>
        <v>6.3118960304485858</v>
      </c>
      <c r="EP19" s="1">
        <f>EP17/EP15*200000</f>
        <v>3.7833859239425585</v>
      </c>
      <c r="EQ19" s="1">
        <f>EQ17/EQ15*200000</f>
        <v>0.96539760364903882</v>
      </c>
      <c r="ER19" s="1">
        <f>ER17/ER15*200000</f>
        <v>0.52595323745032252</v>
      </c>
    </row>
    <row r="20" spans="1:148" x14ac:dyDescent="0.2">
      <c r="A20" s="202" t="s">
        <v>203</v>
      </c>
      <c r="B20" s="203"/>
      <c r="C20" s="203"/>
      <c r="D20" s="203"/>
      <c r="E20" s="203"/>
      <c r="F20" s="203"/>
      <c r="G20" s="203"/>
      <c r="H20" s="203"/>
      <c r="I20" s="203"/>
      <c r="J20" s="203"/>
      <c r="K20" s="203"/>
      <c r="L20" s="203"/>
      <c r="M20" s="203"/>
      <c r="N20" s="203"/>
      <c r="O20" s="203"/>
      <c r="P20" s="203"/>
      <c r="Q20" s="203"/>
      <c r="R20" s="203"/>
      <c r="S20" s="203"/>
      <c r="T20" s="203"/>
      <c r="U20" s="203"/>
      <c r="V20" s="203"/>
      <c r="W20" s="203"/>
      <c r="X20" s="203"/>
      <c r="Y20" s="203"/>
      <c r="Z20" s="203"/>
      <c r="AA20" s="203"/>
      <c r="AB20" s="203"/>
      <c r="AC20" s="203"/>
      <c r="AD20" s="203"/>
      <c r="AE20" s="203"/>
      <c r="AF20" s="203"/>
      <c r="AG20" s="203"/>
      <c r="AH20" s="203"/>
      <c r="AI20" s="203"/>
      <c r="AJ20" s="203"/>
      <c r="AK20" s="203"/>
      <c r="AL20" s="203"/>
      <c r="AM20" s="203"/>
      <c r="AN20" s="203"/>
      <c r="AO20" s="203"/>
      <c r="AP20" s="203"/>
      <c r="AQ20" s="203"/>
      <c r="AR20" s="203"/>
      <c r="AS20" s="203"/>
      <c r="AT20" s="203"/>
      <c r="AU20" s="203"/>
      <c r="AV20" s="203"/>
      <c r="AW20" s="203"/>
      <c r="AX20" s="173"/>
      <c r="AY20" s="173"/>
      <c r="AZ20" s="173"/>
      <c r="BA20" s="173"/>
      <c r="BB20" s="173"/>
      <c r="BC20" s="173"/>
      <c r="BD20" s="173"/>
      <c r="BE20" s="173"/>
      <c r="BF20" s="173"/>
      <c r="BG20" s="173"/>
      <c r="BH20" s="173"/>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173"/>
      <c r="CF20" s="173"/>
      <c r="CG20" s="173"/>
      <c r="CH20" s="173"/>
      <c r="CI20" s="173"/>
      <c r="CJ20" s="173"/>
      <c r="CK20" s="173"/>
      <c r="CL20" s="173"/>
      <c r="CM20" s="173"/>
      <c r="CN20" s="173"/>
      <c r="CO20" s="173"/>
      <c r="CP20" s="173"/>
      <c r="CQ20" s="173"/>
      <c r="CR20" s="173"/>
      <c r="CS20" s="173"/>
      <c r="CT20" s="173"/>
      <c r="CU20" s="173"/>
      <c r="CV20" s="173"/>
      <c r="CW20" s="173"/>
      <c r="CX20" s="173"/>
      <c r="CY20" s="173"/>
      <c r="CZ20" s="173"/>
      <c r="DA20" s="173"/>
      <c r="DB20" s="173"/>
      <c r="DC20" s="173"/>
      <c r="DD20" s="173"/>
      <c r="DE20" s="173"/>
      <c r="DF20" s="173"/>
      <c r="DG20" s="173"/>
      <c r="DH20" s="173"/>
      <c r="DI20" s="173"/>
      <c r="DJ20" s="173"/>
      <c r="DK20" s="173"/>
      <c r="DL20" s="173"/>
      <c r="DM20" s="173"/>
      <c r="DN20" s="173"/>
      <c r="DO20" s="173"/>
      <c r="DP20" s="173"/>
      <c r="DQ20" s="173"/>
      <c r="DR20" s="173"/>
      <c r="DS20" s="173"/>
      <c r="DT20" s="173"/>
      <c r="DU20" s="173"/>
      <c r="DV20" s="173"/>
      <c r="DW20" s="173"/>
      <c r="DX20" s="173"/>
      <c r="DY20" s="173"/>
      <c r="DZ20" s="173"/>
      <c r="EA20" s="173"/>
      <c r="EB20" s="173"/>
      <c r="EC20" s="173"/>
      <c r="ED20" s="173"/>
      <c r="EE20" s="173"/>
      <c r="EF20" s="173"/>
      <c r="EG20" s="173"/>
      <c r="EH20" s="173"/>
      <c r="EI20" s="173"/>
      <c r="EJ20" s="145"/>
      <c r="EK20" s="145"/>
      <c r="EL20" s="145"/>
      <c r="EM20" s="145"/>
      <c r="EN20" s="145"/>
      <c r="EO20" s="145"/>
      <c r="EP20" s="145"/>
      <c r="EQ20" s="145"/>
      <c r="ER20" s="145"/>
    </row>
    <row r="21" spans="1:148" ht="15" x14ac:dyDescent="0.25">
      <c r="A21" s="204" t="s">
        <v>204</v>
      </c>
      <c r="B21" s="203"/>
      <c r="C21" s="203"/>
      <c r="D21" s="203"/>
      <c r="E21" s="203"/>
      <c r="F21" s="203"/>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c r="AG21" s="203"/>
      <c r="AH21" s="203"/>
      <c r="AI21" s="203"/>
      <c r="AJ21" s="203"/>
      <c r="AK21" s="203"/>
      <c r="AL21" s="203"/>
      <c r="AM21" s="203"/>
      <c r="AN21" s="203"/>
      <c r="AO21" s="203"/>
      <c r="AP21" s="203"/>
      <c r="AQ21" s="203"/>
      <c r="AR21" s="203"/>
      <c r="AS21" s="203"/>
      <c r="AT21" s="203"/>
      <c r="AU21" s="203"/>
      <c r="AV21" s="203"/>
      <c r="AW21" s="203"/>
      <c r="AX21" s="129">
        <v>0</v>
      </c>
      <c r="AY21" s="129">
        <v>1</v>
      </c>
      <c r="AZ21" s="129">
        <v>0</v>
      </c>
      <c r="BA21" s="129">
        <v>0</v>
      </c>
      <c r="BB21" s="129">
        <v>0</v>
      </c>
      <c r="BC21" s="129">
        <v>0</v>
      </c>
      <c r="BD21" s="129">
        <v>0</v>
      </c>
      <c r="BE21" s="129">
        <v>0</v>
      </c>
      <c r="BF21" s="129">
        <v>0</v>
      </c>
      <c r="BG21" s="129">
        <v>0</v>
      </c>
      <c r="BH21" s="130">
        <v>0</v>
      </c>
      <c r="BI21" s="130">
        <v>0</v>
      </c>
      <c r="BJ21" s="130">
        <v>1</v>
      </c>
      <c r="BK21" s="130">
        <v>0</v>
      </c>
      <c r="BL21" s="130">
        <v>0</v>
      </c>
      <c r="BM21" s="130">
        <v>1</v>
      </c>
      <c r="BN21" s="130">
        <v>0</v>
      </c>
      <c r="BO21" s="130">
        <v>0</v>
      </c>
      <c r="BP21" s="130">
        <v>0</v>
      </c>
      <c r="BQ21" s="130">
        <v>0</v>
      </c>
      <c r="BR21" s="130">
        <v>0</v>
      </c>
      <c r="BS21" s="130">
        <v>0</v>
      </c>
      <c r="BT21" s="7">
        <v>0</v>
      </c>
      <c r="BU21" s="7">
        <v>0</v>
      </c>
      <c r="BV21" s="8">
        <v>0</v>
      </c>
      <c r="BW21" s="8">
        <v>1</v>
      </c>
      <c r="BX21" s="8">
        <v>0</v>
      </c>
      <c r="BY21" s="8">
        <v>0</v>
      </c>
      <c r="BZ21" s="8">
        <v>0</v>
      </c>
      <c r="CA21" s="8">
        <v>0</v>
      </c>
      <c r="CB21" s="8">
        <v>0</v>
      </c>
      <c r="CC21" s="8">
        <v>0</v>
      </c>
      <c r="CD21" s="8">
        <v>0</v>
      </c>
      <c r="CE21" s="8">
        <v>0</v>
      </c>
      <c r="CF21" s="1">
        <v>0</v>
      </c>
      <c r="CG21" s="1">
        <v>0</v>
      </c>
      <c r="CH21" s="1">
        <v>0</v>
      </c>
      <c r="CI21" s="205">
        <v>0</v>
      </c>
      <c r="CJ21" s="205">
        <v>0</v>
      </c>
      <c r="CK21" s="130">
        <v>0</v>
      </c>
      <c r="CL21" s="130">
        <v>0</v>
      </c>
      <c r="CM21" s="130">
        <v>0</v>
      </c>
      <c r="CN21" s="130">
        <v>0</v>
      </c>
      <c r="CO21" s="130">
        <v>0</v>
      </c>
      <c r="CP21" s="130">
        <v>0</v>
      </c>
      <c r="CQ21" s="130">
        <v>1</v>
      </c>
      <c r="CR21" s="130">
        <v>0</v>
      </c>
      <c r="CS21" s="130">
        <v>0</v>
      </c>
      <c r="CT21" s="129">
        <v>0</v>
      </c>
      <c r="CU21" s="130">
        <v>0</v>
      </c>
      <c r="CV21" s="130">
        <v>0</v>
      </c>
      <c r="CW21" s="130">
        <v>0</v>
      </c>
      <c r="CX21" s="130">
        <v>0</v>
      </c>
      <c r="CY21" s="130">
        <v>1</v>
      </c>
      <c r="CZ21" s="173"/>
      <c r="DA21" s="173"/>
      <c r="DB21" s="173"/>
      <c r="DC21" s="173"/>
      <c r="DD21" s="173"/>
      <c r="DE21" s="173"/>
      <c r="DF21" s="173"/>
      <c r="DG21" s="173"/>
      <c r="DH21" s="173"/>
      <c r="DI21" s="173"/>
      <c r="DJ21" s="173"/>
      <c r="DK21" s="173"/>
      <c r="DL21" s="173"/>
      <c r="DM21" s="173"/>
      <c r="DN21" s="173"/>
      <c r="DO21" s="173"/>
      <c r="DP21" s="173"/>
      <c r="DQ21" s="173"/>
      <c r="DR21" s="173"/>
      <c r="DS21" s="173"/>
      <c r="DT21" s="173"/>
      <c r="DU21" s="173"/>
      <c r="DV21" s="173"/>
      <c r="DW21" s="173"/>
      <c r="DX21" s="173"/>
      <c r="DY21" s="173"/>
      <c r="DZ21" s="173"/>
      <c r="EA21" s="173"/>
      <c r="EB21" s="173"/>
      <c r="EC21" s="173"/>
      <c r="ED21" s="173"/>
      <c r="EE21" s="173"/>
      <c r="EF21" s="173"/>
      <c r="EG21" s="173"/>
      <c r="EH21" s="173"/>
      <c r="EI21" s="173"/>
      <c r="EJ21" s="145"/>
      <c r="EK21" s="145"/>
      <c r="EL21" s="145"/>
      <c r="EM21" s="145"/>
      <c r="EN21" s="145"/>
      <c r="EO21" s="145"/>
      <c r="EP21" s="145"/>
      <c r="EQ21" s="145"/>
      <c r="ER21" s="145"/>
    </row>
    <row r="22" spans="1:148" ht="15" x14ac:dyDescent="0.25">
      <c r="A22" s="204" t="s">
        <v>205</v>
      </c>
      <c r="B22" s="203"/>
      <c r="C22" s="203"/>
      <c r="D22" s="203"/>
      <c r="E22" s="203"/>
      <c r="F22" s="203"/>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c r="AG22" s="203"/>
      <c r="AH22" s="203"/>
      <c r="AI22" s="203"/>
      <c r="AJ22" s="203"/>
      <c r="AK22" s="203"/>
      <c r="AL22" s="203"/>
      <c r="AM22" s="203"/>
      <c r="AN22" s="203"/>
      <c r="AO22" s="203"/>
      <c r="AP22" s="203"/>
      <c r="AQ22" s="203"/>
      <c r="AR22" s="203"/>
      <c r="AS22" s="203"/>
      <c r="AT22" s="203"/>
      <c r="AU22" s="203"/>
      <c r="AV22" s="203"/>
      <c r="AW22" s="203"/>
      <c r="AX22" s="129">
        <v>0</v>
      </c>
      <c r="AY22" s="129">
        <v>24.75</v>
      </c>
      <c r="AZ22" s="129">
        <v>0</v>
      </c>
      <c r="BA22" s="129">
        <v>0</v>
      </c>
      <c r="BB22" s="129">
        <v>0</v>
      </c>
      <c r="BC22" s="129">
        <v>0</v>
      </c>
      <c r="BD22" s="129">
        <v>0</v>
      </c>
      <c r="BE22" s="129">
        <v>0</v>
      </c>
      <c r="BF22" s="129">
        <v>0</v>
      </c>
      <c r="BG22" s="129">
        <v>0</v>
      </c>
      <c r="BH22" s="130">
        <v>0</v>
      </c>
      <c r="BI22" s="130">
        <v>0</v>
      </c>
      <c r="BJ22" s="130">
        <v>37.5</v>
      </c>
      <c r="BK22" s="130">
        <v>0</v>
      </c>
      <c r="BL22" s="130">
        <v>0</v>
      </c>
      <c r="BM22" s="130">
        <v>75</v>
      </c>
      <c r="BN22" s="130">
        <v>0</v>
      </c>
      <c r="BO22" s="130">
        <v>0</v>
      </c>
      <c r="BP22" s="130">
        <v>0</v>
      </c>
      <c r="BQ22" s="130">
        <v>0</v>
      </c>
      <c r="BR22" s="130">
        <v>0</v>
      </c>
      <c r="BS22" s="130">
        <v>0</v>
      </c>
      <c r="BT22" s="7">
        <v>0</v>
      </c>
      <c r="BU22" s="7">
        <v>0</v>
      </c>
      <c r="BV22" s="8">
        <v>0</v>
      </c>
      <c r="BW22" s="8">
        <v>0</v>
      </c>
      <c r="BX22" s="8">
        <v>0</v>
      </c>
      <c r="BY22" s="8">
        <v>0</v>
      </c>
      <c r="BZ22" s="8">
        <v>0</v>
      </c>
      <c r="CA22" s="8">
        <v>0</v>
      </c>
      <c r="CB22" s="8">
        <v>0</v>
      </c>
      <c r="CC22" s="8">
        <v>0</v>
      </c>
      <c r="CD22" s="8">
        <v>0</v>
      </c>
      <c r="CE22" s="8">
        <v>0</v>
      </c>
      <c r="CF22" s="1">
        <v>0</v>
      </c>
      <c r="CG22" s="1">
        <v>0</v>
      </c>
      <c r="CH22" s="1">
        <v>0</v>
      </c>
      <c r="CI22" s="205">
        <v>0</v>
      </c>
      <c r="CJ22" s="205">
        <v>0</v>
      </c>
      <c r="CK22" s="130">
        <v>0</v>
      </c>
      <c r="CL22" s="130">
        <v>0</v>
      </c>
      <c r="CM22" s="130">
        <v>0</v>
      </c>
      <c r="CN22" s="130">
        <v>0</v>
      </c>
      <c r="CO22" s="130">
        <v>0</v>
      </c>
      <c r="CP22" s="130">
        <v>0</v>
      </c>
      <c r="CQ22" s="130">
        <v>15</v>
      </c>
      <c r="CR22" s="129">
        <f>1.8*7.5</f>
        <v>13.5</v>
      </c>
      <c r="CS22" s="130">
        <v>22.5</v>
      </c>
      <c r="CT22" s="129">
        <f>4*7.5</f>
        <v>30</v>
      </c>
      <c r="CU22" s="129">
        <f>4*7.5</f>
        <v>30</v>
      </c>
      <c r="CV22" s="129">
        <v>0</v>
      </c>
      <c r="CW22" s="129">
        <v>0</v>
      </c>
      <c r="CX22" s="130">
        <v>0</v>
      </c>
      <c r="CY22" s="130">
        <v>0</v>
      </c>
      <c r="CZ22" s="173"/>
      <c r="DA22" s="173"/>
      <c r="DB22" s="173"/>
      <c r="DC22" s="173"/>
      <c r="DD22" s="173"/>
      <c r="DE22" s="173"/>
      <c r="DF22" s="173"/>
      <c r="DG22" s="173"/>
      <c r="DH22" s="173"/>
      <c r="DI22" s="173"/>
      <c r="DJ22" s="173"/>
      <c r="DK22" s="173"/>
      <c r="DL22" s="173"/>
      <c r="DM22" s="173"/>
      <c r="DN22" s="173"/>
      <c r="DO22" s="173"/>
      <c r="DP22" s="173"/>
      <c r="DQ22" s="173"/>
      <c r="DR22" s="173"/>
      <c r="DS22" s="173"/>
      <c r="DT22" s="173"/>
      <c r="DU22" s="173"/>
      <c r="DV22" s="173"/>
      <c r="DW22" s="173"/>
      <c r="DX22" s="173"/>
      <c r="DY22" s="173"/>
      <c r="DZ22" s="173"/>
      <c r="EA22" s="173"/>
      <c r="EB22" s="173"/>
      <c r="EC22" s="173"/>
      <c r="ED22" s="173"/>
      <c r="EE22" s="173"/>
      <c r="EF22" s="173"/>
      <c r="EG22" s="173"/>
      <c r="EH22" s="173"/>
      <c r="EI22" s="173"/>
      <c r="EJ22" s="145"/>
      <c r="EK22" s="145"/>
      <c r="EL22" s="145"/>
      <c r="EM22" s="145"/>
      <c r="EN22" s="145"/>
      <c r="EO22" s="145"/>
      <c r="EP22" s="145"/>
      <c r="EQ22" s="145"/>
      <c r="ER22" s="145"/>
    </row>
    <row r="23" spans="1:148" ht="15" x14ac:dyDescent="0.25">
      <c r="A23" s="204" t="s">
        <v>206</v>
      </c>
      <c r="B23" s="203"/>
      <c r="C23" s="203"/>
      <c r="D23" s="203"/>
      <c r="E23" s="203"/>
      <c r="F23" s="203"/>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c r="AG23" s="203"/>
      <c r="AH23" s="203"/>
      <c r="AI23" s="203"/>
      <c r="AJ23" s="203"/>
      <c r="AK23" s="203"/>
      <c r="AL23" s="203"/>
      <c r="AM23" s="203"/>
      <c r="AN23" s="203"/>
      <c r="AO23" s="203"/>
      <c r="AP23" s="203"/>
      <c r="AQ23" s="203"/>
      <c r="AR23" s="203"/>
      <c r="AS23" s="203"/>
      <c r="AT23" s="203"/>
      <c r="AU23" s="203"/>
      <c r="AV23" s="203"/>
      <c r="AW23" s="203"/>
      <c r="AX23" s="206">
        <v>5701</v>
      </c>
      <c r="AY23" s="206">
        <v>6870</v>
      </c>
      <c r="AZ23" s="206">
        <v>4992</v>
      </c>
      <c r="BA23" s="206">
        <v>5864</v>
      </c>
      <c r="BB23" s="206">
        <v>5976</v>
      </c>
      <c r="BC23" s="206">
        <v>5754</v>
      </c>
      <c r="BD23" s="206">
        <v>6213</v>
      </c>
      <c r="BE23" s="206">
        <v>5701</v>
      </c>
      <c r="BF23" s="206">
        <v>5638</v>
      </c>
      <c r="BG23" s="206">
        <v>5615</v>
      </c>
      <c r="BH23" s="157">
        <v>5753.2</v>
      </c>
      <c r="BI23" s="157">
        <v>8931.25</v>
      </c>
      <c r="BJ23" s="157">
        <v>5677.5</v>
      </c>
      <c r="BK23" s="157">
        <v>6295.45</v>
      </c>
      <c r="BL23" s="157">
        <v>4707.25</v>
      </c>
      <c r="BM23" s="157">
        <v>5984.5</v>
      </c>
      <c r="BN23" s="157">
        <v>5811.79</v>
      </c>
      <c r="BO23" s="157">
        <v>5485</v>
      </c>
      <c r="BP23" s="157">
        <v>8204</v>
      </c>
      <c r="BQ23" s="157">
        <v>5318</v>
      </c>
      <c r="BR23" s="157">
        <v>5343.5</v>
      </c>
      <c r="BS23" s="157">
        <v>5505.5</v>
      </c>
      <c r="BT23" s="25">
        <v>5531</v>
      </c>
      <c r="BU23" s="157">
        <v>8089.55</v>
      </c>
      <c r="BV23" s="158">
        <v>5917.9</v>
      </c>
      <c r="BW23" s="158">
        <v>5717.55</v>
      </c>
      <c r="BX23" s="158">
        <v>4826.75</v>
      </c>
      <c r="BY23" s="158">
        <v>6095.1</v>
      </c>
      <c r="BZ23" s="158">
        <v>5632.5</v>
      </c>
      <c r="CA23" s="158">
        <v>8298.7000000000007</v>
      </c>
      <c r="CB23" s="158">
        <v>5794.25</v>
      </c>
      <c r="CC23" s="158">
        <v>5307.7</v>
      </c>
      <c r="CD23" s="158">
        <v>5055.7</v>
      </c>
      <c r="CE23" s="158">
        <v>5374.75</v>
      </c>
      <c r="CF23" s="133">
        <v>5118.5</v>
      </c>
      <c r="CG23" s="133">
        <v>7681</v>
      </c>
      <c r="CH23" s="133">
        <v>5258.75</v>
      </c>
      <c r="CI23" s="133">
        <v>5384.15</v>
      </c>
      <c r="CJ23" s="133">
        <v>4309.5</v>
      </c>
      <c r="CK23" s="133">
        <v>5377.25</v>
      </c>
      <c r="CL23" s="133">
        <v>5255.65</v>
      </c>
      <c r="CM23" s="162">
        <v>7715.5</v>
      </c>
      <c r="CN23" s="162">
        <v>4770.75</v>
      </c>
      <c r="CO23" s="162">
        <v>4628.8999999999996</v>
      </c>
      <c r="CP23" s="162">
        <v>4351.3500000000004</v>
      </c>
      <c r="CQ23" s="207">
        <v>4597.55</v>
      </c>
      <c r="CR23" s="207">
        <v>4597.55</v>
      </c>
      <c r="CS23" s="207">
        <v>4462.5</v>
      </c>
      <c r="CT23" s="207">
        <v>4808.25</v>
      </c>
      <c r="CU23" s="207">
        <v>4762.25</v>
      </c>
      <c r="CV23" s="207">
        <v>3806.51</v>
      </c>
      <c r="CW23" s="207">
        <v>4843.95</v>
      </c>
      <c r="CX23" s="207">
        <v>7134</v>
      </c>
      <c r="CY23" s="208">
        <v>4843.25</v>
      </c>
      <c r="CZ23" s="173"/>
      <c r="DA23" s="173"/>
      <c r="DB23" s="173"/>
      <c r="DC23" s="173"/>
      <c r="DD23" s="173"/>
      <c r="DE23" s="173"/>
      <c r="DF23" s="173"/>
      <c r="DG23" s="173"/>
      <c r="DH23" s="173"/>
      <c r="DI23" s="173"/>
      <c r="DJ23" s="173"/>
      <c r="DK23" s="173"/>
      <c r="DL23" s="173"/>
      <c r="DM23" s="173"/>
      <c r="DN23" s="173"/>
      <c r="DO23" s="173"/>
      <c r="DP23" s="173"/>
      <c r="DQ23" s="173"/>
      <c r="DR23" s="173"/>
      <c r="DS23" s="173"/>
      <c r="DT23" s="173"/>
      <c r="DU23" s="173"/>
      <c r="DV23" s="173"/>
      <c r="DW23" s="173"/>
      <c r="DX23" s="173"/>
      <c r="DY23" s="173"/>
      <c r="DZ23" s="173"/>
      <c r="EA23" s="173"/>
      <c r="EB23" s="173"/>
      <c r="EC23" s="173"/>
      <c r="ED23" s="173"/>
      <c r="EE23" s="173"/>
      <c r="EF23" s="173"/>
      <c r="EG23" s="173"/>
      <c r="EH23" s="173"/>
      <c r="EI23" s="173"/>
      <c r="EJ23" s="145"/>
      <c r="EK23" s="145"/>
      <c r="EL23" s="145"/>
      <c r="EM23" s="145"/>
      <c r="EN23" s="145"/>
      <c r="EO23" s="145"/>
      <c r="EP23" s="145"/>
      <c r="EQ23" s="145"/>
      <c r="ER23" s="145"/>
    </row>
    <row r="24" spans="1:148" s="122" customFormat="1" ht="15" x14ac:dyDescent="0.25">
      <c r="A24" s="209" t="s">
        <v>207</v>
      </c>
      <c r="B24" s="210"/>
      <c r="C24" s="210"/>
      <c r="D24" s="210"/>
      <c r="E24" s="210"/>
      <c r="F24" s="210"/>
      <c r="G24" s="210"/>
      <c r="H24" s="210"/>
      <c r="I24" s="210"/>
      <c r="J24" s="210"/>
      <c r="K24" s="210"/>
      <c r="L24" s="210"/>
      <c r="M24" s="210"/>
      <c r="N24" s="210"/>
      <c r="O24" s="210"/>
      <c r="P24" s="210"/>
      <c r="Q24" s="210"/>
      <c r="R24" s="210"/>
      <c r="S24" s="210"/>
      <c r="T24" s="210"/>
      <c r="U24" s="210"/>
      <c r="V24" s="210"/>
      <c r="W24" s="210"/>
      <c r="X24" s="210"/>
      <c r="Y24" s="210"/>
      <c r="Z24" s="210"/>
      <c r="AA24" s="210"/>
      <c r="AB24" s="210"/>
      <c r="AC24" s="210"/>
      <c r="AD24" s="210"/>
      <c r="AE24" s="210"/>
      <c r="AF24" s="210"/>
      <c r="AG24" s="210"/>
      <c r="AH24" s="210"/>
      <c r="AI24" s="210"/>
      <c r="AJ24" s="210"/>
      <c r="AK24" s="210"/>
      <c r="AL24" s="210"/>
      <c r="AM24" s="210"/>
      <c r="AN24" s="210"/>
      <c r="AO24" s="210"/>
      <c r="AP24" s="210"/>
      <c r="AQ24" s="210"/>
      <c r="AR24" s="210"/>
      <c r="AS24" s="210"/>
      <c r="AT24" s="210"/>
      <c r="AU24" s="210"/>
      <c r="AV24" s="210"/>
      <c r="AW24" s="210"/>
      <c r="AX24" s="194">
        <v>0</v>
      </c>
      <c r="AY24" s="194">
        <f>SUM(AY21)/AY23*200000</f>
        <v>29.11208151382824</v>
      </c>
      <c r="AZ24" s="194">
        <v>0</v>
      </c>
      <c r="BA24" s="194">
        <v>0</v>
      </c>
      <c r="BB24" s="194">
        <v>0</v>
      </c>
      <c r="BC24" s="194">
        <v>0</v>
      </c>
      <c r="BD24" s="194">
        <v>0</v>
      </c>
      <c r="BE24" s="194">
        <v>0</v>
      </c>
      <c r="BF24" s="194">
        <v>0</v>
      </c>
      <c r="BG24" s="194">
        <v>0</v>
      </c>
      <c r="BH24" s="163">
        <v>0</v>
      </c>
      <c r="BI24" s="163">
        <v>0</v>
      </c>
      <c r="BJ24" s="163">
        <v>35.226772346983708</v>
      </c>
      <c r="BK24" s="163">
        <v>0</v>
      </c>
      <c r="BL24" s="163">
        <v>0</v>
      </c>
      <c r="BM24" s="163">
        <v>33.419667474308632</v>
      </c>
      <c r="BN24" s="163">
        <v>0</v>
      </c>
      <c r="BO24" s="163">
        <v>0</v>
      </c>
      <c r="BP24" s="163">
        <v>0</v>
      </c>
      <c r="BQ24" s="182">
        <v>0</v>
      </c>
      <c r="BR24" s="182">
        <v>0</v>
      </c>
      <c r="BS24" s="182">
        <f t="shared" ref="BS24:CC24" si="30">SUM(BS21)/BS23*200000</f>
        <v>0</v>
      </c>
      <c r="BT24" s="183">
        <f t="shared" si="30"/>
        <v>0</v>
      </c>
      <c r="BU24" s="183">
        <f t="shared" si="30"/>
        <v>0</v>
      </c>
      <c r="BV24" s="188">
        <f t="shared" si="30"/>
        <v>0</v>
      </c>
      <c r="BW24" s="188">
        <f t="shared" si="30"/>
        <v>34.980017664908914</v>
      </c>
      <c r="BX24" s="188">
        <f t="shared" si="30"/>
        <v>0</v>
      </c>
      <c r="BY24" s="211">
        <f t="shared" si="30"/>
        <v>0</v>
      </c>
      <c r="BZ24" s="211">
        <f t="shared" si="30"/>
        <v>0</v>
      </c>
      <c r="CA24" s="211">
        <f t="shared" si="30"/>
        <v>0</v>
      </c>
      <c r="CB24" s="211">
        <f t="shared" si="30"/>
        <v>0</v>
      </c>
      <c r="CC24" s="211">
        <f t="shared" si="30"/>
        <v>0</v>
      </c>
      <c r="CD24" s="212">
        <f t="shared" ref="CD24:CY24" si="31">CD21/CD23*200000</f>
        <v>0</v>
      </c>
      <c r="CE24" s="212">
        <f t="shared" si="31"/>
        <v>0</v>
      </c>
      <c r="CF24" s="212">
        <f t="shared" si="31"/>
        <v>0</v>
      </c>
      <c r="CG24" s="212">
        <f t="shared" si="31"/>
        <v>0</v>
      </c>
      <c r="CH24" s="212">
        <f t="shared" si="31"/>
        <v>0</v>
      </c>
      <c r="CI24" s="212">
        <f t="shared" si="31"/>
        <v>0</v>
      </c>
      <c r="CJ24" s="212">
        <f t="shared" si="31"/>
        <v>0</v>
      </c>
      <c r="CK24" s="122">
        <f t="shared" si="31"/>
        <v>0</v>
      </c>
      <c r="CL24" s="122">
        <f t="shared" si="31"/>
        <v>0</v>
      </c>
      <c r="CM24" s="122">
        <f t="shared" si="31"/>
        <v>0</v>
      </c>
      <c r="CN24" s="122">
        <f t="shared" si="31"/>
        <v>0</v>
      </c>
      <c r="CO24" s="122">
        <f t="shared" si="31"/>
        <v>0</v>
      </c>
      <c r="CP24" s="122">
        <f t="shared" si="31"/>
        <v>0</v>
      </c>
      <c r="CQ24" s="122">
        <f t="shared" si="31"/>
        <v>43.50143010951485</v>
      </c>
      <c r="CR24" s="122">
        <f t="shared" si="31"/>
        <v>0</v>
      </c>
      <c r="CS24" s="122">
        <f t="shared" si="31"/>
        <v>0</v>
      </c>
      <c r="CT24" s="122">
        <f t="shared" si="31"/>
        <v>0</v>
      </c>
      <c r="CU24" s="122">
        <f t="shared" si="31"/>
        <v>0</v>
      </c>
      <c r="CV24" s="122">
        <f t="shared" si="31"/>
        <v>0</v>
      </c>
      <c r="CW24" s="122">
        <f t="shared" si="31"/>
        <v>0</v>
      </c>
      <c r="CX24" s="122">
        <f t="shared" si="31"/>
        <v>0</v>
      </c>
      <c r="CY24" s="122">
        <f t="shared" si="31"/>
        <v>41.294585247509424</v>
      </c>
      <c r="CZ24" s="173"/>
      <c r="DA24" s="173"/>
      <c r="DB24" s="173"/>
      <c r="DC24" s="173"/>
      <c r="DD24" s="173"/>
      <c r="DE24" s="173"/>
      <c r="DF24" s="173"/>
      <c r="DG24" s="173"/>
      <c r="DH24" s="173"/>
      <c r="DI24" s="173"/>
      <c r="DJ24" s="173"/>
      <c r="DK24" s="173"/>
      <c r="DL24" s="173"/>
      <c r="DM24" s="173"/>
      <c r="DN24" s="173"/>
      <c r="DO24" s="173"/>
      <c r="DP24" s="173"/>
      <c r="DQ24" s="173"/>
      <c r="DR24" s="173"/>
      <c r="DS24" s="173"/>
      <c r="DT24" s="173"/>
      <c r="DU24" s="173"/>
      <c r="DV24" s="173"/>
      <c r="DW24" s="173"/>
      <c r="DX24" s="173"/>
      <c r="DY24" s="173"/>
      <c r="DZ24" s="173"/>
      <c r="EA24" s="173"/>
      <c r="EB24" s="173"/>
      <c r="EC24" s="173"/>
      <c r="ED24" s="173"/>
      <c r="EE24" s="173"/>
      <c r="EF24" s="173"/>
      <c r="EG24" s="173"/>
      <c r="EH24" s="173"/>
      <c r="EI24" s="173"/>
      <c r="EJ24" s="145"/>
      <c r="EK24" s="145"/>
      <c r="EL24" s="145"/>
      <c r="EM24" s="145"/>
      <c r="EN24" s="145"/>
      <c r="EO24" s="145"/>
      <c r="EP24" s="145"/>
      <c r="EQ24" s="145"/>
      <c r="ER24" s="145"/>
    </row>
    <row r="25" spans="1:148" ht="15" x14ac:dyDescent="0.25">
      <c r="A25" s="204" t="s">
        <v>208</v>
      </c>
      <c r="B25" s="203"/>
      <c r="C25" s="203"/>
      <c r="D25" s="203"/>
      <c r="E25" s="203"/>
      <c r="F25" s="203"/>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D25" s="203"/>
      <c r="AE25" s="203"/>
      <c r="AF25" s="203"/>
      <c r="AG25" s="203"/>
      <c r="AH25" s="203"/>
      <c r="AI25" s="203"/>
      <c r="AJ25" s="203"/>
      <c r="AK25" s="203"/>
      <c r="AL25" s="203"/>
      <c r="AM25" s="203"/>
      <c r="AN25" s="203"/>
      <c r="AO25" s="203"/>
      <c r="AP25" s="203"/>
      <c r="AQ25" s="203"/>
      <c r="AR25" s="203"/>
      <c r="AS25" s="203"/>
      <c r="AT25" s="203"/>
      <c r="AU25" s="203"/>
      <c r="AV25" s="203"/>
      <c r="AW25" s="203"/>
      <c r="AX25" s="129">
        <v>0</v>
      </c>
      <c r="AY25" s="129">
        <v>1</v>
      </c>
      <c r="AZ25" s="129">
        <v>0</v>
      </c>
      <c r="BA25" s="129">
        <v>0</v>
      </c>
      <c r="BB25" s="129">
        <v>0</v>
      </c>
      <c r="BC25" s="129">
        <v>0</v>
      </c>
      <c r="BD25" s="129">
        <v>0</v>
      </c>
      <c r="BE25" s="129">
        <v>0</v>
      </c>
      <c r="BF25" s="129">
        <v>0</v>
      </c>
      <c r="BG25" s="129">
        <v>0</v>
      </c>
      <c r="BH25" s="130">
        <v>0</v>
      </c>
      <c r="BI25" s="130">
        <v>0</v>
      </c>
      <c r="BJ25" s="130">
        <v>1</v>
      </c>
      <c r="BK25" s="130">
        <v>0</v>
      </c>
      <c r="BL25" s="130">
        <v>0</v>
      </c>
      <c r="BM25" s="130">
        <v>1</v>
      </c>
      <c r="BN25" s="130">
        <v>0</v>
      </c>
      <c r="BO25" s="130">
        <v>0</v>
      </c>
      <c r="BP25" s="130">
        <v>0</v>
      </c>
      <c r="BQ25" s="130">
        <v>0</v>
      </c>
      <c r="BR25" s="130">
        <v>0</v>
      </c>
      <c r="BS25" s="130">
        <v>0</v>
      </c>
      <c r="BT25" s="7">
        <v>0</v>
      </c>
      <c r="BU25" s="7">
        <v>0</v>
      </c>
      <c r="BV25" s="8">
        <v>0</v>
      </c>
      <c r="BW25" s="8">
        <v>0</v>
      </c>
      <c r="BX25" s="8">
        <v>0</v>
      </c>
      <c r="BY25" s="8">
        <v>0</v>
      </c>
      <c r="BZ25" s="8">
        <v>0</v>
      </c>
      <c r="CA25" s="8">
        <v>0</v>
      </c>
      <c r="CB25" s="8">
        <v>0</v>
      </c>
      <c r="CC25" s="8">
        <v>0</v>
      </c>
      <c r="CD25" s="8">
        <v>0</v>
      </c>
      <c r="CE25" s="8">
        <v>0</v>
      </c>
      <c r="CF25" s="1">
        <v>0</v>
      </c>
      <c r="CG25" s="1">
        <v>0</v>
      </c>
      <c r="CH25" s="1">
        <v>0</v>
      </c>
      <c r="CI25" s="1">
        <v>0</v>
      </c>
      <c r="CJ25" s="1">
        <v>0</v>
      </c>
      <c r="CK25" s="130">
        <v>0</v>
      </c>
      <c r="CL25" s="130">
        <v>0</v>
      </c>
      <c r="CM25" s="130">
        <v>0</v>
      </c>
      <c r="CN25" s="130">
        <v>0</v>
      </c>
      <c r="CO25" s="130">
        <v>0</v>
      </c>
      <c r="CP25" s="130">
        <v>0</v>
      </c>
      <c r="CQ25" s="130">
        <v>1</v>
      </c>
      <c r="CR25" s="130">
        <v>0</v>
      </c>
      <c r="CS25" s="130">
        <v>0</v>
      </c>
      <c r="CT25" s="129">
        <v>0</v>
      </c>
      <c r="CU25" s="130">
        <v>0</v>
      </c>
      <c r="CV25" s="130">
        <v>0</v>
      </c>
      <c r="CW25" s="130">
        <v>0</v>
      </c>
      <c r="CX25" s="130">
        <v>0</v>
      </c>
      <c r="CY25" s="130">
        <v>0</v>
      </c>
      <c r="CZ25" s="173"/>
      <c r="DA25" s="173"/>
      <c r="DB25" s="173"/>
      <c r="DC25" s="173"/>
      <c r="DD25" s="173"/>
      <c r="DE25" s="173"/>
      <c r="DF25" s="173"/>
      <c r="DG25" s="173"/>
      <c r="DH25" s="173"/>
      <c r="DI25" s="173"/>
      <c r="DJ25" s="173"/>
      <c r="DK25" s="173"/>
      <c r="DL25" s="173"/>
      <c r="DM25" s="173"/>
      <c r="DN25" s="173"/>
      <c r="DO25" s="173"/>
      <c r="DP25" s="173"/>
      <c r="DQ25" s="173"/>
      <c r="DR25" s="173"/>
      <c r="DS25" s="173"/>
      <c r="DT25" s="173"/>
      <c r="DU25" s="173"/>
      <c r="DV25" s="173"/>
      <c r="DW25" s="173"/>
      <c r="DX25" s="173"/>
      <c r="DY25" s="173"/>
      <c r="DZ25" s="173"/>
      <c r="EA25" s="173"/>
      <c r="EB25" s="173"/>
      <c r="EC25" s="173"/>
      <c r="ED25" s="173"/>
      <c r="EE25" s="173"/>
      <c r="EF25" s="173"/>
      <c r="EG25" s="173"/>
      <c r="EH25" s="173"/>
      <c r="EI25" s="173"/>
      <c r="EJ25" s="145"/>
      <c r="EK25" s="145"/>
      <c r="EL25" s="145"/>
      <c r="EM25" s="145"/>
      <c r="EN25" s="145"/>
      <c r="EO25" s="145"/>
      <c r="EP25" s="145"/>
      <c r="EQ25" s="145"/>
      <c r="ER25" s="145"/>
    </row>
    <row r="26" spans="1:148" s="170" customFormat="1" ht="15" x14ac:dyDescent="0.25">
      <c r="A26" s="204" t="s">
        <v>209</v>
      </c>
      <c r="B26" s="203"/>
      <c r="C26" s="203"/>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129">
        <v>0</v>
      </c>
      <c r="AY26" s="129">
        <f>SUM((AY22)/7.5)/AY25</f>
        <v>3.3</v>
      </c>
      <c r="AZ26" s="129">
        <v>0</v>
      </c>
      <c r="BA26" s="129">
        <v>0</v>
      </c>
      <c r="BB26" s="129">
        <v>0</v>
      </c>
      <c r="BC26" s="129">
        <v>0</v>
      </c>
      <c r="BD26" s="129">
        <v>0</v>
      </c>
      <c r="BE26" s="129">
        <v>0</v>
      </c>
      <c r="BF26" s="129">
        <v>0</v>
      </c>
      <c r="BG26" s="129">
        <v>0</v>
      </c>
      <c r="BH26" s="130">
        <v>0</v>
      </c>
      <c r="BI26" s="130">
        <v>0</v>
      </c>
      <c r="BJ26" s="130">
        <v>5</v>
      </c>
      <c r="BK26" s="130">
        <v>0</v>
      </c>
      <c r="BL26" s="130">
        <v>0</v>
      </c>
      <c r="BM26" s="130">
        <v>10</v>
      </c>
      <c r="BN26" s="130">
        <v>0</v>
      </c>
      <c r="BO26" s="130">
        <v>0</v>
      </c>
      <c r="BP26" s="130">
        <v>0</v>
      </c>
      <c r="BQ26" s="130">
        <v>0</v>
      </c>
      <c r="BR26" s="130">
        <v>0</v>
      </c>
      <c r="BS26" s="130">
        <v>0</v>
      </c>
      <c r="BT26" s="7">
        <v>0</v>
      </c>
      <c r="BU26" s="7">
        <v>0</v>
      </c>
      <c r="BV26" s="8">
        <v>0</v>
      </c>
      <c r="BW26" s="1" t="e">
        <f t="shared" ref="BW26:CS26" si="32">BW43/BW44</f>
        <v>#DIV/0!</v>
      </c>
      <c r="BX26" s="1" t="e">
        <f t="shared" si="32"/>
        <v>#DIV/0!</v>
      </c>
      <c r="BY26" s="1" t="e">
        <f t="shared" si="32"/>
        <v>#DIV/0!</v>
      </c>
      <c r="BZ26" s="1" t="e">
        <f t="shared" si="32"/>
        <v>#DIV/0!</v>
      </c>
      <c r="CA26" s="1" t="e">
        <f t="shared" si="32"/>
        <v>#DIV/0!</v>
      </c>
      <c r="CB26" s="1" t="e">
        <f t="shared" si="32"/>
        <v>#DIV/0!</v>
      </c>
      <c r="CC26" s="1" t="e">
        <f t="shared" si="32"/>
        <v>#DIV/0!</v>
      </c>
      <c r="CD26" s="1" t="e">
        <f t="shared" si="32"/>
        <v>#DIV/0!</v>
      </c>
      <c r="CE26" s="1" t="e">
        <f t="shared" si="32"/>
        <v>#DIV/0!</v>
      </c>
      <c r="CF26" s="1" t="e">
        <f t="shared" si="32"/>
        <v>#DIV/0!</v>
      </c>
      <c r="CG26" s="1" t="e">
        <f t="shared" si="32"/>
        <v>#DIV/0!</v>
      </c>
      <c r="CH26" s="1" t="e">
        <f t="shared" si="32"/>
        <v>#DIV/0!</v>
      </c>
      <c r="CI26" s="1" t="e">
        <f t="shared" si="32"/>
        <v>#DIV/0!</v>
      </c>
      <c r="CJ26" s="1" t="e">
        <f t="shared" si="32"/>
        <v>#DIV/0!</v>
      </c>
      <c r="CK26" s="170" t="e">
        <f t="shared" si="32"/>
        <v>#DIV/0!</v>
      </c>
      <c r="CL26" s="170" t="e">
        <f t="shared" si="32"/>
        <v>#DIV/0!</v>
      </c>
      <c r="CM26" s="170" t="e">
        <f t="shared" si="32"/>
        <v>#DIV/0!</v>
      </c>
      <c r="CN26" s="170" t="e">
        <f t="shared" si="32"/>
        <v>#DIV/0!</v>
      </c>
      <c r="CO26" s="170" t="e">
        <f t="shared" si="32"/>
        <v>#DIV/0!</v>
      </c>
      <c r="CP26" s="170" t="e">
        <f t="shared" si="32"/>
        <v>#DIV/0!</v>
      </c>
      <c r="CQ26" s="170">
        <f t="shared" si="32"/>
        <v>2</v>
      </c>
      <c r="CR26" s="170" t="e">
        <f t="shared" si="32"/>
        <v>#DIV/0!</v>
      </c>
      <c r="CS26" s="170" t="e">
        <f t="shared" si="32"/>
        <v>#DIV/0!</v>
      </c>
      <c r="CT26" s="170" t="e">
        <f t="shared" ref="CT26:CY26" si="33">CT22/7.5/CT25</f>
        <v>#DIV/0!</v>
      </c>
      <c r="CU26" s="170" t="e">
        <f t="shared" si="33"/>
        <v>#DIV/0!</v>
      </c>
      <c r="CV26" s="170" t="e">
        <f t="shared" si="33"/>
        <v>#DIV/0!</v>
      </c>
      <c r="CW26" s="170" t="e">
        <f t="shared" si="33"/>
        <v>#DIV/0!</v>
      </c>
      <c r="CX26" s="170" t="e">
        <f t="shared" si="33"/>
        <v>#DIV/0!</v>
      </c>
      <c r="CY26" s="170" t="e">
        <f t="shared" si="33"/>
        <v>#DIV/0!</v>
      </c>
      <c r="CZ26" s="173"/>
      <c r="DA26" s="173"/>
      <c r="DB26" s="173"/>
      <c r="DC26" s="173"/>
      <c r="DD26" s="173"/>
      <c r="DE26" s="173"/>
      <c r="DF26" s="173"/>
      <c r="DG26" s="173"/>
      <c r="DH26" s="173"/>
      <c r="DI26" s="173"/>
      <c r="DJ26" s="173"/>
      <c r="DK26" s="173"/>
      <c r="DL26" s="173"/>
      <c r="DM26" s="173"/>
      <c r="DN26" s="173"/>
      <c r="DO26" s="173"/>
      <c r="DP26" s="173"/>
      <c r="DQ26" s="173"/>
      <c r="DR26" s="173"/>
      <c r="DS26" s="173"/>
      <c r="DT26" s="173"/>
      <c r="DU26" s="173"/>
      <c r="DV26" s="173"/>
      <c r="DW26" s="173"/>
      <c r="DX26" s="173"/>
      <c r="DY26" s="173"/>
      <c r="DZ26" s="173"/>
      <c r="EA26" s="173"/>
      <c r="EB26" s="173"/>
      <c r="EC26" s="173"/>
      <c r="ED26" s="173"/>
      <c r="EE26" s="173"/>
      <c r="EF26" s="173"/>
      <c r="EG26" s="173"/>
      <c r="EH26" s="173"/>
      <c r="EI26" s="173"/>
      <c r="EJ26" s="145"/>
      <c r="EK26" s="145"/>
      <c r="EL26" s="145"/>
      <c r="EM26" s="145"/>
      <c r="EN26" s="145"/>
      <c r="EO26" s="145"/>
      <c r="EP26" s="145"/>
      <c r="EQ26" s="145"/>
      <c r="ER26" s="145"/>
    </row>
    <row r="27" spans="1:148" s="120" customFormat="1" x14ac:dyDescent="0.2">
      <c r="A27" s="213" t="s">
        <v>210</v>
      </c>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c r="AH27" s="214"/>
      <c r="AI27" s="214"/>
      <c r="AJ27" s="214"/>
      <c r="AK27" s="214"/>
      <c r="AL27" s="214"/>
      <c r="AM27" s="214"/>
      <c r="AN27" s="214"/>
      <c r="AO27" s="214"/>
      <c r="AP27" s="214"/>
      <c r="AQ27" s="214"/>
      <c r="AR27" s="214"/>
      <c r="AS27" s="214"/>
      <c r="AT27" s="214"/>
      <c r="AU27" s="214"/>
      <c r="AV27" s="214"/>
      <c r="AW27" s="214"/>
      <c r="AX27" s="214"/>
      <c r="AY27" s="214"/>
      <c r="AZ27" s="214"/>
      <c r="BA27" s="214"/>
      <c r="BB27" s="214"/>
      <c r="BC27" s="214"/>
      <c r="BD27" s="214"/>
      <c r="BE27" s="214"/>
      <c r="BF27" s="214"/>
      <c r="BG27" s="214"/>
      <c r="BH27" s="214"/>
      <c r="BI27" s="214"/>
      <c r="BJ27" s="214"/>
      <c r="BK27" s="214"/>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c r="CH27" s="173"/>
      <c r="CI27" s="173"/>
      <c r="CJ27" s="173"/>
      <c r="CK27" s="173"/>
      <c r="CL27" s="173"/>
      <c r="CM27" s="173"/>
      <c r="CN27" s="173"/>
      <c r="CO27" s="173"/>
      <c r="CP27" s="173"/>
      <c r="CQ27" s="173"/>
      <c r="CR27" s="173"/>
      <c r="CS27" s="173"/>
      <c r="CT27" s="173"/>
      <c r="CU27" s="173"/>
      <c r="CV27" s="173"/>
      <c r="CW27" s="173"/>
      <c r="CX27" s="173"/>
      <c r="CY27" s="173"/>
      <c r="CZ27" s="173"/>
      <c r="DA27" s="173"/>
      <c r="DB27" s="173"/>
      <c r="DC27" s="173"/>
      <c r="DD27" s="173"/>
      <c r="DE27" s="173"/>
      <c r="DF27" s="173"/>
      <c r="DG27" s="173"/>
      <c r="DH27" s="173"/>
      <c r="DI27" s="173"/>
      <c r="DJ27" s="173"/>
      <c r="DK27" s="173"/>
      <c r="DL27" s="173"/>
      <c r="DM27" s="173"/>
      <c r="DN27" s="173"/>
      <c r="DO27" s="173"/>
      <c r="DP27" s="173"/>
      <c r="DQ27" s="173"/>
      <c r="DR27" s="173"/>
      <c r="DS27" s="173"/>
      <c r="DT27" s="173"/>
      <c r="DU27" s="173"/>
      <c r="DV27" s="173"/>
      <c r="DW27" s="173"/>
      <c r="DX27" s="173"/>
      <c r="DY27" s="173"/>
      <c r="DZ27" s="173"/>
      <c r="EA27" s="173"/>
      <c r="EB27" s="173"/>
      <c r="EC27" s="173"/>
      <c r="ED27" s="173"/>
      <c r="EE27" s="173"/>
      <c r="EF27" s="173"/>
      <c r="EG27" s="173"/>
      <c r="EH27" s="173"/>
      <c r="EI27" s="173"/>
      <c r="EJ27" s="145"/>
      <c r="EK27" s="145"/>
      <c r="EL27" s="145"/>
      <c r="EM27" s="145"/>
      <c r="EN27" s="145"/>
      <c r="EO27" s="145"/>
      <c r="EP27" s="145"/>
      <c r="EQ27" s="145"/>
      <c r="ER27" s="145"/>
    </row>
    <row r="28" spans="1:148" s="194" customFormat="1" ht="15" x14ac:dyDescent="0.25">
      <c r="A28" s="215" t="s">
        <v>211</v>
      </c>
      <c r="B28" s="203"/>
      <c r="C28" s="203"/>
      <c r="D28" s="203"/>
      <c r="E28" s="203"/>
      <c r="F28" s="203"/>
      <c r="G28" s="203"/>
      <c r="H28" s="203"/>
      <c r="I28" s="203"/>
      <c r="J28" s="203"/>
      <c r="K28" s="203"/>
      <c r="L28" s="203"/>
      <c r="M28" s="203"/>
      <c r="N28" s="194">
        <v>6.4632436402483808</v>
      </c>
      <c r="O28" s="194">
        <v>6.3369331788576018</v>
      </c>
      <c r="P28" s="194">
        <v>6.2125404043528496</v>
      </c>
      <c r="Q28" s="194">
        <v>6.4082668815065285</v>
      </c>
      <c r="R28" s="194">
        <v>6.1596275660231674</v>
      </c>
      <c r="S28" s="194">
        <v>6.0266999094366174</v>
      </c>
      <c r="T28" s="194">
        <v>6.299328190342691</v>
      </c>
      <c r="U28" s="194">
        <v>6.2924518210218778</v>
      </c>
      <c r="V28" s="194">
        <v>6.0172240302764832</v>
      </c>
      <c r="W28" s="194">
        <v>6.6337003886384549</v>
      </c>
      <c r="X28" s="194">
        <v>6.9180861738361958</v>
      </c>
      <c r="Y28" s="194">
        <v>7.0888562612464705</v>
      </c>
      <c r="Z28" s="194">
        <v>7.1294239487831836</v>
      </c>
      <c r="AA28" s="194">
        <v>6.773314216454791</v>
      </c>
      <c r="AB28" s="194">
        <v>7.7050691307363595</v>
      </c>
      <c r="AC28" s="194">
        <v>8.4491932556097176</v>
      </c>
      <c r="AD28" s="194">
        <v>8.6506433662396649</v>
      </c>
      <c r="AE28" s="194">
        <v>9.0310957276987409</v>
      </c>
      <c r="AF28" s="194">
        <v>9.2678864720083887</v>
      </c>
      <c r="AG28" s="194">
        <v>8.951875602492354</v>
      </c>
      <c r="AH28" s="194">
        <v>8.7471915043314148</v>
      </c>
      <c r="AI28" s="194">
        <v>9.540501453559548</v>
      </c>
      <c r="AJ28" s="194">
        <v>9.4267635263476741</v>
      </c>
      <c r="AK28" s="194">
        <v>9.2609599284746569</v>
      </c>
      <c r="AL28" s="194">
        <v>8.8769601091377481</v>
      </c>
      <c r="AM28" s="194">
        <v>8.9561912927121838</v>
      </c>
      <c r="AN28" s="194">
        <v>8.6549370668433543</v>
      </c>
      <c r="AO28" s="194">
        <v>8.2663008543327052</v>
      </c>
      <c r="AP28" s="194">
        <v>8.1834113958964441</v>
      </c>
      <c r="AQ28" s="194">
        <v>7.9794986368568086</v>
      </c>
      <c r="AR28" s="194">
        <v>7.4949470004191561</v>
      </c>
      <c r="AS28" s="194">
        <v>7.3854870905127434</v>
      </c>
      <c r="AT28" s="194">
        <v>7.5173672636654798</v>
      </c>
      <c r="AU28" s="194">
        <v>6.7370654685319726</v>
      </c>
      <c r="AV28" s="194">
        <v>6.4705604233438603</v>
      </c>
      <c r="AW28" s="194">
        <v>6.2304027656674803</v>
      </c>
      <c r="AX28" s="194">
        <v>6.4842521269372542</v>
      </c>
      <c r="AY28" s="194">
        <v>6.6396679059892021</v>
      </c>
      <c r="AZ28" s="194">
        <v>6.1715484044989397</v>
      </c>
      <c r="BA28" s="194">
        <v>5.7927617703850505</v>
      </c>
      <c r="BB28" s="194">
        <v>5.8002689386970436</v>
      </c>
      <c r="BC28" s="194">
        <v>5.6095089212162277</v>
      </c>
      <c r="BD28" s="194">
        <v>5.9739307128010557</v>
      </c>
      <c r="BE28" s="194">
        <v>5.9335793797896832</v>
      </c>
      <c r="BF28" s="194">
        <v>5.8407237107046619</v>
      </c>
      <c r="BG28" s="194">
        <v>6.1628451064867029</v>
      </c>
      <c r="BH28" s="194">
        <v>6.3453948118911265</v>
      </c>
      <c r="BI28" s="194">
        <v>6.2703506469658219</v>
      </c>
      <c r="BJ28" s="194">
        <v>6.2096705983874125</v>
      </c>
      <c r="BK28" s="194">
        <v>5.7761856423278886</v>
      </c>
      <c r="BL28" s="194">
        <v>6.060052986251522</v>
      </c>
      <c r="BM28" s="194">
        <v>6.4115373477393449</v>
      </c>
      <c r="BN28" s="194">
        <v>6.4122956481530622</v>
      </c>
      <c r="BO28" s="194">
        <v>6.5260654245152354</v>
      </c>
      <c r="BP28" s="194">
        <v>6.5402804856158268</v>
      </c>
      <c r="BQ28" s="194">
        <v>6.3081219905739641</v>
      </c>
      <c r="BR28" s="194">
        <v>5.7968821963962478</v>
      </c>
      <c r="BS28" s="194">
        <v>5.7968821963962478</v>
      </c>
      <c r="BT28" s="216">
        <v>5.6976850516660456</v>
      </c>
      <c r="BU28" s="216">
        <v>6.0459974352808574</v>
      </c>
      <c r="BV28" s="194">
        <v>5.8961374126550847</v>
      </c>
      <c r="BW28" s="194">
        <v>5.6818958814255112</v>
      </c>
      <c r="BX28" s="194">
        <v>5.3255953180813576</v>
      </c>
      <c r="BY28" s="194">
        <v>4.9583862025626955</v>
      </c>
      <c r="BZ28" s="194">
        <v>4.9691322230479269</v>
      </c>
      <c r="CA28" s="194">
        <v>4.6577266845711485</v>
      </c>
      <c r="CB28" s="194">
        <v>4.8983671733880554</v>
      </c>
      <c r="CC28" s="194">
        <v>5.4347423555523688</v>
      </c>
      <c r="CD28" s="194">
        <v>5.8676586064619558</v>
      </c>
      <c r="CE28" s="194">
        <v>5.9527600656611845</v>
      </c>
      <c r="CF28" s="194">
        <v>5.960829091858642</v>
      </c>
      <c r="CG28" s="194">
        <v>5.2963977525223411</v>
      </c>
      <c r="CH28" s="194">
        <f t="shared" ref="CH28:DM28" si="34">SUM(BW4:CH4)/SUM(BW7:CH7)*200000</f>
        <v>5.2542094267454091</v>
      </c>
      <c r="CI28" s="194">
        <f t="shared" si="34"/>
        <v>5.3481948877795933</v>
      </c>
      <c r="CJ28" s="194">
        <f t="shared" si="34"/>
        <v>5.2112095558963318</v>
      </c>
      <c r="CK28" s="194">
        <f t="shared" si="34"/>
        <v>5.3907569025560429</v>
      </c>
      <c r="CL28" s="194">
        <f t="shared" si="34"/>
        <v>5.2489382862875846</v>
      </c>
      <c r="CM28" s="194">
        <f t="shared" si="34"/>
        <v>5.1176899111025183</v>
      </c>
      <c r="CN28" s="194">
        <f t="shared" si="34"/>
        <v>5.2256585991884723</v>
      </c>
      <c r="CO28" s="194">
        <f t="shared" si="34"/>
        <v>4.7470155650075938</v>
      </c>
      <c r="CP28" s="194">
        <f t="shared" si="34"/>
        <v>4.3712807322163334</v>
      </c>
      <c r="CQ28" s="194">
        <f t="shared" si="34"/>
        <v>4.5102644799085816</v>
      </c>
      <c r="CR28" s="194">
        <f t="shared" si="34"/>
        <v>4.2681127984407032</v>
      </c>
      <c r="CS28" s="194">
        <f t="shared" si="34"/>
        <v>4.6918369378202192</v>
      </c>
      <c r="CT28" s="194">
        <f t="shared" si="34"/>
        <v>4.2362701103550524</v>
      </c>
      <c r="CU28" s="194">
        <f t="shared" si="34"/>
        <v>4.2843008336649628</v>
      </c>
      <c r="CV28" s="194">
        <f t="shared" si="34"/>
        <v>4.2686266834436513</v>
      </c>
      <c r="CW28" s="194">
        <f t="shared" si="34"/>
        <v>4.3856361446928043</v>
      </c>
      <c r="CX28" s="194">
        <f t="shared" si="34"/>
        <v>3.9943111125529751</v>
      </c>
      <c r="CY28" s="194">
        <f t="shared" si="34"/>
        <v>4.2050211168976919</v>
      </c>
      <c r="CZ28" s="194">
        <f t="shared" si="34"/>
        <v>3.8212904859951635</v>
      </c>
      <c r="DA28" s="194">
        <f t="shared" si="34"/>
        <v>3.809785592921036</v>
      </c>
      <c r="DB28" s="194">
        <f t="shared" si="34"/>
        <v>3.6667352611364632</v>
      </c>
      <c r="DC28" s="194">
        <f t="shared" si="34"/>
        <v>3.7198667090718196</v>
      </c>
      <c r="DD28" s="194">
        <f t="shared" si="34"/>
        <v>3.6514277864601765</v>
      </c>
      <c r="DE28" s="194">
        <f t="shared" si="34"/>
        <v>3.5779003321024287</v>
      </c>
      <c r="DF28" s="194">
        <f t="shared" si="34"/>
        <v>3.7798363660042908</v>
      </c>
      <c r="DG28" s="194">
        <f t="shared" si="34"/>
        <v>3.7775039072182404</v>
      </c>
      <c r="DH28" s="194">
        <f t="shared" si="34"/>
        <v>4.4731744895767251</v>
      </c>
      <c r="DI28" s="194">
        <f t="shared" si="34"/>
        <v>4.1312930437700857</v>
      </c>
      <c r="DJ28" s="194">
        <f t="shared" si="34"/>
        <v>4.0647768627995671</v>
      </c>
      <c r="DK28" s="194">
        <f t="shared" si="34"/>
        <v>4.4099742786183018</v>
      </c>
      <c r="DL28" s="194">
        <f t="shared" si="34"/>
        <v>4.4072751083031054</v>
      </c>
      <c r="DM28" s="194">
        <f t="shared" si="34"/>
        <v>4.3409432951776017</v>
      </c>
      <c r="DN28" s="194">
        <f t="shared" ref="DN28:EN28" si="35">SUM(DC4:DN4)/SUM(DC7:DN7)*200000</f>
        <v>4.2061791371080739</v>
      </c>
      <c r="DO28" s="194">
        <f t="shared" si="35"/>
        <v>3.6574544257284334</v>
      </c>
      <c r="DP28" s="194">
        <f t="shared" si="35"/>
        <v>4.2103823999058205</v>
      </c>
      <c r="DQ28" s="194">
        <f t="shared" si="35"/>
        <v>4.197991598235963</v>
      </c>
      <c r="DR28" s="194">
        <f t="shared" si="35"/>
        <v>4.0737349055952317</v>
      </c>
      <c r="DS28" s="194">
        <f t="shared" si="35"/>
        <v>4.4882184765599291</v>
      </c>
      <c r="DT28" s="194">
        <f t="shared" si="35"/>
        <v>3.5480976948905636</v>
      </c>
      <c r="DU28" s="194">
        <f t="shared" si="35"/>
        <v>3.7203398891893218</v>
      </c>
      <c r="DV28" s="194">
        <f t="shared" si="35"/>
        <v>3.8112584876004689</v>
      </c>
      <c r="DW28" s="194">
        <f t="shared" si="35"/>
        <v>3.3202223106556481</v>
      </c>
      <c r="DX28" s="194">
        <f t="shared" si="35"/>
        <v>3.2420390489657533</v>
      </c>
      <c r="DY28" s="194">
        <f t="shared" si="35"/>
        <v>3.1875325929805038</v>
      </c>
      <c r="DZ28" s="194">
        <f t="shared" si="35"/>
        <v>3.2057686738696725</v>
      </c>
      <c r="EA28" s="194">
        <f t="shared" si="35"/>
        <v>3.2400790283681196</v>
      </c>
      <c r="EB28" s="194">
        <f t="shared" si="35"/>
        <v>2.9307454901624688</v>
      </c>
      <c r="EC28" s="194">
        <f t="shared" si="35"/>
        <v>2.7686510631830785</v>
      </c>
      <c r="ED28" s="194">
        <f t="shared" si="35"/>
        <v>2.7453091965565752</v>
      </c>
      <c r="EE28" s="194">
        <f t="shared" si="35"/>
        <v>2.3738778347414886</v>
      </c>
      <c r="EF28" s="194">
        <f t="shared" si="35"/>
        <v>2.4001301530128702</v>
      </c>
      <c r="EG28" s="194">
        <f t="shared" si="35"/>
        <v>2.2823664528312104</v>
      </c>
      <c r="EH28" s="194">
        <f t="shared" si="35"/>
        <v>2.201487633212222</v>
      </c>
      <c r="EI28" s="194">
        <f t="shared" si="35"/>
        <v>2.3184253658336229</v>
      </c>
      <c r="EJ28" s="194">
        <f t="shared" si="35"/>
        <v>2.4359336656805812</v>
      </c>
      <c r="EK28" s="194">
        <f t="shared" si="35"/>
        <v>2.390200728209567</v>
      </c>
      <c r="EL28" s="194">
        <f t="shared" si="35"/>
        <v>2.3051088707366887</v>
      </c>
      <c r="EM28" s="194">
        <f t="shared" si="35"/>
        <v>2.460594185450665</v>
      </c>
      <c r="EN28" s="194">
        <f t="shared" si="35"/>
        <v>2.3832053436438621</v>
      </c>
      <c r="EO28" s="194">
        <f>SUM(ED4:EO4)/SUM(ED7:EO7)*200000</f>
        <v>2.4163233537528344</v>
      </c>
      <c r="EP28" s="194">
        <f>SUM(EE4:EP4)/SUM(EE7:EP7)*200000</f>
        <v>2.3140658290507226</v>
      </c>
      <c r="EQ28" s="194">
        <f>SUM(EF4:EQ4)/SUM(EF7:EQ7)*200000</f>
        <v>2.200950224882757</v>
      </c>
      <c r="ER28" s="194">
        <f>SUM(EG4:ER4)/SUM(EG7:ER7)*200000</f>
        <v>2.1158236506780304</v>
      </c>
    </row>
    <row r="29" spans="1:148" s="194" customFormat="1" ht="15" x14ac:dyDescent="0.25">
      <c r="A29" s="217" t="s">
        <v>212</v>
      </c>
      <c r="B29" s="169"/>
      <c r="C29" s="169"/>
      <c r="D29" s="169"/>
      <c r="E29" s="169"/>
      <c r="F29" s="169"/>
      <c r="G29" s="169"/>
      <c r="H29" s="169"/>
      <c r="I29" s="169"/>
      <c r="J29" s="169"/>
      <c r="K29" s="169"/>
      <c r="L29" s="169"/>
      <c r="M29" s="169"/>
      <c r="N29" s="169"/>
      <c r="O29" s="169"/>
      <c r="P29" s="169"/>
      <c r="Q29" s="169"/>
      <c r="R29" s="169"/>
      <c r="S29" s="169"/>
      <c r="T29" s="169"/>
      <c r="U29" s="169"/>
      <c r="V29" s="218"/>
      <c r="W29" s="218"/>
      <c r="X29" s="218"/>
      <c r="Y29" s="218"/>
      <c r="Z29" s="218"/>
      <c r="AA29" s="218"/>
      <c r="AB29" s="218"/>
      <c r="AC29" s="210"/>
      <c r="AD29" s="210"/>
      <c r="AE29" s="210"/>
      <c r="AF29" s="210"/>
      <c r="AG29" s="210"/>
      <c r="AH29" s="210"/>
      <c r="AI29" s="210"/>
      <c r="AJ29" s="210"/>
      <c r="AK29" s="210"/>
      <c r="AL29" s="210"/>
      <c r="AM29" s="210"/>
      <c r="AN29" s="210"/>
      <c r="AO29" s="210"/>
      <c r="AP29" s="210"/>
      <c r="AQ29" s="210"/>
      <c r="AR29" s="210"/>
      <c r="AS29" s="210"/>
      <c r="AT29" s="210"/>
      <c r="AU29" s="194">
        <v>11.359166666666667</v>
      </c>
      <c r="AV29" s="194">
        <v>8.7091666666666665</v>
      </c>
      <c r="AW29" s="194">
        <v>7.4508333333333328</v>
      </c>
      <c r="AX29" s="194">
        <v>5.8925000000000001</v>
      </c>
      <c r="AY29" s="194">
        <v>3.1175000000000002</v>
      </c>
      <c r="AZ29" s="194">
        <v>3.1091666666666669</v>
      </c>
      <c r="BA29" s="194">
        <v>2.7591666666666668</v>
      </c>
      <c r="BB29" s="194">
        <v>4.4841666666666669</v>
      </c>
      <c r="BC29" s="194">
        <v>5.4333333333333336</v>
      </c>
      <c r="BD29" s="194">
        <v>5.8166666666666673</v>
      </c>
      <c r="BE29" s="194">
        <v>5.8277777777777784</v>
      </c>
      <c r="BF29" s="194">
        <v>7.1277777777777773</v>
      </c>
      <c r="BG29" s="194">
        <v>7.8944444444444448</v>
      </c>
      <c r="BH29" s="194">
        <v>8.3527777777777779</v>
      </c>
      <c r="BI29" s="194">
        <v>8.2111111111111104</v>
      </c>
      <c r="BJ29" s="194">
        <v>8.2861111111111114</v>
      </c>
      <c r="BK29" s="194">
        <v>9.4111111111111114</v>
      </c>
      <c r="BL29" s="194">
        <v>9.9277777777777789</v>
      </c>
      <c r="BM29" s="194">
        <v>10.302777777777779</v>
      </c>
      <c r="BN29" s="194">
        <v>8.719444444444445</v>
      </c>
      <c r="BO29" s="194">
        <v>8.3861111111111111</v>
      </c>
      <c r="BP29" s="194">
        <v>8.1027777777777779</v>
      </c>
      <c r="BQ29" s="194">
        <v>6.9305555555555545</v>
      </c>
      <c r="BR29" s="194">
        <v>5.863888888888888</v>
      </c>
      <c r="BS29" s="194">
        <v>5.863888888888888</v>
      </c>
      <c r="BT29" s="216">
        <v>6.5305555555555559</v>
      </c>
      <c r="BU29" s="216">
        <v>7.2638888888888893</v>
      </c>
      <c r="BV29" s="194">
        <v>8.9638888888888886</v>
      </c>
      <c r="BW29" s="194">
        <v>7.5638888888888891</v>
      </c>
      <c r="BX29" s="194">
        <v>7.0305555555555559</v>
      </c>
      <c r="BY29" s="194">
        <v>6.9472222222222229</v>
      </c>
      <c r="BZ29" s="194">
        <v>7.0472222222222234</v>
      </c>
      <c r="CA29" s="194">
        <v>8.0055555555555546</v>
      </c>
      <c r="CB29" s="194">
        <v>7.9972222222222227</v>
      </c>
      <c r="CC29" s="194">
        <v>8.5222222222222239</v>
      </c>
      <c r="CD29" s="194">
        <v>8.5416666666666679</v>
      </c>
      <c r="CE29" s="194">
        <v>8.5083333333333346</v>
      </c>
      <c r="CF29" s="194">
        <f t="shared" ref="CF29:DK29" si="36">SUM(BU5:CF5/7.5)/12</f>
        <v>0.625</v>
      </c>
      <c r="CG29" s="194">
        <f t="shared" si="36"/>
        <v>2.9633333333333329</v>
      </c>
      <c r="CH29" s="194">
        <f t="shared" si="36"/>
        <v>3.2833333333333332</v>
      </c>
      <c r="CI29" s="194">
        <f t="shared" si="36"/>
        <v>3.1833333333333336</v>
      </c>
      <c r="CJ29" s="194">
        <f t="shared" si="36"/>
        <v>2.2250000000000001</v>
      </c>
      <c r="CK29" s="194">
        <f t="shared" si="36"/>
        <v>2.9583333333333335</v>
      </c>
      <c r="CL29" s="194">
        <f t="shared" si="36"/>
        <v>4.375</v>
      </c>
      <c r="CM29" s="194">
        <f t="shared" si="36"/>
        <v>3.7616666666666667</v>
      </c>
      <c r="CN29" s="194">
        <f t="shared" si="36"/>
        <v>3.0749999999999997</v>
      </c>
      <c r="CO29" s="194">
        <f t="shared" si="36"/>
        <v>2.7833333333333332</v>
      </c>
      <c r="CP29" s="194">
        <f t="shared" si="36"/>
        <v>4.1416666666666666</v>
      </c>
      <c r="CQ29" s="194">
        <f t="shared" si="36"/>
        <v>2</v>
      </c>
      <c r="CR29" s="194">
        <f t="shared" si="36"/>
        <v>1.7750000000000001</v>
      </c>
      <c r="CS29" s="194">
        <f t="shared" si="36"/>
        <v>0.58333333333333337</v>
      </c>
      <c r="CT29" s="194">
        <f t="shared" si="36"/>
        <v>1.1500000000000001</v>
      </c>
      <c r="CU29" s="194">
        <f t="shared" si="36"/>
        <v>1.3274999999999999</v>
      </c>
      <c r="CV29" s="194">
        <f t="shared" si="36"/>
        <v>1.4166666666666667</v>
      </c>
      <c r="CW29" s="194">
        <f t="shared" si="36"/>
        <v>1.8333333333333333</v>
      </c>
      <c r="CX29" s="194">
        <f t="shared" si="36"/>
        <v>1.2558333333333334</v>
      </c>
      <c r="CY29" s="194">
        <f t="shared" si="36"/>
        <v>1.25</v>
      </c>
      <c r="CZ29" s="194">
        <f t="shared" si="36"/>
        <v>2.1724999999999999</v>
      </c>
      <c r="DA29" s="194">
        <f t="shared" si="36"/>
        <v>2.145</v>
      </c>
      <c r="DB29" s="194">
        <f t="shared" si="36"/>
        <v>1.1441666666666668</v>
      </c>
      <c r="DC29" s="194">
        <f t="shared" si="36"/>
        <v>1.6058333333333332</v>
      </c>
      <c r="DD29" s="194">
        <f t="shared" si="36"/>
        <v>2.5833333333333335</v>
      </c>
      <c r="DE29" s="194">
        <f t="shared" si="36"/>
        <v>3.7891666666666666</v>
      </c>
      <c r="DF29" s="194">
        <f t="shared" si="36"/>
        <v>4.7791666666666668</v>
      </c>
      <c r="DG29" s="194">
        <f t="shared" si="36"/>
        <v>4.1541666666666668</v>
      </c>
      <c r="DH29" s="194">
        <f t="shared" si="36"/>
        <v>4.4624999999999995</v>
      </c>
      <c r="DI29" s="194">
        <f t="shared" si="36"/>
        <v>1.843333333333333</v>
      </c>
      <c r="DJ29" s="194">
        <f t="shared" si="36"/>
        <v>1.9316666666666666</v>
      </c>
      <c r="DK29" s="194">
        <f t="shared" si="36"/>
        <v>1.425</v>
      </c>
      <c r="DL29" s="194">
        <f t="shared" ref="DL29:EN29" si="37">SUM(DA5:DL5/7.5)/12</f>
        <v>1.7933333333333332</v>
      </c>
      <c r="DM29" s="194">
        <f t="shared" si="37"/>
        <v>1.2750000000000001</v>
      </c>
      <c r="DN29" s="194">
        <f t="shared" si="37"/>
        <v>2.7174999999999998</v>
      </c>
      <c r="DO29" s="194">
        <f t="shared" si="37"/>
        <v>1.4333333333333333</v>
      </c>
      <c r="DP29" s="194">
        <f t="shared" si="37"/>
        <v>3.6108333333333333</v>
      </c>
      <c r="DQ29" s="194">
        <f t="shared" si="37"/>
        <v>4.05</v>
      </c>
      <c r="DR29" s="194">
        <f t="shared" si="37"/>
        <v>4.4666666666666668</v>
      </c>
      <c r="DS29" s="194">
        <f t="shared" si="37"/>
        <v>3.5666666666666664</v>
      </c>
      <c r="DT29" s="194">
        <f t="shared" si="37"/>
        <v>2.9416666666666664</v>
      </c>
      <c r="DU29" s="194">
        <f t="shared" si="37"/>
        <v>2.4966666666666666</v>
      </c>
      <c r="DV29" s="194">
        <f t="shared" si="37"/>
        <v>5.6583333333333341</v>
      </c>
      <c r="DW29" s="194">
        <f t="shared" si="37"/>
        <v>7.166666666666667</v>
      </c>
      <c r="DX29" s="194">
        <f t="shared" si="37"/>
        <v>7.9916666666666663</v>
      </c>
      <c r="DY29" s="194">
        <f t="shared" si="37"/>
        <v>7.6000000000000005</v>
      </c>
      <c r="DZ29" s="194">
        <f t="shared" si="37"/>
        <v>4.5249999999999995</v>
      </c>
      <c r="EA29" s="194">
        <f t="shared" si="37"/>
        <v>3.65</v>
      </c>
      <c r="EB29" s="194">
        <f t="shared" si="37"/>
        <v>3.3916666666666671</v>
      </c>
      <c r="EC29" s="194">
        <f t="shared" si="37"/>
        <v>3.0500000000000003</v>
      </c>
      <c r="ED29" s="194">
        <f t="shared" si="37"/>
        <v>0.55833333333333335</v>
      </c>
      <c r="EE29" s="194">
        <f t="shared" si="37"/>
        <v>0.9916666666666667</v>
      </c>
      <c r="EF29" s="194">
        <f t="shared" si="37"/>
        <v>0.6166666666666667</v>
      </c>
      <c r="EG29" s="194">
        <f t="shared" si="37"/>
        <v>0.39999999999999997</v>
      </c>
      <c r="EH29" s="194">
        <f t="shared" si="37"/>
        <v>0.19166666666666665</v>
      </c>
      <c r="EI29" s="194">
        <f t="shared" si="37"/>
        <v>0.49666666666666665</v>
      </c>
      <c r="EJ29" s="194">
        <f t="shared" si="37"/>
        <v>0.35833333333333334</v>
      </c>
      <c r="EK29" s="194">
        <f t="shared" si="37"/>
        <v>0.80833333333333324</v>
      </c>
      <c r="EL29" s="194">
        <f t="shared" si="37"/>
        <v>8.3333333333333329E-2</v>
      </c>
      <c r="EM29" s="194">
        <f t="shared" si="37"/>
        <v>0.1275</v>
      </c>
      <c r="EN29" s="194">
        <f t="shared" si="37"/>
        <v>0.48333333333333334</v>
      </c>
      <c r="EO29" s="194">
        <f>SUM(ED5:EO5/7.5)/12</f>
        <v>0.41666666666666669</v>
      </c>
      <c r="EP29" s="194">
        <f>SUM(EE5:EP5/7.5)/12</f>
        <v>0.63833333333333331</v>
      </c>
      <c r="EQ29" s="194">
        <f>SUM(EF5:EQ5/7.5)/12</f>
        <v>0.67166666666666652</v>
      </c>
      <c r="ER29" s="194">
        <f>SUM(EG5:ER5/7.5)/12</f>
        <v>0</v>
      </c>
    </row>
    <row r="30" spans="1:148" s="194" customFormat="1" x14ac:dyDescent="0.2">
      <c r="A30" s="217" t="s">
        <v>213</v>
      </c>
      <c r="B30" s="169"/>
      <c r="C30" s="169"/>
      <c r="D30" s="169"/>
      <c r="E30" s="169"/>
      <c r="F30" s="169"/>
      <c r="G30" s="169"/>
      <c r="H30" s="169"/>
      <c r="I30" s="169"/>
      <c r="J30" s="169"/>
      <c r="K30" s="169"/>
      <c r="L30" s="169"/>
      <c r="M30" s="169"/>
      <c r="N30" s="169"/>
      <c r="O30" s="169"/>
      <c r="P30" s="169"/>
      <c r="Q30" s="169"/>
      <c r="R30" s="169"/>
      <c r="S30" s="169"/>
      <c r="T30" s="169"/>
      <c r="U30" s="169"/>
      <c r="V30" s="218"/>
      <c r="W30" s="218"/>
      <c r="X30" s="218"/>
      <c r="Y30" s="218"/>
      <c r="Z30" s="218"/>
      <c r="AA30" s="218"/>
      <c r="AB30" s="218"/>
      <c r="AC30" s="210"/>
      <c r="AD30" s="210"/>
      <c r="AE30" s="210"/>
      <c r="AF30" s="210"/>
      <c r="AG30" s="210"/>
      <c r="AH30" s="210"/>
      <c r="AI30" s="210"/>
      <c r="AJ30" s="210"/>
      <c r="AK30" s="210"/>
      <c r="AL30" s="210"/>
      <c r="AM30" s="210"/>
      <c r="AN30" s="210"/>
      <c r="AO30" s="210"/>
      <c r="AP30" s="210"/>
      <c r="AQ30" s="210"/>
      <c r="AR30" s="210"/>
      <c r="AS30" s="210"/>
      <c r="AT30" s="210"/>
      <c r="AU30" s="194">
        <v>0.69528750000000006</v>
      </c>
      <c r="AV30" s="194">
        <v>0.64616249999999997</v>
      </c>
      <c r="AW30" s="194">
        <v>0.53516249999999999</v>
      </c>
      <c r="AX30" s="194">
        <v>0.41816250000000005</v>
      </c>
      <c r="AY30" s="194">
        <v>0.35891250000000002</v>
      </c>
      <c r="AZ30" s="194">
        <v>0.29253750000000001</v>
      </c>
      <c r="BA30" s="194">
        <v>0.15153749999999999</v>
      </c>
      <c r="BB30" s="194">
        <v>0.22241249999999999</v>
      </c>
      <c r="BC30" s="194">
        <v>0.25541249999999999</v>
      </c>
      <c r="BD30" s="194">
        <v>0.28766250000000004</v>
      </c>
      <c r="BE30" s="194">
        <v>0.29862499999999997</v>
      </c>
      <c r="BF30" s="194">
        <v>0.33724999999999999</v>
      </c>
      <c r="BG30" s="194">
        <f t="shared" ref="BG30:CL30" si="38">SUM(AV5:BG5)/2000</f>
        <v>0.35525000000000001</v>
      </c>
      <c r="BH30" s="194">
        <f t="shared" si="38"/>
        <v>0.37587500000000001</v>
      </c>
      <c r="BI30" s="194">
        <f t="shared" si="38"/>
        <v>0.3695</v>
      </c>
      <c r="BJ30" s="194">
        <f t="shared" si="38"/>
        <v>0.37287500000000001</v>
      </c>
      <c r="BK30" s="194">
        <f t="shared" si="38"/>
        <v>0.42349999999999999</v>
      </c>
      <c r="BL30" s="194">
        <f t="shared" si="38"/>
        <v>0.44674999999999998</v>
      </c>
      <c r="BM30" s="194">
        <f t="shared" si="38"/>
        <v>0.46362500000000001</v>
      </c>
      <c r="BN30" s="194">
        <f t="shared" si="38"/>
        <v>0.39237499999999997</v>
      </c>
      <c r="BO30" s="194">
        <f t="shared" si="38"/>
        <v>0.37737500000000002</v>
      </c>
      <c r="BP30" s="194">
        <f t="shared" si="38"/>
        <v>0.36462499999999998</v>
      </c>
      <c r="BQ30" s="194">
        <f t="shared" si="38"/>
        <v>0.36112499999999997</v>
      </c>
      <c r="BR30" s="194">
        <f t="shared" si="38"/>
        <v>0.31187500000000001</v>
      </c>
      <c r="BS30" s="194">
        <f t="shared" si="38"/>
        <v>0.26387500000000003</v>
      </c>
      <c r="BT30" s="194">
        <f t="shared" si="38"/>
        <v>0.293875</v>
      </c>
      <c r="BU30" s="194">
        <f t="shared" si="38"/>
        <v>0.32687500000000003</v>
      </c>
      <c r="BV30" s="194">
        <f t="shared" si="38"/>
        <v>0.40337499999999998</v>
      </c>
      <c r="BW30" s="194">
        <f t="shared" si="38"/>
        <v>0.34037499999999998</v>
      </c>
      <c r="BX30" s="194">
        <f t="shared" si="38"/>
        <v>0.31637500000000002</v>
      </c>
      <c r="BY30" s="194">
        <f t="shared" si="38"/>
        <v>0.31262499999999999</v>
      </c>
      <c r="BZ30" s="194">
        <f t="shared" si="38"/>
        <v>0.31712499999999999</v>
      </c>
      <c r="CA30" s="194">
        <f t="shared" si="38"/>
        <v>0.36025000000000001</v>
      </c>
      <c r="CB30" s="194">
        <f t="shared" si="38"/>
        <v>0.359875</v>
      </c>
      <c r="CC30" s="194">
        <f t="shared" si="38"/>
        <v>0.38350000000000001</v>
      </c>
      <c r="CD30" s="194">
        <f t="shared" si="38"/>
        <v>0.38437500000000002</v>
      </c>
      <c r="CE30" s="194">
        <f t="shared" si="38"/>
        <v>0.38287500000000002</v>
      </c>
      <c r="CF30" s="194">
        <f t="shared" si="38"/>
        <v>0.35512500000000002</v>
      </c>
      <c r="CG30" s="194">
        <f t="shared" si="38"/>
        <v>0.44310000000000005</v>
      </c>
      <c r="CH30" s="194">
        <f t="shared" si="38"/>
        <v>0.50347500000000001</v>
      </c>
      <c r="CI30" s="194">
        <f t="shared" si="38"/>
        <v>0.64297500000000007</v>
      </c>
      <c r="CJ30" s="194">
        <f t="shared" si="38"/>
        <v>0.73260000000000003</v>
      </c>
      <c r="CK30" s="194">
        <f t="shared" si="38"/>
        <v>0.85260000000000002</v>
      </c>
      <c r="CL30" s="194">
        <f t="shared" si="38"/>
        <v>1.033725</v>
      </c>
      <c r="CM30" s="194">
        <f t="shared" ref="CM30:DR30" si="39">SUM(CB5:CM5)/2000</f>
        <v>1.126125</v>
      </c>
      <c r="CN30" s="194">
        <f t="shared" si="39"/>
        <v>1.2404999999999999</v>
      </c>
      <c r="CO30" s="194">
        <f t="shared" si="39"/>
        <v>1.3286249999999999</v>
      </c>
      <c r="CP30" s="194">
        <f t="shared" si="39"/>
        <v>1.504875</v>
      </c>
      <c r="CQ30" s="194">
        <f t="shared" si="39"/>
        <v>1.5918749999999999</v>
      </c>
      <c r="CR30" s="194">
        <f t="shared" si="39"/>
        <v>1.6436249999999999</v>
      </c>
      <c r="CS30" s="194">
        <f t="shared" si="39"/>
        <v>1.5365250000000001</v>
      </c>
      <c r="CT30" s="194">
        <f t="shared" si="39"/>
        <v>1.4405250000000001</v>
      </c>
      <c r="CU30" s="194">
        <f t="shared" si="39"/>
        <v>1.3570125</v>
      </c>
      <c r="CV30" s="194">
        <f t="shared" si="39"/>
        <v>1.3206375000000001</v>
      </c>
      <c r="CW30" s="194">
        <f t="shared" si="39"/>
        <v>1.2700125</v>
      </c>
      <c r="CX30" s="194">
        <f t="shared" si="39"/>
        <v>1.1296499999999998</v>
      </c>
      <c r="CY30" s="194">
        <f t="shared" si="39"/>
        <v>1.0166249999999999</v>
      </c>
      <c r="CZ30" s="194">
        <f t="shared" si="39"/>
        <v>0.97601250000000006</v>
      </c>
      <c r="DA30" s="194">
        <f t="shared" si="39"/>
        <v>0.94728750000000006</v>
      </c>
      <c r="DB30" s="194">
        <f t="shared" si="39"/>
        <v>0.81240000000000001</v>
      </c>
      <c r="DC30" s="194">
        <f t="shared" si="39"/>
        <v>0.79466250000000005</v>
      </c>
      <c r="DD30" s="194">
        <f t="shared" si="39"/>
        <v>0.83103749999999998</v>
      </c>
      <c r="DE30" s="194">
        <f t="shared" si="39"/>
        <v>0.97529999999999994</v>
      </c>
      <c r="DF30" s="194">
        <f t="shared" si="39"/>
        <v>1.1386125</v>
      </c>
      <c r="DG30" s="194">
        <f t="shared" si="39"/>
        <v>1.2658125</v>
      </c>
      <c r="DH30" s="194">
        <f t="shared" si="39"/>
        <v>1.4028750000000001</v>
      </c>
      <c r="DI30" s="194">
        <f t="shared" si="39"/>
        <v>1.4033250000000002</v>
      </c>
      <c r="DJ30" s="194">
        <f t="shared" si="39"/>
        <v>1.4337374999999999</v>
      </c>
      <c r="DK30" s="194">
        <f t="shared" si="39"/>
        <v>1.4416125</v>
      </c>
      <c r="DL30" s="194">
        <f t="shared" si="39"/>
        <v>1.42455</v>
      </c>
      <c r="DM30" s="194">
        <f t="shared" si="39"/>
        <v>1.3854000000000002</v>
      </c>
      <c r="DN30" s="194">
        <f t="shared" si="39"/>
        <v>1.4561999999999997</v>
      </c>
      <c r="DO30" s="194">
        <f t="shared" si="39"/>
        <v>1.4484375</v>
      </c>
      <c r="DP30" s="194">
        <f t="shared" si="39"/>
        <v>1.494675</v>
      </c>
      <c r="DQ30" s="194">
        <f t="shared" si="39"/>
        <v>1.5064124999999999</v>
      </c>
      <c r="DR30" s="194">
        <f t="shared" si="39"/>
        <v>1.4923500000000001</v>
      </c>
      <c r="DS30" s="194">
        <f t="shared" ref="DS30:EN30" si="40">SUM(DH5:DS5)/2000</f>
        <v>1.4659125</v>
      </c>
      <c r="DT30" s="194">
        <f t="shared" si="40"/>
        <v>1.3974749999999998</v>
      </c>
      <c r="DU30" s="194">
        <f t="shared" si="40"/>
        <v>1.4268749999999999</v>
      </c>
      <c r="DV30" s="194">
        <f t="shared" si="40"/>
        <v>1.5945749999999999</v>
      </c>
      <c r="DW30" s="194">
        <f t="shared" si="40"/>
        <v>1.8529499999999999</v>
      </c>
      <c r="DX30" s="194">
        <f t="shared" si="40"/>
        <v>2.131875</v>
      </c>
      <c r="DY30" s="194">
        <f t="shared" si="40"/>
        <v>2.4165000000000001</v>
      </c>
      <c r="DZ30" s="194">
        <f t="shared" si="40"/>
        <v>2.4978375000000002</v>
      </c>
      <c r="EA30" s="194">
        <f t="shared" si="40"/>
        <v>2.5975874999999999</v>
      </c>
      <c r="EB30" s="194">
        <f t="shared" si="40"/>
        <v>2.5877250000000003</v>
      </c>
      <c r="EC30" s="194">
        <f t="shared" si="40"/>
        <v>2.5427249999999999</v>
      </c>
      <c r="ED30" s="194">
        <f t="shared" si="40"/>
        <v>2.3668499999999999</v>
      </c>
      <c r="EE30" s="194">
        <f t="shared" si="40"/>
        <v>2.2509749999999999</v>
      </c>
      <c r="EF30" s="194">
        <f t="shared" si="40"/>
        <v>2.14635</v>
      </c>
      <c r="EG30" s="194">
        <f t="shared" si="40"/>
        <v>2.052</v>
      </c>
      <c r="EH30" s="194">
        <f t="shared" si="40"/>
        <v>1.806</v>
      </c>
      <c r="EI30" s="194">
        <f t="shared" si="40"/>
        <v>1.5058499999999999</v>
      </c>
      <c r="EJ30" s="194">
        <f t="shared" si="40"/>
        <v>1.16235</v>
      </c>
      <c r="EK30" s="194">
        <f t="shared" si="40"/>
        <v>0.85672500000000007</v>
      </c>
      <c r="EL30" s="194">
        <f t="shared" si="40"/>
        <v>0.65685000000000004</v>
      </c>
      <c r="EM30" s="194">
        <f t="shared" si="40"/>
        <v>0.49833750000000004</v>
      </c>
      <c r="EN30" s="194">
        <f t="shared" si="40"/>
        <v>0.36746250000000003</v>
      </c>
      <c r="EO30" s="194">
        <f>SUM(ED5:EO5)/2000</f>
        <v>0.2489625</v>
      </c>
      <c r="EP30" s="194">
        <f>SUM(EE5:EP5)/2000</f>
        <v>0.25256250000000002</v>
      </c>
      <c r="EQ30" s="194">
        <f>SUM(EF5:EQ5)/2000</f>
        <v>0.2381625</v>
      </c>
      <c r="ER30" s="194">
        <f>SUM(EG5:ER5)/2000</f>
        <v>0.21041249999999997</v>
      </c>
    </row>
    <row r="31" spans="1:148" s="170" customFormat="1" x14ac:dyDescent="0.2">
      <c r="A31" s="215" t="s">
        <v>214</v>
      </c>
      <c r="BU31" s="194">
        <f t="shared" ref="BU31:CZ31" si="41">SUM(BJ5:BU5)/7.5/SUM(BJ9:BU9)</f>
        <v>5.1274509803921573</v>
      </c>
      <c r="BV31" s="194">
        <f t="shared" si="41"/>
        <v>6.3274509803921566</v>
      </c>
      <c r="BW31" s="194">
        <f t="shared" si="41"/>
        <v>6.0511111111111111</v>
      </c>
      <c r="BX31" s="194">
        <f t="shared" si="41"/>
        <v>6.0261904761904761</v>
      </c>
      <c r="BY31" s="194">
        <f t="shared" si="41"/>
        <v>7.5787878787878782</v>
      </c>
      <c r="BZ31" s="194">
        <f t="shared" si="41"/>
        <v>7.0472222222222216</v>
      </c>
      <c r="CA31" s="194">
        <f t="shared" si="41"/>
        <v>7.3897435897435892</v>
      </c>
      <c r="CB31" s="194">
        <f t="shared" si="41"/>
        <v>6.3977777777777778</v>
      </c>
      <c r="CC31" s="194">
        <f t="shared" si="41"/>
        <v>5.6814814814814811</v>
      </c>
      <c r="CD31" s="194">
        <f t="shared" si="41"/>
        <v>5.3947368421052628</v>
      </c>
      <c r="CE31" s="194">
        <f t="shared" si="41"/>
        <v>5.6722222222222216</v>
      </c>
      <c r="CF31" s="194">
        <f t="shared" si="41"/>
        <v>4.7350000000000003</v>
      </c>
      <c r="CG31" s="194">
        <f t="shared" si="41"/>
        <v>6.9505882352941182</v>
      </c>
      <c r="CH31" s="194">
        <f t="shared" si="41"/>
        <v>7.4588888888888896</v>
      </c>
      <c r="CI31" s="194">
        <f t="shared" si="41"/>
        <v>9.525555555555556</v>
      </c>
      <c r="CJ31" s="194">
        <f t="shared" si="41"/>
        <v>10.853333333333333</v>
      </c>
      <c r="CK31" s="194">
        <f t="shared" si="41"/>
        <v>10.334545454545456</v>
      </c>
      <c r="CL31" s="194">
        <f t="shared" si="41"/>
        <v>11.485833333333332</v>
      </c>
      <c r="CM31" s="122">
        <f t="shared" si="41"/>
        <v>13.056521739130435</v>
      </c>
      <c r="CN31" s="122">
        <f t="shared" si="41"/>
        <v>15.036363636363637</v>
      </c>
      <c r="CO31" s="122">
        <f t="shared" si="41"/>
        <v>17.715</v>
      </c>
      <c r="CP31" s="122">
        <f t="shared" si="41"/>
        <v>20.065000000000001</v>
      </c>
      <c r="CQ31" s="122">
        <f t="shared" si="41"/>
        <v>20.214285714285715</v>
      </c>
      <c r="CR31" s="122">
        <f t="shared" si="41"/>
        <v>20.871428571428574</v>
      </c>
      <c r="CS31" s="122">
        <f t="shared" si="41"/>
        <v>17.814782608695651</v>
      </c>
      <c r="CT31" s="122">
        <f t="shared" si="41"/>
        <v>18.292380952380956</v>
      </c>
      <c r="CU31" s="122">
        <f t="shared" si="41"/>
        <v>18.093499999999999</v>
      </c>
      <c r="CV31" s="122">
        <f t="shared" si="41"/>
        <v>18.535263157894736</v>
      </c>
      <c r="CW31" s="122">
        <f t="shared" si="41"/>
        <v>19.921764705882353</v>
      </c>
      <c r="CX31" s="122">
        <f t="shared" si="41"/>
        <v>20.082666666666665</v>
      </c>
      <c r="CY31" s="122">
        <f t="shared" si="41"/>
        <v>18.073333333333334</v>
      </c>
      <c r="CZ31" s="122">
        <f t="shared" si="41"/>
        <v>20.020769230769233</v>
      </c>
      <c r="DA31" s="122">
        <f t="shared" ref="DA31:EF31" si="42">SUM(CP5:DA5)/7.5/SUM(CP9:DA9)</f>
        <v>16.840666666666667</v>
      </c>
      <c r="DB31" s="122">
        <f t="shared" si="42"/>
        <v>14.442666666666666</v>
      </c>
      <c r="DC31" s="122">
        <f t="shared" si="42"/>
        <v>12.465294117647058</v>
      </c>
      <c r="DD31" s="122">
        <f t="shared" si="42"/>
        <v>13.850625000000001</v>
      </c>
      <c r="DE31" s="122">
        <f t="shared" si="42"/>
        <v>17.338666666666665</v>
      </c>
      <c r="DF31" s="122">
        <f t="shared" si="42"/>
        <v>18.976875</v>
      </c>
      <c r="DG31" s="122">
        <f t="shared" si="42"/>
        <v>19.855882352941176</v>
      </c>
      <c r="DH31" s="122">
        <f t="shared" si="42"/>
        <v>17.004545454545454</v>
      </c>
      <c r="DI31" s="122">
        <f t="shared" si="42"/>
        <v>17.82</v>
      </c>
      <c r="DJ31" s="122">
        <f t="shared" si="42"/>
        <v>19.116499999999998</v>
      </c>
      <c r="DK31" s="122">
        <f t="shared" si="42"/>
        <v>20.233157894736841</v>
      </c>
      <c r="DL31" s="122">
        <f t="shared" si="42"/>
        <v>18.994</v>
      </c>
      <c r="DM31" s="122">
        <f t="shared" si="42"/>
        <v>21.731764705882352</v>
      </c>
      <c r="DN31" s="122">
        <f t="shared" si="42"/>
        <v>22.842352941176468</v>
      </c>
      <c r="DO31" s="122">
        <f t="shared" si="42"/>
        <v>27.589285714285715</v>
      </c>
      <c r="DP31" s="122">
        <f t="shared" si="42"/>
        <v>24.911249999999999</v>
      </c>
      <c r="DQ31" s="122">
        <f t="shared" si="42"/>
        <v>25.106874999999999</v>
      </c>
      <c r="DR31" s="122">
        <f t="shared" si="42"/>
        <v>24.872500000000002</v>
      </c>
      <c r="DS31" s="122">
        <f t="shared" si="42"/>
        <v>21.717222222222219</v>
      </c>
      <c r="DT31" s="122">
        <f t="shared" si="42"/>
        <v>26.618571428571425</v>
      </c>
      <c r="DU31" s="122">
        <f t="shared" si="42"/>
        <v>27.178571428571427</v>
      </c>
      <c r="DV31" s="122">
        <f t="shared" si="42"/>
        <v>26.576249999999998</v>
      </c>
      <c r="DW31" s="122">
        <f t="shared" si="42"/>
        <v>29.065882352941173</v>
      </c>
      <c r="DX31" s="122">
        <f t="shared" si="42"/>
        <v>35.53125</v>
      </c>
      <c r="DY31" s="122">
        <f t="shared" si="42"/>
        <v>35.799999999999997</v>
      </c>
      <c r="DZ31" s="122">
        <f t="shared" si="42"/>
        <v>35.057368421052637</v>
      </c>
      <c r="EA31" s="122">
        <f t="shared" si="42"/>
        <v>36.457368421052635</v>
      </c>
      <c r="EB31" s="122">
        <f t="shared" si="42"/>
        <v>40.591764705882355</v>
      </c>
      <c r="EC31" s="122">
        <f t="shared" si="42"/>
        <v>42.378749999999997</v>
      </c>
      <c r="ED31" s="122">
        <f t="shared" si="42"/>
        <v>42.077333333333328</v>
      </c>
      <c r="EE31" s="122">
        <f t="shared" si="42"/>
        <v>42.875714285714288</v>
      </c>
      <c r="EF31" s="122">
        <f t="shared" si="42"/>
        <v>40.882857142857141</v>
      </c>
      <c r="EG31" s="122">
        <f t="shared" ref="EG31:EN31" si="43">SUM(DV5:EG5)/7.5/SUM(DV9:EG9)</f>
        <v>39.085714285714289</v>
      </c>
      <c r="EH31" s="122">
        <f t="shared" si="43"/>
        <v>40.133333333333333</v>
      </c>
      <c r="EI31" s="122">
        <f t="shared" si="43"/>
        <v>30.889230769230771</v>
      </c>
      <c r="EJ31" s="170">
        <f t="shared" si="43"/>
        <v>20.663999999999998</v>
      </c>
      <c r="EK31" s="170">
        <f t="shared" si="43"/>
        <v>15.230666666666668</v>
      </c>
      <c r="EL31" s="170">
        <f t="shared" si="43"/>
        <v>12.511428571428571</v>
      </c>
      <c r="EM31" s="170">
        <f t="shared" si="43"/>
        <v>8.8593333333333337</v>
      </c>
      <c r="EN31" s="170">
        <f t="shared" si="43"/>
        <v>6.1243750000000006</v>
      </c>
      <c r="EO31" s="170">
        <f>SUM(ED5:EO5)/7.5/SUM(ED9:EO9)</f>
        <v>3.9052941176470588</v>
      </c>
      <c r="EP31" s="170">
        <f>SUM(EE5:EP5)/7.5/SUM(EE9:EP9)</f>
        <v>3.9617647058823526</v>
      </c>
      <c r="EQ31" s="170">
        <f>SUM(EF5:EQ5)/7.5/SUM(EF9:EQ9)</f>
        <v>3.9693749999999999</v>
      </c>
      <c r="ER31" s="170">
        <f>SUM(EG5:ER5)/7.5/SUM(EG9:ER9)</f>
        <v>3.7406666666666664</v>
      </c>
    </row>
    <row r="32" spans="1:148" s="170" customFormat="1" x14ac:dyDescent="0.2">
      <c r="A32" s="215" t="s">
        <v>215</v>
      </c>
      <c r="BU32" s="194">
        <f t="shared" ref="BU32:EF32" si="44">SUM(BJ6:BU6)/7.5/SUM(BJ9:BU9)</f>
        <v>5.1274509803921573</v>
      </c>
      <c r="BV32" s="194">
        <f t="shared" si="44"/>
        <v>6.3274509803921566</v>
      </c>
      <c r="BW32" s="194">
        <f t="shared" si="44"/>
        <v>6.0511111111111111</v>
      </c>
      <c r="BX32" s="194">
        <f t="shared" si="44"/>
        <v>6.0261904761904761</v>
      </c>
      <c r="BY32" s="194">
        <f t="shared" si="44"/>
        <v>7.5787878787878782</v>
      </c>
      <c r="BZ32" s="194">
        <f t="shared" si="44"/>
        <v>7.0472222222222216</v>
      </c>
      <c r="CA32" s="194">
        <f t="shared" si="44"/>
        <v>7.3897435897435892</v>
      </c>
      <c r="CB32" s="194">
        <f t="shared" si="44"/>
        <v>6.3977777777777778</v>
      </c>
      <c r="CC32" s="194">
        <f t="shared" si="44"/>
        <v>5.6814814814814811</v>
      </c>
      <c r="CD32" s="194">
        <f t="shared" si="44"/>
        <v>5.3947368421052628</v>
      </c>
      <c r="CE32" s="194">
        <f t="shared" si="44"/>
        <v>5.6722222222222216</v>
      </c>
      <c r="CF32" s="194">
        <f t="shared" si="44"/>
        <v>4.5149999999999997</v>
      </c>
      <c r="CG32" s="194">
        <f t="shared" si="44"/>
        <v>5.5717647058823525</v>
      </c>
      <c r="CH32" s="194">
        <f t="shared" si="44"/>
        <v>5.0677777777777777</v>
      </c>
      <c r="CI32" s="194">
        <f t="shared" si="44"/>
        <v>5.9733333333333327</v>
      </c>
      <c r="CJ32" s="194">
        <f t="shared" si="44"/>
        <v>6.2455555555555557</v>
      </c>
      <c r="CK32" s="194">
        <f t="shared" si="44"/>
        <v>5.7418181818181813</v>
      </c>
      <c r="CL32" s="194">
        <f t="shared" si="44"/>
        <v>6.5216666666666674</v>
      </c>
      <c r="CM32" s="194">
        <f t="shared" si="44"/>
        <v>7.0486956521739135</v>
      </c>
      <c r="CN32" s="194">
        <f t="shared" si="44"/>
        <v>7.8509090909090906</v>
      </c>
      <c r="CO32" s="194">
        <f t="shared" si="44"/>
        <v>8.8160000000000007</v>
      </c>
      <c r="CP32" s="194">
        <f t="shared" si="44"/>
        <v>9.1609999999999996</v>
      </c>
      <c r="CQ32" s="194">
        <f t="shared" si="44"/>
        <v>9.3342857142857145</v>
      </c>
      <c r="CR32" s="194">
        <f t="shared" si="44"/>
        <v>10.200952380952382</v>
      </c>
      <c r="CS32" s="194">
        <f t="shared" si="44"/>
        <v>8.9</v>
      </c>
      <c r="CT32" s="194">
        <f t="shared" si="44"/>
        <v>9.461904761904762</v>
      </c>
      <c r="CU32" s="194">
        <f t="shared" si="44"/>
        <v>9.8664999999999985</v>
      </c>
      <c r="CV32" s="194">
        <f t="shared" si="44"/>
        <v>10.875263157894736</v>
      </c>
      <c r="CW32" s="194">
        <f t="shared" si="44"/>
        <v>12.425294117647057</v>
      </c>
      <c r="CX32" s="194">
        <f t="shared" si="44"/>
        <v>12.793333333333333</v>
      </c>
      <c r="CY32" s="194">
        <f t="shared" si="44"/>
        <v>12.053333333333335</v>
      </c>
      <c r="CZ32" s="194">
        <f t="shared" si="44"/>
        <v>14.605384615384615</v>
      </c>
      <c r="DA32" s="194">
        <f t="shared" si="44"/>
        <v>13.474</v>
      </c>
      <c r="DB32" s="194">
        <f t="shared" si="44"/>
        <v>13.749333333333333</v>
      </c>
      <c r="DC32" s="194">
        <f t="shared" si="44"/>
        <v>12.465294117647058</v>
      </c>
      <c r="DD32" s="194">
        <f t="shared" si="44"/>
        <v>13.850625000000001</v>
      </c>
      <c r="DE32" s="194">
        <f t="shared" si="44"/>
        <v>17.338666666666665</v>
      </c>
      <c r="DF32" s="194">
        <f t="shared" si="44"/>
        <v>18.976875</v>
      </c>
      <c r="DG32" s="194">
        <f t="shared" si="44"/>
        <v>19.855882352941176</v>
      </c>
      <c r="DH32" s="194">
        <f t="shared" si="44"/>
        <v>17.004545454545454</v>
      </c>
      <c r="DI32" s="194">
        <f t="shared" si="44"/>
        <v>17.82</v>
      </c>
      <c r="DJ32" s="194">
        <f t="shared" si="44"/>
        <v>19.116499999999998</v>
      </c>
      <c r="DK32" s="194">
        <f t="shared" si="44"/>
        <v>20.233157894736841</v>
      </c>
      <c r="DL32" s="194">
        <f t="shared" si="44"/>
        <v>18.994</v>
      </c>
      <c r="DM32" s="194">
        <f t="shared" si="44"/>
        <v>21.731764705882352</v>
      </c>
      <c r="DN32" s="194">
        <f t="shared" si="44"/>
        <v>22.842352941176468</v>
      </c>
      <c r="DO32" s="194">
        <f t="shared" si="44"/>
        <v>27.589285714285715</v>
      </c>
      <c r="DP32" s="194">
        <f t="shared" si="44"/>
        <v>24.911249999999999</v>
      </c>
      <c r="DQ32" s="194">
        <f t="shared" si="44"/>
        <v>25.106874999999999</v>
      </c>
      <c r="DR32" s="194">
        <f t="shared" si="44"/>
        <v>24.872500000000002</v>
      </c>
      <c r="DS32" s="194">
        <f t="shared" si="44"/>
        <v>21.717222222222219</v>
      </c>
      <c r="DT32" s="194">
        <f t="shared" si="44"/>
        <v>26.618571428571425</v>
      </c>
      <c r="DU32" s="194">
        <f t="shared" si="44"/>
        <v>27.178571428571427</v>
      </c>
      <c r="DV32" s="194">
        <f t="shared" si="44"/>
        <v>26.576249999999998</v>
      </c>
      <c r="DW32" s="194">
        <f t="shared" si="44"/>
        <v>29.065882352941173</v>
      </c>
      <c r="DX32" s="194">
        <f t="shared" si="44"/>
        <v>35.53125</v>
      </c>
      <c r="DY32" s="194">
        <f t="shared" si="44"/>
        <v>35.799999999999997</v>
      </c>
      <c r="DZ32" s="194">
        <f t="shared" si="44"/>
        <v>35.057368421052637</v>
      </c>
      <c r="EA32" s="194">
        <f t="shared" si="44"/>
        <v>36.457368421052635</v>
      </c>
      <c r="EB32" s="194">
        <f t="shared" si="44"/>
        <v>40.591764705882355</v>
      </c>
      <c r="EC32" s="194">
        <f t="shared" si="44"/>
        <v>42.378749999999997</v>
      </c>
      <c r="ED32" s="194">
        <f t="shared" si="44"/>
        <v>42.077333333333328</v>
      </c>
      <c r="EE32" s="194">
        <f t="shared" si="44"/>
        <v>42.875714285714288</v>
      </c>
      <c r="EF32" s="194">
        <f t="shared" si="44"/>
        <v>40.882857142857141</v>
      </c>
      <c r="EG32" s="194">
        <f t="shared" ref="EG32:EN32" si="45">SUM(DV6:EG6)/7.5/SUM(DV9:EG9)</f>
        <v>39.085714285714289</v>
      </c>
      <c r="EH32" s="194">
        <f t="shared" si="45"/>
        <v>40.133333333333333</v>
      </c>
      <c r="EI32" s="194">
        <f t="shared" si="45"/>
        <v>30.889230769230771</v>
      </c>
      <c r="EJ32" s="170">
        <f t="shared" si="45"/>
        <v>20.663999999999998</v>
      </c>
      <c r="EK32" s="170">
        <f t="shared" si="45"/>
        <v>15.230666666666668</v>
      </c>
      <c r="EL32" s="170">
        <f t="shared" si="45"/>
        <v>12.511428571428571</v>
      </c>
      <c r="EM32" s="170">
        <f t="shared" si="45"/>
        <v>8.8593333333333337</v>
      </c>
      <c r="EN32" s="170">
        <f t="shared" si="45"/>
        <v>6.1243750000000006</v>
      </c>
      <c r="EO32" s="170">
        <f>SUM(ED6:EO6)/7.5/SUM(ED9:EO9)</f>
        <v>3.9052941176470588</v>
      </c>
      <c r="EP32" s="170">
        <f>SUM(EE6:EP6)/7.5/SUM(EE9:EP9)</f>
        <v>3.9617647058823526</v>
      </c>
      <c r="EQ32" s="170">
        <f>SUM(EF6:EQ6)/7.5/SUM(EF9:EQ9)</f>
        <v>3.9693749999999999</v>
      </c>
      <c r="ER32" s="170">
        <f>SUM(EG6:ER6)/7.5/SUM(EG9:ER9)</f>
        <v>3.7406666666666664</v>
      </c>
    </row>
    <row r="33" spans="1:148" s="141" customFormat="1" x14ac:dyDescent="0.2">
      <c r="A33" s="219" t="s">
        <v>216</v>
      </c>
      <c r="B33" s="220"/>
      <c r="C33" s="220"/>
      <c r="D33" s="220"/>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220"/>
      <c r="AE33" s="220"/>
      <c r="AF33" s="220"/>
      <c r="AG33" s="220"/>
      <c r="AH33" s="220"/>
      <c r="AI33" s="220"/>
      <c r="AJ33" s="220"/>
      <c r="AK33" s="220"/>
      <c r="AL33" s="220"/>
      <c r="AM33" s="220"/>
      <c r="AN33" s="220"/>
      <c r="AO33" s="220"/>
      <c r="AP33" s="220"/>
      <c r="AQ33" s="220"/>
      <c r="AR33" s="220"/>
      <c r="AS33" s="220"/>
      <c r="AT33" s="220"/>
      <c r="AU33" s="220"/>
      <c r="AV33" s="220"/>
      <c r="AW33" s="220"/>
      <c r="AX33" s="220"/>
      <c r="AY33" s="220"/>
      <c r="AZ33" s="220"/>
      <c r="BA33" s="220"/>
      <c r="BB33" s="220"/>
      <c r="BC33" s="214"/>
      <c r="BD33" s="220"/>
      <c r="BE33" s="220"/>
      <c r="BF33" s="220"/>
      <c r="BG33" s="220"/>
      <c r="BH33" s="220"/>
      <c r="BI33" s="220"/>
      <c r="BJ33" s="220"/>
      <c r="BK33" s="220"/>
      <c r="BL33" s="173"/>
      <c r="BM33" s="173"/>
      <c r="BN33" s="173"/>
      <c r="BO33" s="173"/>
      <c r="BP33" s="173"/>
      <c r="BQ33" s="173"/>
      <c r="BR33" s="173"/>
      <c r="BS33" s="173"/>
      <c r="BT33" s="173"/>
      <c r="BU33" s="173"/>
      <c r="BV33" s="173"/>
      <c r="BW33" s="173"/>
      <c r="BX33" s="173"/>
      <c r="BY33" s="173"/>
      <c r="BZ33" s="173"/>
      <c r="CA33" s="173"/>
      <c r="CB33" s="173"/>
      <c r="CC33" s="173"/>
      <c r="CD33" s="173"/>
      <c r="CE33" s="173"/>
      <c r="CF33" s="173"/>
      <c r="CG33" s="173"/>
      <c r="CH33" s="173"/>
      <c r="CI33" s="173"/>
      <c r="CJ33" s="173"/>
      <c r="CK33" s="173"/>
      <c r="CL33" s="173"/>
      <c r="CM33" s="173"/>
      <c r="CN33" s="173"/>
      <c r="CO33" s="173"/>
      <c r="CP33" s="173"/>
      <c r="CQ33" s="173"/>
      <c r="CR33" s="173"/>
      <c r="CS33" s="173"/>
      <c r="CT33" s="173"/>
      <c r="CU33" s="173"/>
      <c r="CV33" s="173"/>
      <c r="CW33" s="173"/>
      <c r="CX33" s="173"/>
      <c r="CY33" s="173"/>
      <c r="CZ33" s="173"/>
      <c r="DA33" s="173"/>
      <c r="DB33" s="173"/>
      <c r="DC33" s="173"/>
      <c r="DD33" s="173"/>
      <c r="DE33" s="173"/>
      <c r="DF33" s="173"/>
      <c r="DG33" s="173"/>
      <c r="DH33" s="173"/>
      <c r="DI33" s="173"/>
      <c r="DJ33" s="173"/>
      <c r="DK33" s="173"/>
      <c r="DL33" s="173"/>
      <c r="DM33" s="173"/>
      <c r="DN33" s="173"/>
      <c r="DO33" s="173"/>
      <c r="DP33" s="173"/>
      <c r="DQ33" s="173"/>
      <c r="DR33" s="173"/>
      <c r="DS33" s="173"/>
      <c r="DT33" s="173"/>
      <c r="DU33" s="173"/>
      <c r="DV33" s="173"/>
      <c r="DW33" s="173"/>
      <c r="DX33" s="173"/>
      <c r="DY33" s="173"/>
      <c r="DZ33" s="173"/>
      <c r="EA33" s="173"/>
      <c r="EB33" s="173"/>
      <c r="EC33" s="173"/>
      <c r="ED33" s="173"/>
      <c r="EE33" s="173"/>
      <c r="EF33" s="173"/>
      <c r="EG33" s="173"/>
      <c r="EH33" s="173"/>
      <c r="EI33" s="173"/>
      <c r="EJ33" s="145"/>
      <c r="EK33" s="145"/>
      <c r="EL33" s="145"/>
      <c r="EM33" s="145"/>
      <c r="EN33" s="145"/>
      <c r="EO33" s="145"/>
      <c r="EP33" s="145"/>
      <c r="EQ33" s="145"/>
      <c r="ER33" s="145"/>
    </row>
    <row r="34" spans="1:148" s="194" customFormat="1" x14ac:dyDescent="0.2">
      <c r="A34" s="221" t="s">
        <v>217</v>
      </c>
      <c r="B34" s="203"/>
      <c r="C34" s="203"/>
      <c r="D34" s="203"/>
      <c r="E34" s="203"/>
      <c r="F34" s="203"/>
      <c r="G34" s="203"/>
      <c r="H34" s="203"/>
      <c r="I34" s="203"/>
      <c r="J34" s="203"/>
      <c r="K34" s="203"/>
      <c r="L34" s="203"/>
      <c r="M34" s="203"/>
      <c r="N34" s="194">
        <v>6.9611966832575192</v>
      </c>
      <c r="O34" s="194">
        <v>6.3664474073969286</v>
      </c>
      <c r="P34" s="194">
        <v>6.4902988061455922</v>
      </c>
      <c r="Q34" s="194">
        <v>5.906997016966506</v>
      </c>
      <c r="R34" s="194">
        <v>6.0478742611365375</v>
      </c>
      <c r="S34" s="194">
        <v>5.7552869954794019</v>
      </c>
      <c r="T34" s="194">
        <v>6.6481656004147016</v>
      </c>
      <c r="U34" s="194">
        <v>6.6361701765131587</v>
      </c>
      <c r="V34" s="194">
        <v>6.683719182635337</v>
      </c>
      <c r="W34" s="194">
        <v>6.1251438958437294</v>
      </c>
      <c r="X34" s="194">
        <v>5.2093905551952888</v>
      </c>
      <c r="Y34" s="194">
        <v>5.0345631752270723</v>
      </c>
      <c r="Z34" s="194">
        <v>4.6807461109300821</v>
      </c>
      <c r="AA34" s="194">
        <v>4.3493787836650526</v>
      </c>
      <c r="AB34" s="194">
        <v>4.8126941991523227</v>
      </c>
      <c r="AC34" s="194">
        <v>4.7950844630152742</v>
      </c>
      <c r="AD34" s="194">
        <v>5.369705819555703</v>
      </c>
      <c r="AE34" s="194">
        <v>5.4410196936206834</v>
      </c>
      <c r="AF34" s="194">
        <v>5.2739436547493401</v>
      </c>
      <c r="AG34" s="194">
        <v>4.728454797986271</v>
      </c>
      <c r="AH34" s="194">
        <v>4.2325744060587054</v>
      </c>
      <c r="AI34" s="194">
        <v>4.2506084445673666</v>
      </c>
      <c r="AJ34" s="194">
        <v>4.1071748227644385</v>
      </c>
      <c r="AK34" s="194">
        <v>5.0758033156669997</v>
      </c>
      <c r="AL34" s="194">
        <v>5.9147755692968937</v>
      </c>
      <c r="AM34" s="194">
        <v>5.6700335880081054</v>
      </c>
      <c r="AN34" s="194">
        <v>5.2632264808363054</v>
      </c>
      <c r="AO34" s="194">
        <v>5.6278408042580397</v>
      </c>
      <c r="AP34" s="194">
        <v>5.0152464456417984</v>
      </c>
      <c r="AQ34" s="194">
        <v>4.8174690832658866</v>
      </c>
      <c r="AR34" s="194">
        <v>5.1574698266764454</v>
      </c>
      <c r="AS34" s="194">
        <v>5.7011349334829111</v>
      </c>
      <c r="AT34" s="194">
        <v>6.2419860229070672</v>
      </c>
      <c r="AU34" s="194">
        <v>6.4150572412255764</v>
      </c>
      <c r="AV34" s="194">
        <v>6.7822020436639852</v>
      </c>
      <c r="AW34" s="194">
        <v>6.573417357508573</v>
      </c>
      <c r="AX34" s="194">
        <v>5.605233646434753</v>
      </c>
      <c r="AY34" s="194">
        <v>5.8019765200373703</v>
      </c>
      <c r="AZ34" s="194">
        <v>5.7281358716785213</v>
      </c>
      <c r="BA34" s="194">
        <v>5.360069557437817</v>
      </c>
      <c r="BB34" s="194">
        <v>5.1794447298585684</v>
      </c>
      <c r="BC34" s="189">
        <v>5.3240170134287679</v>
      </c>
      <c r="BD34" s="194">
        <v>5.331108010380734</v>
      </c>
      <c r="BE34" s="194">
        <v>5.1678932230573826</v>
      </c>
      <c r="BF34" s="194">
        <v>4.614142474033244</v>
      </c>
      <c r="BG34" s="194">
        <v>4.2144671994522804</v>
      </c>
      <c r="BH34" s="194">
        <v>4.0033153273914914</v>
      </c>
      <c r="BI34" s="194">
        <v>3.4986339015403423</v>
      </c>
      <c r="BJ34" s="194">
        <v>3.253622004317918</v>
      </c>
      <c r="BK34" s="194">
        <v>3.0682763409876928</v>
      </c>
      <c r="BL34" s="194">
        <v>3.0659008719584393</v>
      </c>
      <c r="BM34" s="194">
        <v>2.8748404261426272</v>
      </c>
      <c r="BN34" s="194">
        <v>3.2255208369452446</v>
      </c>
      <c r="BO34" s="194">
        <v>2.8614517435925344</v>
      </c>
      <c r="BP34" s="194">
        <v>2.7647884942331489</v>
      </c>
      <c r="BQ34" s="194">
        <v>2.5712067235145781</v>
      </c>
      <c r="BR34" s="194">
        <v>2.9299255027985636</v>
      </c>
      <c r="BS34" s="194">
        <v>2.7532240161454924</v>
      </c>
      <c r="BT34" s="194">
        <v>2.9458618530351131</v>
      </c>
      <c r="BU34" s="163">
        <v>3.1166663835694708</v>
      </c>
      <c r="BV34" s="163">
        <v>3.3041792139812896</v>
      </c>
      <c r="BW34" s="163">
        <v>3.8419606908511268</v>
      </c>
      <c r="BX34" s="163">
        <f t="shared" ref="BX34:DC34" si="46">SUM(BM13:BX13)/SUM(BM15:BX15)*200000</f>
        <v>4.0614308023804231</v>
      </c>
      <c r="BY34" s="163">
        <f t="shared" si="46"/>
        <v>4.4227589203315727</v>
      </c>
      <c r="BZ34" s="163">
        <f t="shared" si="46"/>
        <v>4.042725656355346</v>
      </c>
      <c r="CA34" s="163">
        <f t="shared" si="46"/>
        <v>3.7247145755654931</v>
      </c>
      <c r="CB34" s="163">
        <f t="shared" si="46"/>
        <v>3.545769452492332</v>
      </c>
      <c r="CC34" s="163">
        <f t="shared" si="46"/>
        <v>3.3771866950575498</v>
      </c>
      <c r="CD34" s="163">
        <f t="shared" si="46"/>
        <v>3.1946520388992545</v>
      </c>
      <c r="CE34" s="163">
        <f t="shared" si="46"/>
        <v>2.8359582490226583</v>
      </c>
      <c r="CF34" s="163">
        <f t="shared" si="46"/>
        <v>2.8330264914802177</v>
      </c>
      <c r="CG34" s="163">
        <f t="shared" si="46"/>
        <v>2.3015226200901751</v>
      </c>
      <c r="CH34" s="163">
        <f t="shared" si="46"/>
        <v>2.655617151218391</v>
      </c>
      <c r="CI34" s="163">
        <f t="shared" si="46"/>
        <v>2.306914229204013</v>
      </c>
      <c r="CJ34" s="163">
        <f t="shared" si="46"/>
        <v>2.5024817916296733</v>
      </c>
      <c r="CK34" s="194">
        <f t="shared" si="46"/>
        <v>1.9756023881081668</v>
      </c>
      <c r="CL34" s="194">
        <f t="shared" si="46"/>
        <v>2.3479162532226954</v>
      </c>
      <c r="CM34" s="194">
        <f t="shared" si="46"/>
        <v>2.3606363810819619</v>
      </c>
      <c r="CN34" s="194">
        <f t="shared" si="46"/>
        <v>2.7475014565192093</v>
      </c>
      <c r="CO34" s="194">
        <f t="shared" si="46"/>
        <v>2.7605523401459839</v>
      </c>
      <c r="CP34" s="194">
        <f t="shared" si="46"/>
        <v>2.7750997037821574</v>
      </c>
      <c r="CQ34" s="194">
        <f t="shared" si="46"/>
        <v>3.5343153043972309</v>
      </c>
      <c r="CR34" s="194">
        <f t="shared" si="46"/>
        <v>3.4071730802411051</v>
      </c>
      <c r="CS34" s="194">
        <f t="shared" si="46"/>
        <v>3.5630446336412804</v>
      </c>
      <c r="CT34" s="194">
        <f t="shared" si="46"/>
        <v>3.3841178816854671</v>
      </c>
      <c r="CU34" s="194">
        <f t="shared" si="46"/>
        <v>3.7637104916252735</v>
      </c>
      <c r="CV34" s="194">
        <f t="shared" si="46"/>
        <v>4.8753220759646432</v>
      </c>
      <c r="CW34" s="194">
        <f t="shared" si="46"/>
        <v>5.4324561512042866</v>
      </c>
      <c r="CX34" s="194">
        <f t="shared" si="46"/>
        <v>5.7458466237459103</v>
      </c>
      <c r="CY34" s="194">
        <f t="shared" si="46"/>
        <v>6.7044484061733627</v>
      </c>
      <c r="CZ34" s="194">
        <f t="shared" si="46"/>
        <v>7.2073254146695405</v>
      </c>
      <c r="DA34" s="194">
        <f t="shared" si="46"/>
        <v>7.9183576081481215</v>
      </c>
      <c r="DB34" s="194">
        <f t="shared" si="46"/>
        <v>7.6982586859613127</v>
      </c>
      <c r="DC34" s="194">
        <f t="shared" si="46"/>
        <v>7.1975470268192794</v>
      </c>
      <c r="DD34" s="194">
        <f t="shared" ref="DD34:EI34" si="47">SUM(CS13:DD13)/SUM(CS15:DD15)*200000</f>
        <v>7.4568300917068235</v>
      </c>
      <c r="DE34" s="194">
        <f t="shared" si="47"/>
        <v>7.9799660775269299</v>
      </c>
      <c r="DF34" s="194">
        <f t="shared" si="47"/>
        <v>7.9618655591952949</v>
      </c>
      <c r="DG34" s="194">
        <f t="shared" si="47"/>
        <v>7.7592365907264194</v>
      </c>
      <c r="DH34" s="194">
        <f t="shared" si="47"/>
        <v>7.2023080156151433</v>
      </c>
      <c r="DI34" s="194">
        <f t="shared" si="47"/>
        <v>7.1929840856036327</v>
      </c>
      <c r="DJ34" s="194">
        <f t="shared" si="47"/>
        <v>6.4686200413804809</v>
      </c>
      <c r="DK34" s="194">
        <f t="shared" si="47"/>
        <v>6.3404857182478027</v>
      </c>
      <c r="DL34" s="194">
        <f t="shared" si="47"/>
        <v>5.7590522281053182</v>
      </c>
      <c r="DM34" s="194">
        <f t="shared" si="47"/>
        <v>4.8312352181587448</v>
      </c>
      <c r="DN34" s="194">
        <f t="shared" si="47"/>
        <v>4.9674132516304228</v>
      </c>
      <c r="DO34" s="194">
        <f t="shared" si="47"/>
        <v>4.7104122301561846</v>
      </c>
      <c r="DP34" s="194">
        <f t="shared" si="47"/>
        <v>4.7347608172027718</v>
      </c>
      <c r="DQ34" s="194">
        <f t="shared" si="47"/>
        <v>4.7302464612139294</v>
      </c>
      <c r="DR34" s="194">
        <f t="shared" si="47"/>
        <v>4.6329362204518745</v>
      </c>
      <c r="DS34" s="194">
        <f t="shared" si="47"/>
        <v>4.5499510937131813</v>
      </c>
      <c r="DT34" s="194">
        <f t="shared" si="47"/>
        <v>4.2250317286050878</v>
      </c>
      <c r="DU34" s="194">
        <f t="shared" si="47"/>
        <v>4.0783985107863785</v>
      </c>
      <c r="DV34" s="194">
        <f t="shared" si="47"/>
        <v>4.1922810473200336</v>
      </c>
      <c r="DW34" s="194">
        <f t="shared" si="47"/>
        <v>3.9096038746920656</v>
      </c>
      <c r="DX34" s="194">
        <f t="shared" si="47"/>
        <v>3.9250745017433846</v>
      </c>
      <c r="DY34" s="194">
        <f t="shared" si="47"/>
        <v>3.9280821804611739</v>
      </c>
      <c r="DZ34" s="194">
        <f t="shared" si="47"/>
        <v>3.8391272465960791</v>
      </c>
      <c r="EA34" s="194">
        <f t="shared" si="47"/>
        <v>3.5501069750376582</v>
      </c>
      <c r="EB34" s="194">
        <f t="shared" si="47"/>
        <v>3.6426982712281242</v>
      </c>
      <c r="EC34" s="194">
        <f t="shared" si="47"/>
        <v>4.0288746955363806</v>
      </c>
      <c r="ED34" s="194">
        <f t="shared" si="47"/>
        <v>4.3244914029327139</v>
      </c>
      <c r="EE34" s="194">
        <f t="shared" si="47"/>
        <v>4.5182965028159154</v>
      </c>
      <c r="EF34" s="194">
        <f t="shared" si="47"/>
        <v>4.4476479541999003</v>
      </c>
      <c r="EG34" s="194">
        <f t="shared" si="47"/>
        <v>4.8313169598487749</v>
      </c>
      <c r="EH34" s="194">
        <f t="shared" si="47"/>
        <v>4.7315481330976761</v>
      </c>
      <c r="EI34" s="194">
        <f t="shared" si="47"/>
        <v>4.8456516752428156</v>
      </c>
      <c r="EJ34" s="194">
        <f t="shared" ref="EJ34:EN34" si="48">SUM(DY13:EJ13)/SUM(DY15:EJ15)*200000</f>
        <v>4.8398650078403627</v>
      </c>
      <c r="EK34" s="194">
        <f t="shared" si="48"/>
        <v>5.2219232273620726</v>
      </c>
      <c r="EL34" s="194">
        <f t="shared" si="48"/>
        <v>5.9278489365872025</v>
      </c>
      <c r="EM34" s="194">
        <f t="shared" si="48"/>
        <v>6.3896323479309673</v>
      </c>
      <c r="EN34" s="194">
        <f t="shared" si="48"/>
        <v>6.5939532514540788</v>
      </c>
      <c r="EO34" s="194">
        <f>SUM(ED13:EO13)/SUM(ED15:EO15)*200000</f>
        <v>6.5335219325431142</v>
      </c>
      <c r="EP34" s="194">
        <f>SUM(EE13:EP13)/SUM(EE15:EP15)*200000</f>
        <v>5.9052779892571587</v>
      </c>
      <c r="EQ34" s="194">
        <f>SUM(EF13:EQ13)/SUM(EF15:EQ15)*200000</f>
        <v>5.415522664984243</v>
      </c>
      <c r="ER34" s="194">
        <f>SUM(EG13:ER13)/SUM(EG15:ER15)*200000</f>
        <v>5.0711667170908781</v>
      </c>
    </row>
    <row r="35" spans="1:148" s="194" customFormat="1" x14ac:dyDescent="0.2">
      <c r="A35" s="221" t="s">
        <v>218</v>
      </c>
      <c r="B35" s="203"/>
      <c r="C35" s="203"/>
      <c r="D35" s="203"/>
      <c r="E35" s="203"/>
      <c r="F35" s="203"/>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c r="AG35" s="194">
        <v>0</v>
      </c>
      <c r="AH35" s="194">
        <v>0</v>
      </c>
      <c r="AI35" s="194">
        <v>0</v>
      </c>
      <c r="AJ35" s="194">
        <v>0</v>
      </c>
      <c r="AK35" s="194">
        <v>0</v>
      </c>
      <c r="AL35" s="194">
        <v>4.9333333333333336</v>
      </c>
      <c r="AM35" s="194">
        <v>13.2</v>
      </c>
      <c r="AN35" s="194">
        <v>16.133333333333333</v>
      </c>
      <c r="AO35" s="194">
        <v>17.733333333333334</v>
      </c>
      <c r="AP35" s="194">
        <v>19.066666666666666</v>
      </c>
      <c r="AQ35" s="194">
        <v>16.933333333333334</v>
      </c>
      <c r="AR35" s="194">
        <v>16.399999999999999</v>
      </c>
      <c r="AS35" s="181">
        <v>17.399999999999999</v>
      </c>
      <c r="AT35" s="181">
        <v>17.351999999999997</v>
      </c>
      <c r="AU35" s="181">
        <v>18.866666666666667</v>
      </c>
      <c r="AV35" s="181">
        <v>14.6</v>
      </c>
      <c r="AW35" s="181">
        <v>16.399999999999999</v>
      </c>
      <c r="AX35" s="181">
        <v>16.600000000000001</v>
      </c>
      <c r="AY35" s="181">
        <v>3</v>
      </c>
      <c r="AZ35" s="181">
        <v>1.3333333333333334E-4</v>
      </c>
      <c r="BA35" s="181">
        <v>2</v>
      </c>
      <c r="BB35" s="181">
        <v>3.3333333333333335</v>
      </c>
      <c r="BC35" s="181">
        <v>8</v>
      </c>
      <c r="BD35" s="181">
        <v>1.3333333333333334E-4</v>
      </c>
      <c r="BE35" s="181">
        <v>9</v>
      </c>
      <c r="BF35" s="181">
        <v>0</v>
      </c>
      <c r="BG35" s="181">
        <v>0</v>
      </c>
      <c r="BH35" s="181">
        <v>0</v>
      </c>
      <c r="BI35" s="181">
        <v>0.5</v>
      </c>
      <c r="BJ35" s="181">
        <v>0</v>
      </c>
      <c r="BK35" s="181">
        <v>0</v>
      </c>
      <c r="BL35" s="181">
        <v>0</v>
      </c>
      <c r="BM35" s="181">
        <v>10</v>
      </c>
      <c r="BN35" s="181">
        <v>0</v>
      </c>
      <c r="BO35" s="181">
        <v>0</v>
      </c>
      <c r="BP35" s="181">
        <v>0</v>
      </c>
      <c r="BQ35" s="181">
        <v>0</v>
      </c>
      <c r="BR35" s="181">
        <v>9.5</v>
      </c>
      <c r="BS35" s="181">
        <v>21</v>
      </c>
      <c r="BT35" s="181">
        <v>17</v>
      </c>
      <c r="BU35" s="182">
        <v>9.5</v>
      </c>
      <c r="BV35" s="182">
        <v>6</v>
      </c>
      <c r="BW35" s="182">
        <v>0.5</v>
      </c>
      <c r="BX35" s="182">
        <v>2</v>
      </c>
      <c r="BY35" s="182">
        <v>5</v>
      </c>
      <c r="BZ35" s="182">
        <v>0</v>
      </c>
      <c r="CA35" s="182">
        <v>1</v>
      </c>
      <c r="CB35" s="182">
        <v>0</v>
      </c>
      <c r="CC35" s="182">
        <v>0</v>
      </c>
      <c r="CD35" s="182">
        <v>0</v>
      </c>
      <c r="CE35" s="194">
        <f t="shared" ref="CE35:EN35" si="49">CE14/7.5</f>
        <v>0</v>
      </c>
      <c r="CF35" s="194">
        <f t="shared" si="49"/>
        <v>3</v>
      </c>
      <c r="CG35" s="194">
        <f t="shared" si="49"/>
        <v>0</v>
      </c>
      <c r="CH35" s="194">
        <f t="shared" si="49"/>
        <v>4</v>
      </c>
      <c r="CI35" s="194">
        <f t="shared" si="49"/>
        <v>2</v>
      </c>
      <c r="CJ35" s="194">
        <f t="shared" si="49"/>
        <v>2.5</v>
      </c>
      <c r="CK35" s="194">
        <f t="shared" si="49"/>
        <v>1</v>
      </c>
      <c r="CL35" s="194">
        <f t="shared" si="49"/>
        <v>1</v>
      </c>
      <c r="CM35" s="194">
        <f t="shared" si="49"/>
        <v>0</v>
      </c>
      <c r="CN35" s="194">
        <f t="shared" si="49"/>
        <v>0</v>
      </c>
      <c r="CO35" s="194">
        <f t="shared" si="49"/>
        <v>0</v>
      </c>
      <c r="CP35" s="194">
        <f t="shared" si="49"/>
        <v>0</v>
      </c>
      <c r="CQ35" s="194">
        <f t="shared" si="49"/>
        <v>0.8</v>
      </c>
      <c r="CR35" s="194">
        <f t="shared" si="49"/>
        <v>14.8</v>
      </c>
      <c r="CS35" s="194">
        <f t="shared" si="49"/>
        <v>0</v>
      </c>
      <c r="CT35" s="194">
        <f t="shared" si="49"/>
        <v>5.6</v>
      </c>
      <c r="CU35" s="194">
        <f t="shared" si="49"/>
        <v>0</v>
      </c>
      <c r="CV35" s="194">
        <f t="shared" si="49"/>
        <v>40.33</v>
      </c>
      <c r="CW35" s="194">
        <f t="shared" si="49"/>
        <v>65.53</v>
      </c>
      <c r="CX35" s="194">
        <f t="shared" si="49"/>
        <v>55.67</v>
      </c>
      <c r="CY35" s="194">
        <f t="shared" si="49"/>
        <v>42.326666666666668</v>
      </c>
      <c r="CZ35" s="194">
        <f t="shared" si="49"/>
        <v>62.4</v>
      </c>
      <c r="DA35" s="194">
        <f t="shared" si="49"/>
        <v>29.77</v>
      </c>
      <c r="DB35" s="194">
        <f t="shared" si="49"/>
        <v>3.13</v>
      </c>
      <c r="DC35" s="194">
        <f t="shared" si="49"/>
        <v>9</v>
      </c>
      <c r="DD35" s="194">
        <f t="shared" si="49"/>
        <v>6</v>
      </c>
      <c r="DE35" s="194">
        <f t="shared" si="49"/>
        <v>14.07</v>
      </c>
      <c r="DF35" s="194">
        <f t="shared" si="49"/>
        <v>21.13</v>
      </c>
      <c r="DG35" s="194">
        <f t="shared" si="49"/>
        <v>9.32</v>
      </c>
      <c r="DH35" s="194">
        <f t="shared" si="49"/>
        <v>16.95</v>
      </c>
      <c r="DI35" s="194">
        <f t="shared" si="49"/>
        <v>16.8</v>
      </c>
      <c r="DJ35" s="194">
        <f t="shared" si="49"/>
        <v>14.87</v>
      </c>
      <c r="DK35" s="194">
        <f t="shared" si="49"/>
        <v>27.099999999999998</v>
      </c>
      <c r="DL35" s="194">
        <f t="shared" si="49"/>
        <v>27.7</v>
      </c>
      <c r="DM35" s="194">
        <f t="shared" si="49"/>
        <v>28.599999999999998</v>
      </c>
      <c r="DN35" s="194">
        <f t="shared" si="49"/>
        <v>7.3</v>
      </c>
      <c r="DO35" s="194">
        <f t="shared" si="49"/>
        <v>0</v>
      </c>
      <c r="DP35" s="194">
        <f t="shared" si="49"/>
        <v>16</v>
      </c>
      <c r="DQ35" s="194">
        <f t="shared" si="49"/>
        <v>22.67</v>
      </c>
      <c r="DR35" s="194">
        <f t="shared" si="49"/>
        <v>17</v>
      </c>
      <c r="DS35" s="194">
        <f t="shared" si="49"/>
        <v>8.3000000000000007</v>
      </c>
      <c r="DT35" s="194">
        <f t="shared" si="49"/>
        <v>9.4</v>
      </c>
      <c r="DU35" s="194">
        <f t="shared" si="49"/>
        <v>12.6</v>
      </c>
      <c r="DV35" s="194">
        <f t="shared" si="49"/>
        <v>10.6</v>
      </c>
      <c r="DW35" s="194">
        <f t="shared" si="49"/>
        <v>2</v>
      </c>
      <c r="DX35" s="194">
        <f t="shared" si="49"/>
        <v>4</v>
      </c>
      <c r="DY35" s="194">
        <f t="shared" si="49"/>
        <v>2.7</v>
      </c>
      <c r="DZ35" s="194">
        <f t="shared" si="49"/>
        <v>21.4</v>
      </c>
      <c r="EA35" s="194">
        <f t="shared" si="49"/>
        <v>0.4</v>
      </c>
      <c r="EB35" s="194">
        <f t="shared" si="49"/>
        <v>12.200000000000001</v>
      </c>
      <c r="EC35" s="194">
        <f t="shared" si="49"/>
        <v>15.2</v>
      </c>
      <c r="ED35" s="194">
        <f t="shared" si="49"/>
        <v>22.3</v>
      </c>
      <c r="EE35" s="194">
        <f t="shared" si="49"/>
        <v>0.1</v>
      </c>
      <c r="EF35" s="194">
        <f t="shared" si="49"/>
        <v>14.8</v>
      </c>
      <c r="EG35" s="194">
        <f t="shared" si="49"/>
        <v>16.599999999999998</v>
      </c>
      <c r="EH35" s="194">
        <f t="shared" si="49"/>
        <v>11.1</v>
      </c>
      <c r="EI35" s="194">
        <f t="shared" si="49"/>
        <v>60.099999999999994</v>
      </c>
      <c r="EJ35" s="194">
        <f t="shared" si="49"/>
        <v>53.91</v>
      </c>
      <c r="EK35" s="194">
        <f t="shared" si="49"/>
        <v>29.56</v>
      </c>
      <c r="EL35" s="194">
        <f t="shared" si="49"/>
        <v>15.95</v>
      </c>
      <c r="EM35" s="194">
        <f t="shared" si="49"/>
        <v>18.86</v>
      </c>
      <c r="EN35" s="194">
        <f t="shared" si="49"/>
        <v>29.970000000000002</v>
      </c>
      <c r="EO35" s="194">
        <f>EO14/7.5</f>
        <v>39.060000000000009</v>
      </c>
      <c r="EP35" s="194">
        <f>EP14/7.5</f>
        <v>30.33</v>
      </c>
      <c r="EQ35" s="194">
        <f>EQ14/7.5</f>
        <v>30.16</v>
      </c>
      <c r="ER35" s="194">
        <f>ER14/7.5</f>
        <v>0</v>
      </c>
    </row>
    <row r="36" spans="1:148" s="194" customFormat="1" x14ac:dyDescent="0.2">
      <c r="A36" s="222" t="s">
        <v>219</v>
      </c>
      <c r="B36" s="203"/>
      <c r="C36" s="203"/>
      <c r="D36" s="203"/>
      <c r="E36" s="203"/>
      <c r="F36" s="203"/>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c r="AG36" s="203"/>
      <c r="AH36" s="223">
        <v>0</v>
      </c>
      <c r="AI36" s="223">
        <v>0</v>
      </c>
      <c r="AJ36" s="223">
        <v>0</v>
      </c>
      <c r="AK36" s="223">
        <v>0</v>
      </c>
      <c r="AL36" s="223">
        <v>1</v>
      </c>
      <c r="AM36" s="223">
        <v>0</v>
      </c>
      <c r="AN36" s="223">
        <v>0</v>
      </c>
      <c r="AO36" s="223">
        <v>0</v>
      </c>
      <c r="AP36" s="223">
        <v>2</v>
      </c>
      <c r="AQ36" s="223">
        <v>1</v>
      </c>
      <c r="AR36" s="223">
        <v>1</v>
      </c>
      <c r="AS36" s="223">
        <v>2</v>
      </c>
      <c r="AT36" s="223">
        <v>2</v>
      </c>
      <c r="AU36" s="223">
        <v>1</v>
      </c>
      <c r="AV36" s="223">
        <v>0</v>
      </c>
      <c r="AW36" s="223">
        <v>1</v>
      </c>
      <c r="AX36" s="223">
        <v>2</v>
      </c>
      <c r="AY36" s="223">
        <v>1</v>
      </c>
      <c r="AZ36" s="223">
        <v>1E-3</v>
      </c>
      <c r="BA36" s="223">
        <v>1</v>
      </c>
      <c r="BB36" s="223">
        <v>1E-3</v>
      </c>
      <c r="BC36" s="223">
        <v>1</v>
      </c>
      <c r="BD36" s="223">
        <v>1E-3</v>
      </c>
      <c r="BE36" s="223">
        <v>1</v>
      </c>
      <c r="BF36" s="223">
        <v>0</v>
      </c>
      <c r="BG36" s="223">
        <v>0</v>
      </c>
      <c r="BH36" s="223">
        <v>0</v>
      </c>
      <c r="BI36" s="223">
        <v>1</v>
      </c>
      <c r="BJ36" s="223">
        <v>0</v>
      </c>
      <c r="BK36" s="223">
        <v>0</v>
      </c>
      <c r="BL36" s="223">
        <v>0</v>
      </c>
      <c r="BM36" s="223">
        <v>1</v>
      </c>
      <c r="BN36" s="223">
        <v>0</v>
      </c>
      <c r="BO36" s="223">
        <v>0</v>
      </c>
      <c r="BP36" s="223">
        <v>0</v>
      </c>
      <c r="BQ36" s="223">
        <v>1</v>
      </c>
      <c r="BR36" s="223">
        <v>2</v>
      </c>
      <c r="BS36" s="223">
        <v>2</v>
      </c>
      <c r="BT36" s="223">
        <v>1</v>
      </c>
      <c r="BU36" s="167">
        <v>0</v>
      </c>
      <c r="BV36" s="167">
        <v>0</v>
      </c>
      <c r="BW36" s="167">
        <v>1</v>
      </c>
      <c r="BX36" s="167">
        <v>1</v>
      </c>
      <c r="BY36" s="167">
        <v>1</v>
      </c>
      <c r="BZ36" s="167">
        <v>0</v>
      </c>
      <c r="CA36" s="167">
        <v>1</v>
      </c>
      <c r="CB36" s="167">
        <v>0</v>
      </c>
      <c r="CC36" s="167">
        <v>0</v>
      </c>
      <c r="CD36" s="167">
        <v>0</v>
      </c>
      <c r="CE36" s="167">
        <v>0</v>
      </c>
      <c r="CF36" s="167">
        <v>1</v>
      </c>
      <c r="CG36" s="167">
        <v>0</v>
      </c>
      <c r="CH36" s="167">
        <v>3</v>
      </c>
      <c r="CI36" s="167">
        <v>0</v>
      </c>
      <c r="CJ36" s="167">
        <v>1</v>
      </c>
      <c r="CK36" s="163">
        <f t="shared" ref="CK36:EN36" si="50">CK17</f>
        <v>0</v>
      </c>
      <c r="CL36" s="163">
        <f t="shared" si="50"/>
        <v>1</v>
      </c>
      <c r="CM36" s="167">
        <f t="shared" si="50"/>
        <v>0</v>
      </c>
      <c r="CN36" s="167">
        <f t="shared" si="50"/>
        <v>0</v>
      </c>
      <c r="CO36" s="167">
        <f t="shared" si="50"/>
        <v>0</v>
      </c>
      <c r="CP36" s="167">
        <f t="shared" si="50"/>
        <v>0</v>
      </c>
      <c r="CQ36" s="167">
        <f t="shared" si="50"/>
        <v>0</v>
      </c>
      <c r="CR36" s="167">
        <f t="shared" si="50"/>
        <v>1</v>
      </c>
      <c r="CS36" s="167">
        <f t="shared" si="50"/>
        <v>0</v>
      </c>
      <c r="CT36" s="167">
        <f t="shared" si="50"/>
        <v>2</v>
      </c>
      <c r="CU36" s="167">
        <f t="shared" si="50"/>
        <v>1</v>
      </c>
      <c r="CV36" s="167">
        <f t="shared" si="50"/>
        <v>5</v>
      </c>
      <c r="CW36" s="167">
        <f t="shared" si="50"/>
        <v>0</v>
      </c>
      <c r="CX36" s="167">
        <f t="shared" si="50"/>
        <v>2</v>
      </c>
      <c r="CY36" s="167">
        <f t="shared" si="50"/>
        <v>3</v>
      </c>
      <c r="CZ36" s="167">
        <f t="shared" si="50"/>
        <v>1</v>
      </c>
      <c r="DA36" s="167">
        <f t="shared" si="50"/>
        <v>1</v>
      </c>
      <c r="DB36" s="167">
        <f t="shared" si="50"/>
        <v>0</v>
      </c>
      <c r="DC36" s="167">
        <f t="shared" si="50"/>
        <v>1</v>
      </c>
      <c r="DD36" s="167">
        <f t="shared" si="50"/>
        <v>0</v>
      </c>
      <c r="DE36" s="167">
        <f t="shared" si="50"/>
        <v>1</v>
      </c>
      <c r="DF36" s="167">
        <f t="shared" si="50"/>
        <v>0</v>
      </c>
      <c r="DG36" s="167">
        <f t="shared" si="50"/>
        <v>1</v>
      </c>
      <c r="DH36" s="167">
        <f t="shared" si="50"/>
        <v>0</v>
      </c>
      <c r="DI36" s="167">
        <f t="shared" si="50"/>
        <v>2</v>
      </c>
      <c r="DJ36" s="167">
        <f t="shared" si="50"/>
        <v>0</v>
      </c>
      <c r="DK36" s="167">
        <f t="shared" si="50"/>
        <v>3</v>
      </c>
      <c r="DL36" s="167">
        <f t="shared" si="50"/>
        <v>4</v>
      </c>
      <c r="DM36" s="167">
        <f t="shared" si="50"/>
        <v>1</v>
      </c>
      <c r="DN36" s="167">
        <f t="shared" si="50"/>
        <v>0</v>
      </c>
      <c r="DO36" s="167">
        <f t="shared" si="50"/>
        <v>0</v>
      </c>
      <c r="DP36" s="167">
        <f t="shared" si="50"/>
        <v>3</v>
      </c>
      <c r="DQ36" s="167">
        <f t="shared" si="50"/>
        <v>1</v>
      </c>
      <c r="DR36" s="167">
        <f t="shared" si="50"/>
        <v>0</v>
      </c>
      <c r="DS36" s="167">
        <f t="shared" si="50"/>
        <v>1</v>
      </c>
      <c r="DT36" s="167">
        <f t="shared" si="50"/>
        <v>3</v>
      </c>
      <c r="DU36" s="167">
        <f t="shared" si="50"/>
        <v>1</v>
      </c>
      <c r="DV36" s="167">
        <f t="shared" si="50"/>
        <v>1</v>
      </c>
      <c r="DW36" s="167">
        <f t="shared" si="50"/>
        <v>0</v>
      </c>
      <c r="DX36" s="167">
        <f t="shared" si="50"/>
        <v>1</v>
      </c>
      <c r="DY36" s="167">
        <f t="shared" si="50"/>
        <v>0</v>
      </c>
      <c r="DZ36" s="167">
        <f t="shared" si="50"/>
        <v>1</v>
      </c>
      <c r="EA36" s="167">
        <f t="shared" si="50"/>
        <v>0</v>
      </c>
      <c r="EB36" s="167">
        <f t="shared" si="50"/>
        <v>2</v>
      </c>
      <c r="EC36" s="167">
        <f t="shared" si="50"/>
        <v>2</v>
      </c>
      <c r="ED36" s="167">
        <f t="shared" si="50"/>
        <v>2</v>
      </c>
      <c r="EE36" s="167">
        <f t="shared" si="50"/>
        <v>0</v>
      </c>
      <c r="EF36" s="167">
        <f t="shared" si="50"/>
        <v>2</v>
      </c>
      <c r="EG36" s="167">
        <f t="shared" si="50"/>
        <v>4</v>
      </c>
      <c r="EH36" s="167">
        <f t="shared" si="50"/>
        <v>1</v>
      </c>
      <c r="EI36" s="167">
        <f t="shared" si="50"/>
        <v>2</v>
      </c>
      <c r="EJ36" s="194">
        <f t="shared" si="50"/>
        <v>2</v>
      </c>
      <c r="EK36" s="194">
        <f t="shared" si="50"/>
        <v>1</v>
      </c>
      <c r="EL36" s="194">
        <f t="shared" si="50"/>
        <v>0</v>
      </c>
      <c r="EM36" s="194">
        <f t="shared" si="50"/>
        <v>2</v>
      </c>
      <c r="EN36" s="194">
        <f t="shared" si="50"/>
        <v>6</v>
      </c>
      <c r="EO36" s="194">
        <f>EO17</f>
        <v>7</v>
      </c>
      <c r="EP36" s="194">
        <f>EP17</f>
        <v>5</v>
      </c>
      <c r="EQ36" s="194">
        <f>EQ17</f>
        <v>2</v>
      </c>
      <c r="ER36" s="194">
        <f>ER17</f>
        <v>1</v>
      </c>
    </row>
    <row r="37" spans="1:148" s="194" customFormat="1" x14ac:dyDescent="0.2">
      <c r="A37" s="222" t="s">
        <v>212</v>
      </c>
      <c r="B37" s="210"/>
      <c r="C37" s="210"/>
      <c r="D37" s="210"/>
      <c r="E37" s="210"/>
      <c r="F37" s="210"/>
      <c r="G37" s="210"/>
      <c r="H37" s="210"/>
      <c r="I37" s="210"/>
      <c r="J37" s="210"/>
      <c r="K37" s="210"/>
      <c r="L37" s="210"/>
      <c r="M37" s="210"/>
      <c r="N37" s="210"/>
      <c r="O37" s="210"/>
      <c r="P37" s="210"/>
      <c r="Q37" s="210"/>
      <c r="R37" s="210"/>
      <c r="S37" s="210"/>
      <c r="T37" s="210"/>
      <c r="U37" s="210"/>
      <c r="V37" s="210"/>
      <c r="W37" s="210"/>
      <c r="X37" s="210"/>
      <c r="Y37" s="210"/>
      <c r="Z37" s="210"/>
      <c r="AA37" s="210"/>
      <c r="AB37" s="210"/>
      <c r="AC37" s="210"/>
      <c r="AD37" s="210"/>
      <c r="AE37" s="210"/>
      <c r="AF37" s="210"/>
      <c r="AG37" s="210"/>
      <c r="AH37" s="194">
        <v>0</v>
      </c>
      <c r="AI37" s="194">
        <v>0</v>
      </c>
      <c r="AJ37" s="194">
        <v>0</v>
      </c>
      <c r="AK37" s="194">
        <v>0</v>
      </c>
      <c r="AL37" s="194">
        <v>0.8222222222222223</v>
      </c>
      <c r="AM37" s="194">
        <v>2.5904761904761906</v>
      </c>
      <c r="AN37" s="194">
        <v>4.2833333333333332</v>
      </c>
      <c r="AO37" s="194">
        <v>5.7777777777777777</v>
      </c>
      <c r="AP37" s="194">
        <v>7.1066666666666665</v>
      </c>
      <c r="AQ37" s="194">
        <v>8</v>
      </c>
      <c r="AR37" s="194">
        <v>8.6999999999999993</v>
      </c>
      <c r="AS37" s="194">
        <v>10.15</v>
      </c>
      <c r="AT37" s="194">
        <v>11.596000000000002</v>
      </c>
      <c r="AU37" s="194">
        <v>13.168222222222225</v>
      </c>
      <c r="AV37" s="194">
        <v>14.38488888888889</v>
      </c>
      <c r="AW37" s="194">
        <v>15.751555555555557</v>
      </c>
      <c r="AX37" s="194">
        <v>16.72377777777778</v>
      </c>
      <c r="AY37" s="194">
        <v>15.87377777777778</v>
      </c>
      <c r="AZ37" s="194">
        <v>14.529344444444446</v>
      </c>
      <c r="BA37" s="194">
        <v>13.218233333333332</v>
      </c>
      <c r="BB37" s="194">
        <v>11.907122222222222</v>
      </c>
      <c r="BC37" s="194">
        <v>11.162677777777779</v>
      </c>
      <c r="BD37" s="194">
        <v>9.7960222222222217</v>
      </c>
      <c r="BE37" s="194">
        <v>9.0960222222222225</v>
      </c>
      <c r="BF37" s="194">
        <v>7.6500222222222227</v>
      </c>
      <c r="BG37" s="194">
        <v>6.0777999999999999</v>
      </c>
      <c r="BH37" s="194">
        <v>4.8611333333333331</v>
      </c>
      <c r="BI37" s="194">
        <v>3.5361333333333334</v>
      </c>
      <c r="BJ37" s="194">
        <v>2.1528</v>
      </c>
      <c r="BK37" s="194">
        <v>1.9028</v>
      </c>
      <c r="BL37" s="194">
        <v>1.9027888888888889</v>
      </c>
      <c r="BM37" s="194">
        <v>2.5694555555555554</v>
      </c>
      <c r="BN37" s="194">
        <v>2.2916777777777777</v>
      </c>
      <c r="BO37" s="194">
        <v>1.6250111111111112</v>
      </c>
      <c r="BP37" s="194">
        <v>1.625</v>
      </c>
      <c r="BQ37" s="194">
        <v>0.875</v>
      </c>
      <c r="BR37" s="194">
        <v>1.6666666666666667</v>
      </c>
      <c r="BS37" s="194">
        <v>3.4166666666666665</v>
      </c>
      <c r="BT37" s="194">
        <v>4.833333333333333</v>
      </c>
      <c r="BU37" s="163">
        <v>5.583333333333333</v>
      </c>
      <c r="BV37" s="163">
        <v>6.083333333333333</v>
      </c>
      <c r="BW37" s="163">
        <v>6.125</v>
      </c>
      <c r="BX37" s="163">
        <v>6.291666666666667</v>
      </c>
      <c r="BY37" s="163">
        <v>5.875</v>
      </c>
      <c r="BZ37" s="194">
        <f t="shared" ref="BZ37:DE37" si="51">SUM(BO35:BZ35)/12</f>
        <v>5.875</v>
      </c>
      <c r="CA37" s="194">
        <f t="shared" si="51"/>
        <v>5.958333333333333</v>
      </c>
      <c r="CB37" s="194">
        <f t="shared" si="51"/>
        <v>5.958333333333333</v>
      </c>
      <c r="CC37" s="194">
        <f t="shared" si="51"/>
        <v>5.958333333333333</v>
      </c>
      <c r="CD37" s="194">
        <f t="shared" si="51"/>
        <v>5.166666666666667</v>
      </c>
      <c r="CE37" s="194">
        <f t="shared" si="51"/>
        <v>3.4166666666666665</v>
      </c>
      <c r="CF37" s="194">
        <f t="shared" si="51"/>
        <v>2.25</v>
      </c>
      <c r="CG37" s="194">
        <f t="shared" si="51"/>
        <v>1.4583333333333333</v>
      </c>
      <c r="CH37" s="194">
        <f t="shared" si="51"/>
        <v>1.2916666666666667</v>
      </c>
      <c r="CI37" s="194">
        <f t="shared" si="51"/>
        <v>1.4166666666666667</v>
      </c>
      <c r="CJ37" s="194">
        <f t="shared" si="51"/>
        <v>1.4583333333333333</v>
      </c>
      <c r="CK37" s="194">
        <f t="shared" si="51"/>
        <v>1.125</v>
      </c>
      <c r="CL37" s="194">
        <f t="shared" si="51"/>
        <v>1.2083333333333333</v>
      </c>
      <c r="CM37" s="194">
        <f t="shared" si="51"/>
        <v>1.125</v>
      </c>
      <c r="CN37" s="194">
        <f t="shared" si="51"/>
        <v>1.125</v>
      </c>
      <c r="CO37" s="194">
        <f t="shared" si="51"/>
        <v>1.125</v>
      </c>
      <c r="CP37" s="194">
        <f t="shared" si="51"/>
        <v>1.125</v>
      </c>
      <c r="CQ37" s="194">
        <f t="shared" si="51"/>
        <v>1.1916666666666667</v>
      </c>
      <c r="CR37" s="194">
        <f t="shared" si="51"/>
        <v>2.1750000000000003</v>
      </c>
      <c r="CS37" s="194">
        <f t="shared" si="51"/>
        <v>2.1750000000000003</v>
      </c>
      <c r="CT37" s="194">
        <f t="shared" si="51"/>
        <v>2.3083333333333336</v>
      </c>
      <c r="CU37" s="194">
        <f t="shared" si="51"/>
        <v>2.1416666666666671</v>
      </c>
      <c r="CV37" s="194">
        <f t="shared" si="51"/>
        <v>5.2941666666666665</v>
      </c>
      <c r="CW37" s="194">
        <f t="shared" si="51"/>
        <v>10.671666666666667</v>
      </c>
      <c r="CX37" s="194">
        <f t="shared" si="51"/>
        <v>15.227500000000001</v>
      </c>
      <c r="CY37" s="194">
        <f t="shared" si="51"/>
        <v>18.754722222222224</v>
      </c>
      <c r="CZ37" s="194">
        <f t="shared" si="51"/>
        <v>23.95472222222222</v>
      </c>
      <c r="DA37" s="194">
        <f t="shared" si="51"/>
        <v>26.435555555555553</v>
      </c>
      <c r="DB37" s="194">
        <f t="shared" si="51"/>
        <v>26.696388888888887</v>
      </c>
      <c r="DC37" s="194">
        <f t="shared" si="51"/>
        <v>27.379722222222217</v>
      </c>
      <c r="DD37" s="194">
        <f t="shared" si="51"/>
        <v>26.646388888888882</v>
      </c>
      <c r="DE37" s="194">
        <f t="shared" si="51"/>
        <v>27.818888888888882</v>
      </c>
      <c r="DF37" s="194">
        <f t="shared" ref="DF37:EK37" si="52">SUM(CU35:DF35)/12</f>
        <v>29.113055555555551</v>
      </c>
      <c r="DG37" s="194">
        <f t="shared" si="52"/>
        <v>29.889722222222218</v>
      </c>
      <c r="DH37" s="194">
        <f t="shared" si="52"/>
        <v>27.941388888888891</v>
      </c>
      <c r="DI37" s="194">
        <f t="shared" si="52"/>
        <v>23.880555555555556</v>
      </c>
      <c r="DJ37" s="194">
        <f t="shared" si="52"/>
        <v>20.480555555555554</v>
      </c>
      <c r="DK37" s="194">
        <f t="shared" si="52"/>
        <v>19.211666666666666</v>
      </c>
      <c r="DL37" s="194">
        <f t="shared" si="52"/>
        <v>16.319999999999997</v>
      </c>
      <c r="DM37" s="194">
        <f t="shared" si="52"/>
        <v>16.2225</v>
      </c>
      <c r="DN37" s="194">
        <f t="shared" si="52"/>
        <v>16.57</v>
      </c>
      <c r="DO37" s="194">
        <f t="shared" si="52"/>
        <v>15.82</v>
      </c>
      <c r="DP37" s="194">
        <f t="shared" si="52"/>
        <v>16.653333333333332</v>
      </c>
      <c r="DQ37" s="194">
        <f t="shared" si="52"/>
        <v>17.37</v>
      </c>
      <c r="DR37" s="194">
        <f t="shared" si="52"/>
        <v>17.025833333333335</v>
      </c>
      <c r="DS37" s="194">
        <f t="shared" si="52"/>
        <v>16.940833333333334</v>
      </c>
      <c r="DT37" s="194">
        <f t="shared" si="52"/>
        <v>16.311666666666671</v>
      </c>
      <c r="DU37" s="194">
        <f t="shared" si="52"/>
        <v>15.961666666666668</v>
      </c>
      <c r="DV37" s="194">
        <f t="shared" si="52"/>
        <v>15.605833333333335</v>
      </c>
      <c r="DW37" s="194">
        <f t="shared" si="52"/>
        <v>13.514166666666666</v>
      </c>
      <c r="DX37" s="194">
        <f t="shared" si="52"/>
        <v>11.539166666666667</v>
      </c>
      <c r="DY37" s="194">
        <f t="shared" si="52"/>
        <v>9.3808333333333334</v>
      </c>
      <c r="DZ37" s="194">
        <f t="shared" si="52"/>
        <v>10.555833333333332</v>
      </c>
      <c r="EA37" s="194">
        <f t="shared" si="52"/>
        <v>10.589166666666666</v>
      </c>
      <c r="EB37" s="194">
        <f t="shared" si="52"/>
        <v>10.272499999999999</v>
      </c>
      <c r="EC37" s="194">
        <f t="shared" si="52"/>
        <v>9.65</v>
      </c>
      <c r="ED37" s="194">
        <f t="shared" si="52"/>
        <v>10.091666666666667</v>
      </c>
      <c r="EE37" s="194">
        <f t="shared" si="52"/>
        <v>9.4083333333333332</v>
      </c>
      <c r="EF37" s="194">
        <f t="shared" si="52"/>
        <v>9.8583333333333325</v>
      </c>
      <c r="EG37" s="194">
        <f t="shared" si="52"/>
        <v>10.191666666666665</v>
      </c>
      <c r="EH37" s="194">
        <f t="shared" si="52"/>
        <v>10.233333333333331</v>
      </c>
      <c r="EI37" s="194">
        <f t="shared" si="52"/>
        <v>15.074999999999998</v>
      </c>
      <c r="EJ37" s="194">
        <f t="shared" si="52"/>
        <v>19.234166666666663</v>
      </c>
      <c r="EK37" s="194">
        <f t="shared" si="52"/>
        <v>21.472499999999997</v>
      </c>
      <c r="EL37" s="194">
        <f t="shared" ref="EL37:EN37" si="53">SUM(EA35:EL35)/12</f>
        <v>21.018333333333331</v>
      </c>
      <c r="EM37" s="194">
        <f t="shared" si="53"/>
        <v>22.556666666666661</v>
      </c>
      <c r="EN37" s="194">
        <f t="shared" si="53"/>
        <v>24.037499999999998</v>
      </c>
      <c r="EO37" s="194">
        <f>SUM(ED35:EO35)/12</f>
        <v>26.025833333333335</v>
      </c>
      <c r="EP37" s="194">
        <f>SUM(EE35:EP35)/12</f>
        <v>26.694999999999997</v>
      </c>
      <c r="EQ37" s="194">
        <f>SUM(EF35:EQ35)/12</f>
        <v>29.200000000000003</v>
      </c>
      <c r="ER37" s="194">
        <f>SUM(EG35:ER35)/12</f>
        <v>27.966666666666669</v>
      </c>
    </row>
    <row r="38" spans="1:148" s="194" customFormat="1" x14ac:dyDescent="0.2">
      <c r="A38" s="222" t="s">
        <v>220</v>
      </c>
      <c r="B38" s="203"/>
      <c r="C38" s="203"/>
      <c r="D38" s="203"/>
      <c r="E38" s="203"/>
      <c r="F38" s="203"/>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c r="AG38" s="203"/>
      <c r="AH38" s="203"/>
      <c r="AI38" s="203"/>
      <c r="AJ38" s="203"/>
      <c r="AK38" s="203"/>
      <c r="AL38" s="203"/>
      <c r="AM38" s="203"/>
      <c r="AN38" s="203"/>
      <c r="AO38" s="203"/>
      <c r="AP38" s="203"/>
      <c r="AQ38" s="203"/>
      <c r="AR38" s="203"/>
      <c r="AS38" s="203"/>
      <c r="AT38" s="194">
        <v>0.52181999999999995</v>
      </c>
      <c r="AU38" s="194">
        <v>0.59256999999999993</v>
      </c>
      <c r="AV38" s="194">
        <v>0.6473199999999999</v>
      </c>
      <c r="AW38" s="194">
        <v>0.70881999999999989</v>
      </c>
      <c r="AX38" s="194">
        <v>0.75256999999999996</v>
      </c>
      <c r="AY38" s="194">
        <v>0.71431999999999995</v>
      </c>
      <c r="AZ38" s="194">
        <v>0.65382049999999992</v>
      </c>
      <c r="BA38" s="194">
        <v>0.59482049999999997</v>
      </c>
      <c r="BB38" s="194">
        <v>0.53582049999999992</v>
      </c>
      <c r="BC38" s="194">
        <v>0.50232049999999995</v>
      </c>
      <c r="BD38" s="194">
        <v>0.44082099999999996</v>
      </c>
      <c r="BE38" s="194">
        <v>0.40932099999999999</v>
      </c>
      <c r="BF38" s="194">
        <v>0.34425099999999997</v>
      </c>
      <c r="BG38" s="194">
        <v>0.27350099999999999</v>
      </c>
      <c r="BH38" s="194">
        <v>0.21875099999999997</v>
      </c>
      <c r="BI38" s="194">
        <v>0.15912600000000002</v>
      </c>
      <c r="BJ38" s="194">
        <v>9.6876000000000004E-2</v>
      </c>
      <c r="BK38" s="194">
        <v>8.5626000000000008E-2</v>
      </c>
      <c r="BL38" s="194">
        <v>8.5625500000000007E-2</v>
      </c>
      <c r="BM38" s="194">
        <v>0.11562550000000001</v>
      </c>
      <c r="BN38" s="194">
        <v>0.10312550000000001</v>
      </c>
      <c r="BO38" s="194">
        <v>7.3125499999999996E-2</v>
      </c>
      <c r="BP38" s="194">
        <v>7.3124999999999996E-2</v>
      </c>
      <c r="BQ38" s="194">
        <v>3.9375E-2</v>
      </c>
      <c r="BR38" s="194">
        <v>7.4999999999999997E-2</v>
      </c>
      <c r="BS38" s="194">
        <v>0.15375</v>
      </c>
      <c r="BT38" s="194">
        <v>0.2175</v>
      </c>
      <c r="BU38" s="163">
        <v>0.25124999999999997</v>
      </c>
      <c r="BV38" s="163">
        <v>0.27374999999999999</v>
      </c>
      <c r="BW38" s="163">
        <v>0.27562500000000001</v>
      </c>
      <c r="BX38" s="163">
        <f t="shared" ref="BX38:EI38" si="54">SUM(BM14:BX14)/2000</f>
        <v>0.28312500000000002</v>
      </c>
      <c r="BY38" s="163">
        <f t="shared" si="54"/>
        <v>0.26437500000000003</v>
      </c>
      <c r="BZ38" s="163">
        <f t="shared" si="54"/>
        <v>0.26437500000000003</v>
      </c>
      <c r="CA38" s="163">
        <f t="shared" si="54"/>
        <v>0.26437500000000003</v>
      </c>
      <c r="CB38" s="163">
        <f t="shared" si="54"/>
        <v>0.26437500000000003</v>
      </c>
      <c r="CC38" s="163">
        <f t="shared" si="54"/>
        <v>0.26437500000000003</v>
      </c>
      <c r="CD38" s="163">
        <f t="shared" si="54"/>
        <v>0.24374999999999999</v>
      </c>
      <c r="CE38" s="163">
        <f t="shared" si="54"/>
        <v>0.16500000000000001</v>
      </c>
      <c r="CF38" s="163">
        <f t="shared" si="54"/>
        <v>0.1125</v>
      </c>
      <c r="CG38" s="163">
        <f t="shared" si="54"/>
        <v>7.6874999999999999E-2</v>
      </c>
      <c r="CH38" s="163">
        <f t="shared" si="54"/>
        <v>6.9375000000000006E-2</v>
      </c>
      <c r="CI38" s="163">
        <f t="shared" si="54"/>
        <v>7.4999999999999997E-2</v>
      </c>
      <c r="CJ38" s="163">
        <f t="shared" si="54"/>
        <v>7.6874999999999999E-2</v>
      </c>
      <c r="CK38" s="194">
        <f t="shared" si="54"/>
        <v>6.1874999999999999E-2</v>
      </c>
      <c r="CL38" s="194">
        <f t="shared" si="54"/>
        <v>6.5625000000000003E-2</v>
      </c>
      <c r="CM38" s="194">
        <f t="shared" si="54"/>
        <v>6.5625000000000003E-2</v>
      </c>
      <c r="CN38" s="194">
        <f t="shared" si="54"/>
        <v>6.5625000000000003E-2</v>
      </c>
      <c r="CO38" s="194">
        <f t="shared" si="54"/>
        <v>6.5625000000000003E-2</v>
      </c>
      <c r="CP38" s="194">
        <f t="shared" si="54"/>
        <v>5.0625000000000003E-2</v>
      </c>
      <c r="CQ38" s="194">
        <f t="shared" si="54"/>
        <v>5.3624999999999999E-2</v>
      </c>
      <c r="CR38" s="194">
        <f t="shared" si="54"/>
        <v>9.7875000000000004E-2</v>
      </c>
      <c r="CS38" s="194">
        <f t="shared" si="54"/>
        <v>9.7875000000000004E-2</v>
      </c>
      <c r="CT38" s="194">
        <f t="shared" si="54"/>
        <v>0.103875</v>
      </c>
      <c r="CU38" s="194">
        <f t="shared" si="54"/>
        <v>9.6375000000000002E-2</v>
      </c>
      <c r="CV38" s="194">
        <f t="shared" si="54"/>
        <v>0.23823749999999999</v>
      </c>
      <c r="CW38" s="194">
        <f t="shared" si="54"/>
        <v>0.48022500000000001</v>
      </c>
      <c r="CX38" s="194">
        <f t="shared" si="54"/>
        <v>0.68523750000000005</v>
      </c>
      <c r="CY38" s="194">
        <f t="shared" si="54"/>
        <v>0.84396250000000006</v>
      </c>
      <c r="CZ38" s="194">
        <f t="shared" si="54"/>
        <v>1.0779625000000002</v>
      </c>
      <c r="DA38" s="194">
        <f t="shared" si="54"/>
        <v>1.1896000000000002</v>
      </c>
      <c r="DB38" s="194">
        <f t="shared" si="54"/>
        <v>1.2013375000000002</v>
      </c>
      <c r="DC38" s="194">
        <f t="shared" si="54"/>
        <v>1.2320875</v>
      </c>
      <c r="DD38" s="194">
        <f t="shared" si="54"/>
        <v>1.1990875000000001</v>
      </c>
      <c r="DE38" s="194">
        <f t="shared" si="54"/>
        <v>1.2518500000000001</v>
      </c>
      <c r="DF38" s="194">
        <f t="shared" si="54"/>
        <v>1.3100875000000001</v>
      </c>
      <c r="DG38" s="194">
        <f t="shared" si="54"/>
        <v>1.3450375000000001</v>
      </c>
      <c r="DH38" s="194">
        <f t="shared" si="54"/>
        <v>1.2573624999999999</v>
      </c>
      <c r="DI38" s="194">
        <f t="shared" si="54"/>
        <v>1.0746249999999999</v>
      </c>
      <c r="DJ38" s="194">
        <f t="shared" si="54"/>
        <v>0.92162500000000014</v>
      </c>
      <c r="DK38" s="194">
        <f t="shared" si="54"/>
        <v>0.8645250000000001</v>
      </c>
      <c r="DL38" s="194">
        <f t="shared" si="54"/>
        <v>0.73439999999999994</v>
      </c>
      <c r="DM38" s="194">
        <f t="shared" si="54"/>
        <v>0.73001249999999995</v>
      </c>
      <c r="DN38" s="194">
        <f t="shared" si="54"/>
        <v>0.74564999999999992</v>
      </c>
      <c r="DO38" s="194">
        <f t="shared" si="54"/>
        <v>0.71189999999999998</v>
      </c>
      <c r="DP38" s="194">
        <f t="shared" si="54"/>
        <v>0.74939999999999996</v>
      </c>
      <c r="DQ38" s="194">
        <f t="shared" si="54"/>
        <v>0.78164999999999996</v>
      </c>
      <c r="DR38" s="194">
        <f t="shared" si="54"/>
        <v>0.76616249999999997</v>
      </c>
      <c r="DS38" s="194">
        <f t="shared" si="54"/>
        <v>0.76233750000000011</v>
      </c>
      <c r="DT38" s="194">
        <f t="shared" si="54"/>
        <v>0.73402500000000004</v>
      </c>
      <c r="DU38" s="194">
        <f t="shared" si="54"/>
        <v>0.718275</v>
      </c>
      <c r="DV38" s="194">
        <f t="shared" si="54"/>
        <v>0.70226250000000001</v>
      </c>
      <c r="DW38" s="194">
        <f t="shared" si="54"/>
        <v>0.6081375</v>
      </c>
      <c r="DX38" s="194">
        <f t="shared" si="54"/>
        <v>0.51926250000000007</v>
      </c>
      <c r="DY38" s="194">
        <f t="shared" si="54"/>
        <v>0.4221375</v>
      </c>
      <c r="DZ38" s="194">
        <f t="shared" si="54"/>
        <v>0.4750125</v>
      </c>
      <c r="EA38" s="194">
        <f t="shared" si="54"/>
        <v>0.47651250000000001</v>
      </c>
      <c r="EB38" s="194">
        <f t="shared" si="54"/>
        <v>0.46226249999999997</v>
      </c>
      <c r="EC38" s="194">
        <f t="shared" si="54"/>
        <v>0.43425000000000002</v>
      </c>
      <c r="ED38" s="194">
        <f t="shared" si="54"/>
        <v>0.454125</v>
      </c>
      <c r="EE38" s="194">
        <f t="shared" si="54"/>
        <v>0.423375</v>
      </c>
      <c r="EF38" s="194">
        <f t="shared" si="54"/>
        <v>0.44362499999999999</v>
      </c>
      <c r="EG38" s="194">
        <f t="shared" si="54"/>
        <v>0.458625</v>
      </c>
      <c r="EH38" s="194">
        <f t="shared" si="54"/>
        <v>0.46050000000000002</v>
      </c>
      <c r="EI38" s="194">
        <f t="shared" si="54"/>
        <v>0.67837499999999995</v>
      </c>
      <c r="EJ38" s="194">
        <f t="shared" ref="EJ38:EN38" si="55">SUM(DY14:EJ14)/2000</f>
        <v>0.86553750000000007</v>
      </c>
      <c r="EK38" s="194">
        <f t="shared" si="55"/>
        <v>0.96626250000000002</v>
      </c>
      <c r="EL38" s="194">
        <f t="shared" si="55"/>
        <v>0.94582500000000003</v>
      </c>
      <c r="EM38" s="194">
        <f t="shared" si="55"/>
        <v>1.01505</v>
      </c>
      <c r="EN38" s="194">
        <f t="shared" si="55"/>
        <v>1.0816874999999999</v>
      </c>
      <c r="EO38" s="194">
        <f>SUM(ED14:EO14)/2000</f>
        <v>1.1711624999999999</v>
      </c>
      <c r="EP38" s="194">
        <f>SUM(EE14:EP14)/2000</f>
        <v>1.2012750000000001</v>
      </c>
      <c r="EQ38" s="194">
        <f>SUM(EF14:EQ14)/2000</f>
        <v>1.3140000000000001</v>
      </c>
      <c r="ER38" s="194">
        <f>SUM(EG14:ER14)/2000</f>
        <v>1.2585</v>
      </c>
    </row>
    <row r="39" spans="1:148" s="194" customFormat="1" x14ac:dyDescent="0.2">
      <c r="A39" s="222" t="s">
        <v>221</v>
      </c>
      <c r="B39" s="203"/>
      <c r="C39" s="203"/>
      <c r="D39" s="203"/>
      <c r="E39" s="203"/>
      <c r="F39" s="203"/>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c r="AG39" s="203"/>
      <c r="AH39" s="203"/>
      <c r="AI39" s="203"/>
      <c r="AJ39" s="203"/>
      <c r="AK39" s="203"/>
      <c r="AL39" s="203"/>
      <c r="AM39" s="203"/>
      <c r="AN39" s="203"/>
      <c r="AO39" s="203"/>
      <c r="AP39" s="203"/>
      <c r="AQ39" s="203"/>
      <c r="AR39" s="203"/>
      <c r="AS39" s="203"/>
      <c r="AT39" s="194">
        <v>139.15200000000002</v>
      </c>
      <c r="AU39" s="194">
        <v>158.01866666666669</v>
      </c>
      <c r="AV39" s="194">
        <v>172.61866666666668</v>
      </c>
      <c r="AW39" s="194">
        <v>189.01866666666669</v>
      </c>
      <c r="AX39" s="194">
        <v>200.68533333333335</v>
      </c>
      <c r="AY39" s="194">
        <v>190.48533333333336</v>
      </c>
      <c r="AZ39" s="194">
        <v>174.35213333333334</v>
      </c>
      <c r="BA39" s="194">
        <v>158.61879999999999</v>
      </c>
      <c r="BB39" s="194">
        <v>142.88546666666667</v>
      </c>
      <c r="BC39" s="194">
        <f>SUM(AR35:BC35)</f>
        <v>133.95213333333334</v>
      </c>
      <c r="BD39" s="194">
        <v>117.55226666666665</v>
      </c>
      <c r="BE39" s="194">
        <v>109.15226666666668</v>
      </c>
      <c r="BF39" s="194">
        <v>91.800266666666673</v>
      </c>
      <c r="BG39" s="194">
        <v>72.933599999999998</v>
      </c>
      <c r="BH39" s="194">
        <v>58.333599999999997</v>
      </c>
      <c r="BI39" s="194">
        <v>42.433599999999998</v>
      </c>
      <c r="BJ39" s="194">
        <v>25.833600000000001</v>
      </c>
      <c r="BK39" s="194">
        <v>22.833600000000001</v>
      </c>
      <c r="BL39" s="194">
        <v>22.833466666666666</v>
      </c>
      <c r="BM39" s="194">
        <v>30.833466666666666</v>
      </c>
      <c r="BN39" s="194">
        <v>27.500133333333334</v>
      </c>
      <c r="BO39" s="194">
        <v>19.500133333333334</v>
      </c>
      <c r="BP39" s="194">
        <v>19.5</v>
      </c>
      <c r="BQ39" s="194">
        <v>10.5</v>
      </c>
      <c r="BR39" s="194">
        <v>20</v>
      </c>
      <c r="BS39" s="194">
        <v>41</v>
      </c>
      <c r="BT39" s="194">
        <v>58</v>
      </c>
      <c r="BU39" s="163">
        <v>67</v>
      </c>
      <c r="BV39" s="163">
        <v>73</v>
      </c>
      <c r="BW39" s="163">
        <v>73.5</v>
      </c>
      <c r="BX39" s="163">
        <f t="shared" ref="BX39:EI39" si="56">SUM(BM35:BX35)</f>
        <v>75.5</v>
      </c>
      <c r="BY39" s="163">
        <f t="shared" si="56"/>
        <v>70.5</v>
      </c>
      <c r="BZ39" s="163">
        <f t="shared" si="56"/>
        <v>70.5</v>
      </c>
      <c r="CA39" s="163">
        <f t="shared" si="56"/>
        <v>71.5</v>
      </c>
      <c r="CB39" s="163">
        <f t="shared" si="56"/>
        <v>71.5</v>
      </c>
      <c r="CC39" s="163">
        <f t="shared" si="56"/>
        <v>71.5</v>
      </c>
      <c r="CD39" s="163">
        <f t="shared" si="56"/>
        <v>62</v>
      </c>
      <c r="CE39" s="163">
        <f t="shared" si="56"/>
        <v>41</v>
      </c>
      <c r="CF39" s="163">
        <f t="shared" si="56"/>
        <v>27</v>
      </c>
      <c r="CG39" s="163">
        <f t="shared" si="56"/>
        <v>17.5</v>
      </c>
      <c r="CH39" s="163">
        <f t="shared" si="56"/>
        <v>15.5</v>
      </c>
      <c r="CI39" s="163">
        <f t="shared" si="56"/>
        <v>17</v>
      </c>
      <c r="CJ39" s="163">
        <f t="shared" si="56"/>
        <v>17.5</v>
      </c>
      <c r="CK39" s="194">
        <f t="shared" si="56"/>
        <v>13.5</v>
      </c>
      <c r="CL39" s="194">
        <f t="shared" si="56"/>
        <v>14.5</v>
      </c>
      <c r="CM39" s="194">
        <f t="shared" si="56"/>
        <v>13.5</v>
      </c>
      <c r="CN39" s="194">
        <f t="shared" si="56"/>
        <v>13.5</v>
      </c>
      <c r="CO39" s="194">
        <f t="shared" si="56"/>
        <v>13.5</v>
      </c>
      <c r="CP39" s="194">
        <f t="shared" si="56"/>
        <v>13.5</v>
      </c>
      <c r="CQ39" s="194">
        <f t="shared" si="56"/>
        <v>14.3</v>
      </c>
      <c r="CR39" s="194">
        <f t="shared" si="56"/>
        <v>26.1</v>
      </c>
      <c r="CS39" s="194">
        <f t="shared" si="56"/>
        <v>26.1</v>
      </c>
      <c r="CT39" s="194">
        <f t="shared" si="56"/>
        <v>27.700000000000003</v>
      </c>
      <c r="CU39" s="194">
        <f t="shared" si="56"/>
        <v>25.700000000000003</v>
      </c>
      <c r="CV39" s="194">
        <f t="shared" si="56"/>
        <v>63.53</v>
      </c>
      <c r="CW39" s="194">
        <f t="shared" si="56"/>
        <v>128.06</v>
      </c>
      <c r="CX39" s="194">
        <f t="shared" si="56"/>
        <v>182.73000000000002</v>
      </c>
      <c r="CY39" s="194">
        <f t="shared" si="56"/>
        <v>225.05666666666667</v>
      </c>
      <c r="CZ39" s="194">
        <f t="shared" si="56"/>
        <v>287.45666666666665</v>
      </c>
      <c r="DA39" s="194">
        <f t="shared" si="56"/>
        <v>317.22666666666663</v>
      </c>
      <c r="DB39" s="194">
        <f t="shared" si="56"/>
        <v>320.35666666666663</v>
      </c>
      <c r="DC39" s="194">
        <f t="shared" si="56"/>
        <v>328.55666666666662</v>
      </c>
      <c r="DD39" s="194">
        <f t="shared" si="56"/>
        <v>319.7566666666666</v>
      </c>
      <c r="DE39" s="194">
        <f t="shared" si="56"/>
        <v>333.8266666666666</v>
      </c>
      <c r="DF39" s="194">
        <f t="shared" si="56"/>
        <v>349.35666666666663</v>
      </c>
      <c r="DG39" s="194">
        <f t="shared" si="56"/>
        <v>358.67666666666662</v>
      </c>
      <c r="DH39" s="194">
        <f t="shared" si="56"/>
        <v>335.29666666666668</v>
      </c>
      <c r="DI39" s="194">
        <f t="shared" si="56"/>
        <v>286.56666666666666</v>
      </c>
      <c r="DJ39" s="194">
        <f t="shared" si="56"/>
        <v>245.76666666666665</v>
      </c>
      <c r="DK39" s="194">
        <f t="shared" si="56"/>
        <v>230.54</v>
      </c>
      <c r="DL39" s="194">
        <f t="shared" si="56"/>
        <v>195.83999999999997</v>
      </c>
      <c r="DM39" s="194">
        <f t="shared" si="56"/>
        <v>194.67</v>
      </c>
      <c r="DN39" s="194">
        <f t="shared" si="56"/>
        <v>198.84</v>
      </c>
      <c r="DO39" s="194">
        <f t="shared" si="56"/>
        <v>189.84</v>
      </c>
      <c r="DP39" s="194">
        <f t="shared" si="56"/>
        <v>199.84</v>
      </c>
      <c r="DQ39" s="194">
        <f t="shared" si="56"/>
        <v>208.44</v>
      </c>
      <c r="DR39" s="194">
        <f t="shared" si="56"/>
        <v>204.31</v>
      </c>
      <c r="DS39" s="194">
        <f t="shared" si="56"/>
        <v>203.29000000000002</v>
      </c>
      <c r="DT39" s="194">
        <f t="shared" si="56"/>
        <v>195.74000000000004</v>
      </c>
      <c r="DU39" s="194">
        <f t="shared" si="56"/>
        <v>191.54000000000002</v>
      </c>
      <c r="DV39" s="194">
        <f t="shared" si="56"/>
        <v>187.27</v>
      </c>
      <c r="DW39" s="194">
        <f t="shared" si="56"/>
        <v>162.16999999999999</v>
      </c>
      <c r="DX39" s="194">
        <f t="shared" si="56"/>
        <v>138.47</v>
      </c>
      <c r="DY39" s="194">
        <f t="shared" si="56"/>
        <v>112.57</v>
      </c>
      <c r="DZ39" s="194">
        <f t="shared" si="56"/>
        <v>126.66999999999999</v>
      </c>
      <c r="EA39" s="194">
        <f t="shared" si="56"/>
        <v>127.07</v>
      </c>
      <c r="EB39" s="194">
        <f t="shared" si="56"/>
        <v>123.27</v>
      </c>
      <c r="EC39" s="194">
        <f t="shared" si="56"/>
        <v>115.80000000000001</v>
      </c>
      <c r="ED39" s="194">
        <f t="shared" si="56"/>
        <v>121.10000000000001</v>
      </c>
      <c r="EE39" s="194">
        <f t="shared" si="56"/>
        <v>112.89999999999999</v>
      </c>
      <c r="EF39" s="194">
        <f t="shared" si="56"/>
        <v>118.29999999999998</v>
      </c>
      <c r="EG39" s="194">
        <f t="shared" si="56"/>
        <v>122.29999999999998</v>
      </c>
      <c r="EH39" s="194">
        <f t="shared" si="56"/>
        <v>122.79999999999997</v>
      </c>
      <c r="EI39" s="194">
        <f t="shared" si="56"/>
        <v>180.89999999999998</v>
      </c>
      <c r="EJ39" s="194">
        <f t="shared" ref="EJ39:EN39" si="57">SUM(DY35:EJ35)</f>
        <v>230.80999999999997</v>
      </c>
      <c r="EK39" s="194">
        <f t="shared" si="57"/>
        <v>257.66999999999996</v>
      </c>
      <c r="EL39" s="194">
        <f t="shared" si="57"/>
        <v>252.21999999999997</v>
      </c>
      <c r="EM39" s="194">
        <f t="shared" si="57"/>
        <v>270.67999999999995</v>
      </c>
      <c r="EN39" s="194">
        <f t="shared" si="57"/>
        <v>288.45</v>
      </c>
      <c r="EO39" s="194">
        <f>SUM(ED35:EO35)</f>
        <v>312.31</v>
      </c>
      <c r="EP39" s="194">
        <f>SUM(EE35:EP35)</f>
        <v>320.33999999999997</v>
      </c>
      <c r="EQ39" s="194">
        <f>SUM(EF35:EQ35)</f>
        <v>350.40000000000003</v>
      </c>
      <c r="ER39" s="194">
        <f>SUM(EG35:ER35)</f>
        <v>335.6</v>
      </c>
    </row>
    <row r="40" spans="1:148" s="170" customFormat="1" x14ac:dyDescent="0.2">
      <c r="A40" s="222" t="s">
        <v>222</v>
      </c>
      <c r="BU40" s="122">
        <f t="shared" ref="BU40:CZ40" si="58">SUM(BJ35:BU35)/SUM(BJ36:BU36)</f>
        <v>9.5714285714285712</v>
      </c>
      <c r="BV40" s="122">
        <f t="shared" si="58"/>
        <v>10.428571428571429</v>
      </c>
      <c r="BW40" s="122">
        <f t="shared" si="58"/>
        <v>9.1875</v>
      </c>
      <c r="BX40" s="122">
        <f t="shared" si="58"/>
        <v>8.3888888888888893</v>
      </c>
      <c r="BY40" s="122">
        <f t="shared" si="58"/>
        <v>7.833333333333333</v>
      </c>
      <c r="BZ40" s="122">
        <f t="shared" si="58"/>
        <v>7.833333333333333</v>
      </c>
      <c r="CA40" s="122">
        <f t="shared" si="58"/>
        <v>7.15</v>
      </c>
      <c r="CB40" s="122">
        <f t="shared" si="58"/>
        <v>7.15</v>
      </c>
      <c r="CC40" s="122">
        <f t="shared" si="58"/>
        <v>7.9444444444444446</v>
      </c>
      <c r="CD40" s="122">
        <f t="shared" si="58"/>
        <v>8.8571428571428577</v>
      </c>
      <c r="CE40" s="122">
        <f t="shared" si="58"/>
        <v>8.1999999999999993</v>
      </c>
      <c r="CF40" s="122">
        <f t="shared" si="58"/>
        <v>5.4</v>
      </c>
      <c r="CG40" s="122">
        <f t="shared" si="58"/>
        <v>3.5</v>
      </c>
      <c r="CH40" s="122">
        <f t="shared" si="58"/>
        <v>1.9375</v>
      </c>
      <c r="CI40" s="122">
        <f t="shared" si="58"/>
        <v>2.4285714285714284</v>
      </c>
      <c r="CJ40" s="122">
        <f t="shared" si="58"/>
        <v>2.5</v>
      </c>
      <c r="CK40" s="122">
        <f t="shared" si="58"/>
        <v>2.25</v>
      </c>
      <c r="CL40" s="122">
        <f t="shared" si="58"/>
        <v>2.0714285714285716</v>
      </c>
      <c r="CM40" s="122">
        <f t="shared" si="58"/>
        <v>2.25</v>
      </c>
      <c r="CN40" s="122">
        <f t="shared" si="58"/>
        <v>2.25</v>
      </c>
      <c r="CO40" s="122">
        <f t="shared" si="58"/>
        <v>2.25</v>
      </c>
      <c r="CP40" s="122">
        <f t="shared" si="58"/>
        <v>2.25</v>
      </c>
      <c r="CQ40" s="122">
        <f t="shared" si="58"/>
        <v>2.3833333333333333</v>
      </c>
      <c r="CR40" s="122">
        <f t="shared" si="58"/>
        <v>4.3500000000000005</v>
      </c>
      <c r="CS40" s="122">
        <f t="shared" si="58"/>
        <v>4.3500000000000005</v>
      </c>
      <c r="CT40" s="122">
        <f t="shared" si="58"/>
        <v>5.5400000000000009</v>
      </c>
      <c r="CU40" s="122">
        <f t="shared" si="58"/>
        <v>4.2833333333333341</v>
      </c>
      <c r="CV40" s="122">
        <f t="shared" si="58"/>
        <v>6.3529999999999998</v>
      </c>
      <c r="CW40" s="122">
        <f t="shared" si="58"/>
        <v>12.806000000000001</v>
      </c>
      <c r="CX40" s="122">
        <f t="shared" si="58"/>
        <v>16.611818181818183</v>
      </c>
      <c r="CY40" s="122">
        <f t="shared" si="58"/>
        <v>16.075476190476191</v>
      </c>
      <c r="CZ40" s="122">
        <f t="shared" si="58"/>
        <v>19.163777777777778</v>
      </c>
      <c r="DA40" s="122">
        <f t="shared" ref="DA40:EF40" si="59">SUM(CP35:DA35)/SUM(CP36:DA36)</f>
        <v>19.826666666666664</v>
      </c>
      <c r="DB40" s="122">
        <f t="shared" si="59"/>
        <v>20.022291666666664</v>
      </c>
      <c r="DC40" s="122">
        <f t="shared" si="59"/>
        <v>19.326862745098037</v>
      </c>
      <c r="DD40" s="122">
        <f t="shared" si="59"/>
        <v>19.984791666666663</v>
      </c>
      <c r="DE40" s="122">
        <f t="shared" si="59"/>
        <v>19.636862745098036</v>
      </c>
      <c r="DF40" s="122">
        <f t="shared" si="59"/>
        <v>23.290444444444443</v>
      </c>
      <c r="DG40" s="122">
        <f t="shared" si="59"/>
        <v>23.911777777777775</v>
      </c>
      <c r="DH40" s="122">
        <f t="shared" si="59"/>
        <v>33.529666666666671</v>
      </c>
      <c r="DI40" s="122">
        <f t="shared" si="59"/>
        <v>23.880555555555556</v>
      </c>
      <c r="DJ40" s="122">
        <f t="shared" si="59"/>
        <v>24.576666666666664</v>
      </c>
      <c r="DK40" s="122">
        <f t="shared" si="59"/>
        <v>23.053999999999998</v>
      </c>
      <c r="DL40" s="122">
        <f t="shared" si="59"/>
        <v>15.064615384615383</v>
      </c>
      <c r="DM40" s="122">
        <f t="shared" si="59"/>
        <v>14.974615384615383</v>
      </c>
      <c r="DN40" s="122">
        <f t="shared" si="59"/>
        <v>15.295384615384616</v>
      </c>
      <c r="DO40" s="122">
        <f t="shared" si="59"/>
        <v>15.82</v>
      </c>
      <c r="DP40" s="122">
        <f t="shared" si="59"/>
        <v>13.322666666666667</v>
      </c>
      <c r="DQ40" s="122">
        <f t="shared" si="59"/>
        <v>13.895999999999999</v>
      </c>
      <c r="DR40" s="122">
        <f t="shared" si="59"/>
        <v>13.620666666666667</v>
      </c>
      <c r="DS40" s="122">
        <f t="shared" si="59"/>
        <v>13.552666666666669</v>
      </c>
      <c r="DT40" s="122">
        <f t="shared" si="59"/>
        <v>10.874444444444446</v>
      </c>
      <c r="DU40" s="122">
        <f t="shared" si="59"/>
        <v>11.267058823529412</v>
      </c>
      <c r="DV40" s="122">
        <f t="shared" si="59"/>
        <v>10.40388888888889</v>
      </c>
      <c r="DW40" s="122">
        <f t="shared" si="59"/>
        <v>10.811333333333332</v>
      </c>
      <c r="DX40" s="122">
        <f t="shared" si="59"/>
        <v>11.539166666666667</v>
      </c>
      <c r="DY40" s="122">
        <f t="shared" si="59"/>
        <v>10.233636363636363</v>
      </c>
      <c r="DZ40" s="122">
        <f t="shared" si="59"/>
        <v>10.555833333333332</v>
      </c>
      <c r="EA40" s="122">
        <f t="shared" si="59"/>
        <v>10.589166666666666</v>
      </c>
      <c r="EB40" s="122">
        <f t="shared" si="59"/>
        <v>11.206363636363635</v>
      </c>
      <c r="EC40" s="122">
        <f t="shared" si="59"/>
        <v>9.65</v>
      </c>
      <c r="ED40" s="122">
        <f t="shared" si="59"/>
        <v>8.65</v>
      </c>
      <c r="EE40" s="122">
        <f t="shared" si="59"/>
        <v>8.684615384615384</v>
      </c>
      <c r="EF40" s="122">
        <f t="shared" si="59"/>
        <v>9.8583333333333325</v>
      </c>
      <c r="EG40" s="122">
        <f t="shared" ref="EG40:EN40" si="60">SUM(DV35:EG35)/SUM(DV36:EG36)</f>
        <v>8.1533333333333324</v>
      </c>
      <c r="EH40" s="122">
        <f t="shared" si="60"/>
        <v>8.1866666666666639</v>
      </c>
      <c r="EI40" s="122">
        <f t="shared" si="60"/>
        <v>10.641176470588235</v>
      </c>
      <c r="EJ40" s="170">
        <f t="shared" si="60"/>
        <v>12.822777777777777</v>
      </c>
      <c r="EK40" s="170">
        <f t="shared" si="60"/>
        <v>13.561578947368419</v>
      </c>
      <c r="EL40" s="170">
        <f t="shared" si="60"/>
        <v>14.012222222222221</v>
      </c>
      <c r="EM40" s="170">
        <f t="shared" si="60"/>
        <v>13.533999999999997</v>
      </c>
      <c r="EN40" s="170">
        <f t="shared" si="60"/>
        <v>12.018749999999999</v>
      </c>
      <c r="EO40" s="170">
        <f>SUM(ED35:EO35)/SUM(ED36:EO36)</f>
        <v>10.769310344827586</v>
      </c>
      <c r="EP40" s="170">
        <f>SUM(EE35:EP35)/SUM(EE36:EP36)</f>
        <v>10.010624999999999</v>
      </c>
      <c r="EQ40" s="170">
        <f>SUM(EF35:EQ35)/SUM(EF36:EQ36)</f>
        <v>10.305882352941177</v>
      </c>
      <c r="ER40" s="170">
        <f>SUM(EG35:ER35)/SUM(EG36:ER36)</f>
        <v>10.16969696969697</v>
      </c>
    </row>
    <row r="41" spans="1:148" x14ac:dyDescent="0.2">
      <c r="A41" s="224" t="s">
        <v>223</v>
      </c>
      <c r="B41" s="203"/>
      <c r="C41" s="203"/>
      <c r="D41" s="203"/>
      <c r="E41" s="203"/>
      <c r="F41" s="203"/>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c r="AG41" s="203"/>
      <c r="AH41" s="203"/>
      <c r="AI41" s="203"/>
      <c r="AJ41" s="203"/>
      <c r="AK41" s="203"/>
      <c r="AL41" s="203"/>
      <c r="AM41" s="203"/>
      <c r="AN41" s="203"/>
      <c r="AO41" s="203"/>
      <c r="AP41" s="203"/>
      <c r="AQ41" s="203"/>
      <c r="AR41" s="203"/>
      <c r="AS41" s="203"/>
      <c r="AT41" s="203"/>
      <c r="AU41" s="203"/>
      <c r="AV41" s="203"/>
      <c r="AW41" s="203"/>
      <c r="AX41" s="220"/>
      <c r="AY41" s="220"/>
      <c r="AZ41" s="220"/>
      <c r="BA41" s="220"/>
      <c r="BB41" s="220"/>
      <c r="BC41" s="214"/>
      <c r="BD41" s="220"/>
      <c r="BE41" s="220"/>
      <c r="BF41" s="220"/>
      <c r="BG41" s="220"/>
      <c r="BH41" s="220"/>
      <c r="BI41" s="220"/>
      <c r="BJ41" s="220"/>
      <c r="BK41" s="220"/>
      <c r="BL41" s="225"/>
      <c r="BM41" s="225"/>
      <c r="BN41" s="225"/>
      <c r="BO41" s="225"/>
      <c r="BP41" s="225"/>
      <c r="BQ41" s="225"/>
      <c r="BR41" s="225"/>
      <c r="BS41" s="225"/>
      <c r="BT41" s="225"/>
      <c r="BU41" s="225"/>
      <c r="BV41" s="225"/>
      <c r="BW41" s="225"/>
      <c r="BX41" s="225"/>
      <c r="BY41" s="225"/>
      <c r="BZ41" s="225"/>
      <c r="CA41" s="225"/>
      <c r="CB41" s="225"/>
      <c r="CC41" s="225"/>
      <c r="CD41" s="225"/>
      <c r="CE41" s="225"/>
      <c r="CF41" s="225"/>
      <c r="CG41" s="225"/>
      <c r="CH41" s="225"/>
      <c r="CI41" s="225"/>
      <c r="CJ41" s="225"/>
      <c r="CK41" s="225"/>
      <c r="CL41" s="225"/>
      <c r="CM41" s="225"/>
      <c r="CN41" s="225"/>
      <c r="CO41" s="225"/>
      <c r="CP41" s="225"/>
      <c r="CQ41" s="225"/>
      <c r="CR41" s="225"/>
      <c r="CS41" s="225"/>
      <c r="CT41" s="225"/>
      <c r="CU41" s="225"/>
      <c r="CV41" s="225"/>
      <c r="CW41" s="225"/>
      <c r="CX41" s="225"/>
      <c r="CY41" s="225"/>
      <c r="CZ41" s="225"/>
      <c r="DA41" s="225"/>
      <c r="DB41" s="225"/>
      <c r="DC41" s="225"/>
      <c r="DD41" s="225"/>
      <c r="DE41" s="225"/>
      <c r="DF41" s="225"/>
      <c r="DG41" s="225"/>
      <c r="DH41" s="225"/>
      <c r="DI41" s="225"/>
      <c r="DJ41" s="225"/>
      <c r="DK41" s="225"/>
      <c r="DL41" s="225"/>
      <c r="DM41" s="225"/>
      <c r="DN41" s="225"/>
      <c r="DO41" s="225"/>
      <c r="DP41" s="225"/>
      <c r="DQ41" s="225"/>
      <c r="DR41" s="225"/>
      <c r="DS41" s="225"/>
      <c r="DT41" s="225"/>
      <c r="DU41" s="225"/>
      <c r="DV41" s="225"/>
      <c r="DW41" s="225"/>
      <c r="DX41" s="225"/>
      <c r="DY41" s="225"/>
      <c r="DZ41" s="225"/>
      <c r="EA41" s="225"/>
      <c r="EB41" s="225"/>
      <c r="EC41" s="225"/>
      <c r="ED41" s="225"/>
      <c r="EE41" s="225"/>
      <c r="EF41" s="225"/>
      <c r="EG41" s="225"/>
      <c r="EH41" s="225"/>
      <c r="EI41" s="225"/>
      <c r="EJ41" s="145"/>
      <c r="EK41" s="145"/>
      <c r="EL41" s="145"/>
      <c r="EM41" s="145"/>
      <c r="EN41" s="145"/>
      <c r="EO41" s="145"/>
      <c r="EP41" s="145"/>
      <c r="EQ41" s="145"/>
      <c r="ER41" s="145"/>
    </row>
    <row r="42" spans="1:148" ht="15" x14ac:dyDescent="0.25">
      <c r="A42" s="226" t="s">
        <v>224</v>
      </c>
      <c r="B42" s="227"/>
      <c r="C42" s="227"/>
      <c r="D42" s="227"/>
      <c r="E42" s="227"/>
      <c r="F42" s="227"/>
      <c r="G42" s="227"/>
      <c r="H42" s="227"/>
      <c r="I42" s="227"/>
      <c r="J42" s="227"/>
      <c r="K42" s="227"/>
      <c r="L42" s="227"/>
      <c r="M42" s="227"/>
      <c r="N42" s="203"/>
      <c r="O42" s="203"/>
      <c r="P42" s="203"/>
      <c r="Q42" s="203"/>
      <c r="R42" s="203"/>
      <c r="S42" s="203"/>
      <c r="T42" s="203"/>
      <c r="U42" s="203"/>
      <c r="V42" s="203"/>
      <c r="W42" s="203"/>
      <c r="X42" s="203"/>
      <c r="Y42" s="203"/>
      <c r="Z42" s="227"/>
      <c r="AA42" s="227"/>
      <c r="AB42" s="227"/>
      <c r="AC42" s="227"/>
      <c r="AD42" s="227"/>
      <c r="AE42" s="227"/>
      <c r="AF42" s="227"/>
      <c r="AG42" s="227"/>
      <c r="AH42" s="227"/>
      <c r="AI42" s="227"/>
      <c r="AJ42" s="227"/>
      <c r="AK42" s="227"/>
      <c r="AL42" s="227"/>
      <c r="AM42" s="227"/>
      <c r="AN42" s="227"/>
      <c r="AO42" s="227"/>
      <c r="AP42" s="227"/>
      <c r="AQ42" s="227"/>
      <c r="AR42" s="227"/>
      <c r="AS42" s="227"/>
      <c r="AT42" s="227"/>
      <c r="AU42" s="227"/>
      <c r="AV42" s="227"/>
      <c r="AW42" s="227"/>
      <c r="AX42" s="194">
        <v>0</v>
      </c>
      <c r="AY42" s="194">
        <v>2.7103576316895017</v>
      </c>
      <c r="AZ42" s="194">
        <v>2.7103576316895017</v>
      </c>
      <c r="BA42" s="194">
        <v>2.7103576316895017</v>
      </c>
      <c r="BB42" s="194">
        <v>2.7103576316895017</v>
      </c>
      <c r="BC42" s="194">
        <v>2.7103576316895017</v>
      </c>
      <c r="BD42" s="194">
        <v>2.7103576316895017</v>
      </c>
      <c r="BE42" s="194">
        <v>2.7103576316895017</v>
      </c>
      <c r="BF42" s="194">
        <v>2.7103576316895017</v>
      </c>
      <c r="BG42" s="194">
        <v>2.7103576316895017</v>
      </c>
      <c r="BH42" s="194">
        <v>2.7103576316895017</v>
      </c>
      <c r="BI42" s="163">
        <v>2.4547398141491938</v>
      </c>
      <c r="BJ42" s="163">
        <v>5.1331882694328392</v>
      </c>
      <c r="BK42" s="163">
        <v>2.5707030088664831</v>
      </c>
      <c r="BL42" s="163">
        <v>2.5856085287848689</v>
      </c>
      <c r="BM42" s="163">
        <v>5.1823722127420799</v>
      </c>
      <c r="BN42" s="163">
        <v>5.2111988141395988</v>
      </c>
      <c r="BO42" s="163">
        <v>5.2617372256859074</v>
      </c>
      <c r="BP42" s="163">
        <v>5.3583015898616653</v>
      </c>
      <c r="BQ42" s="163">
        <v>5.4084370536349304</v>
      </c>
      <c r="BR42" s="163">
        <v>5.4483524114203457</v>
      </c>
      <c r="BS42" s="163">
        <v>5.4781808166707613</v>
      </c>
      <c r="BT42" s="228">
        <v>5.4949025163081844</v>
      </c>
      <c r="BU42" s="228">
        <v>5.5591813771871204</v>
      </c>
      <c r="BV42" s="228">
        <v>2.770334811583989</v>
      </c>
      <c r="BW42" s="228">
        <v>5.5853799329028302</v>
      </c>
      <c r="BX42" s="228">
        <v>5.5760755134450326</v>
      </c>
      <c r="BY42" s="228">
        <v>2.7837458195097149</v>
      </c>
      <c r="BZ42" s="228">
        <v>2.7907100054628144</v>
      </c>
      <c r="CA42" s="228">
        <v>2.6852828374846687</v>
      </c>
      <c r="CB42" s="228">
        <v>2.7750682319901538</v>
      </c>
      <c r="CC42" s="228">
        <v>2.775464890369137</v>
      </c>
      <c r="CD42" s="228">
        <v>2.786594252370695</v>
      </c>
      <c r="CE42" s="228">
        <v>2.7916799562264583</v>
      </c>
      <c r="CF42" s="228">
        <f t="shared" ref="CF42:CY42" si="61">SUM(BU21:CF21)/SUM(BU23:CF23)*200000</f>
        <v>2.8078470902631585</v>
      </c>
      <c r="CG42" s="228">
        <f t="shared" si="61"/>
        <v>2.8240450491666245</v>
      </c>
      <c r="CH42" s="228">
        <f t="shared" si="61"/>
        <v>2.850576350905949</v>
      </c>
      <c r="CI42" s="228">
        <f t="shared" si="61"/>
        <v>0</v>
      </c>
      <c r="CJ42" s="228">
        <f t="shared" si="61"/>
        <v>0</v>
      </c>
      <c r="CK42" s="129">
        <f t="shared" si="61"/>
        <v>0</v>
      </c>
      <c r="CL42" s="129">
        <f t="shared" si="61"/>
        <v>0</v>
      </c>
      <c r="CM42" s="129">
        <f t="shared" si="61"/>
        <v>0</v>
      </c>
      <c r="CN42" s="129">
        <f t="shared" si="61"/>
        <v>0</v>
      </c>
      <c r="CO42" s="129">
        <f t="shared" si="61"/>
        <v>0</v>
      </c>
      <c r="CP42" s="129">
        <f t="shared" si="61"/>
        <v>0</v>
      </c>
      <c r="CQ42" s="194">
        <f t="shared" si="61"/>
        <v>3.1032361322195814</v>
      </c>
      <c r="CR42" s="194">
        <f t="shared" si="61"/>
        <v>3.1285244783576496</v>
      </c>
      <c r="CS42" s="194">
        <f t="shared" si="61"/>
        <v>3.2943827479764245</v>
      </c>
      <c r="CT42" s="194">
        <f t="shared" si="61"/>
        <v>3.3190117974274336</v>
      </c>
      <c r="CU42" s="194">
        <f t="shared" si="61"/>
        <v>3.3536227509767418</v>
      </c>
      <c r="CV42" s="194">
        <f t="shared" si="61"/>
        <v>3.3821484455392077</v>
      </c>
      <c r="CW42" s="194">
        <f t="shared" si="61"/>
        <v>3.4129279321018466</v>
      </c>
      <c r="CX42" s="194">
        <f t="shared" si="61"/>
        <v>3.3069297042645838</v>
      </c>
      <c r="CY42" s="194">
        <f t="shared" si="61"/>
        <v>6.9436235056237283</v>
      </c>
      <c r="CZ42" s="225"/>
      <c r="DA42" s="225"/>
      <c r="DB42" s="225"/>
      <c r="DC42" s="225"/>
      <c r="DD42" s="225"/>
      <c r="DE42" s="225"/>
      <c r="DF42" s="225"/>
      <c r="DG42" s="225"/>
      <c r="DH42" s="225"/>
      <c r="DI42" s="225"/>
      <c r="DJ42" s="225"/>
      <c r="DK42" s="225"/>
      <c r="DL42" s="225"/>
      <c r="DM42" s="225"/>
      <c r="DN42" s="225"/>
      <c r="DO42" s="225"/>
      <c r="DP42" s="225"/>
      <c r="DQ42" s="225"/>
      <c r="DR42" s="225"/>
      <c r="DS42" s="225"/>
      <c r="DT42" s="225"/>
      <c r="DU42" s="225"/>
      <c r="DV42" s="225"/>
      <c r="DW42" s="225"/>
      <c r="DX42" s="225"/>
      <c r="DY42" s="225"/>
      <c r="DZ42" s="225"/>
      <c r="EA42" s="225"/>
      <c r="EB42" s="225"/>
      <c r="EC42" s="225"/>
      <c r="ED42" s="225"/>
      <c r="EE42" s="225"/>
      <c r="EF42" s="225"/>
      <c r="EG42" s="225"/>
      <c r="EH42" s="225"/>
      <c r="EI42" s="225"/>
      <c r="EJ42" s="145"/>
      <c r="EK42" s="145"/>
      <c r="EL42" s="145"/>
      <c r="EM42" s="145"/>
      <c r="EN42" s="145"/>
      <c r="EO42" s="145"/>
      <c r="EP42" s="145"/>
      <c r="EQ42" s="145"/>
      <c r="ER42" s="145"/>
    </row>
    <row r="43" spans="1:148" ht="15" x14ac:dyDescent="0.25">
      <c r="A43" s="204" t="s">
        <v>225</v>
      </c>
      <c r="B43" s="203"/>
      <c r="C43" s="203"/>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3"/>
      <c r="AB43" s="203"/>
      <c r="AC43" s="203"/>
      <c r="AD43" s="203"/>
      <c r="AE43" s="203"/>
      <c r="AF43" s="203"/>
      <c r="AG43" s="203"/>
      <c r="AH43" s="203"/>
      <c r="AI43" s="203"/>
      <c r="AJ43" s="203"/>
      <c r="AK43" s="203"/>
      <c r="AL43" s="203"/>
      <c r="AM43" s="203"/>
      <c r="AN43" s="203"/>
      <c r="AO43" s="203"/>
      <c r="AP43" s="203"/>
      <c r="AQ43" s="203"/>
      <c r="AR43" s="203"/>
      <c r="AS43" s="203"/>
      <c r="AT43" s="203"/>
      <c r="AU43" s="203"/>
      <c r="AV43" s="203"/>
      <c r="AW43" s="203"/>
      <c r="AX43" s="129">
        <v>0</v>
      </c>
      <c r="AY43" s="129">
        <v>3.3</v>
      </c>
      <c r="AZ43" s="129">
        <v>0</v>
      </c>
      <c r="BA43" s="129">
        <v>0</v>
      </c>
      <c r="BB43" s="129">
        <v>0</v>
      </c>
      <c r="BC43" s="129">
        <v>0</v>
      </c>
      <c r="BD43" s="129">
        <v>0</v>
      </c>
      <c r="BE43" s="129">
        <v>0</v>
      </c>
      <c r="BF43" s="129">
        <v>0</v>
      </c>
      <c r="BG43" s="129">
        <v>0</v>
      </c>
      <c r="BH43" s="129">
        <v>0</v>
      </c>
      <c r="BI43" s="130">
        <v>0</v>
      </c>
      <c r="BJ43" s="163">
        <v>5</v>
      </c>
      <c r="BK43" s="163">
        <v>0</v>
      </c>
      <c r="BL43" s="163">
        <v>0</v>
      </c>
      <c r="BM43" s="163">
        <v>10</v>
      </c>
      <c r="BN43" s="163">
        <v>0</v>
      </c>
      <c r="BO43" s="163">
        <v>0</v>
      </c>
      <c r="BP43" s="163">
        <v>0</v>
      </c>
      <c r="BQ43" s="163">
        <v>0</v>
      </c>
      <c r="BR43" s="163">
        <v>0</v>
      </c>
      <c r="BS43" s="163">
        <v>0</v>
      </c>
      <c r="BT43" s="7">
        <v>0</v>
      </c>
      <c r="BU43" s="7">
        <v>0</v>
      </c>
      <c r="BV43" s="7">
        <v>0</v>
      </c>
      <c r="BW43" s="7">
        <v>0</v>
      </c>
      <c r="BX43" s="7">
        <v>0</v>
      </c>
      <c r="BY43" s="7">
        <v>0</v>
      </c>
      <c r="BZ43" s="7">
        <v>0</v>
      </c>
      <c r="CA43" s="7">
        <v>0</v>
      </c>
      <c r="CB43" s="7">
        <v>0</v>
      </c>
      <c r="CC43" s="7">
        <v>0</v>
      </c>
      <c r="CD43" s="7">
        <v>0</v>
      </c>
      <c r="CE43" s="7">
        <v>0</v>
      </c>
      <c r="CF43" s="7">
        <v>0</v>
      </c>
      <c r="CG43" s="7">
        <v>0</v>
      </c>
      <c r="CH43" s="7">
        <f t="shared" ref="CH43:CY43" si="62">CH22/7.5</f>
        <v>0</v>
      </c>
      <c r="CI43" s="7">
        <f t="shared" si="62"/>
        <v>0</v>
      </c>
      <c r="CJ43" s="7">
        <f t="shared" si="62"/>
        <v>0</v>
      </c>
      <c r="CK43" s="129">
        <f t="shared" si="62"/>
        <v>0</v>
      </c>
      <c r="CL43" s="129">
        <f t="shared" si="62"/>
        <v>0</v>
      </c>
      <c r="CM43" s="129">
        <f t="shared" si="62"/>
        <v>0</v>
      </c>
      <c r="CN43" s="129">
        <f t="shared" si="62"/>
        <v>0</v>
      </c>
      <c r="CO43" s="129">
        <f t="shared" si="62"/>
        <v>0</v>
      </c>
      <c r="CP43" s="129">
        <f t="shared" si="62"/>
        <v>0</v>
      </c>
      <c r="CQ43" s="129">
        <f t="shared" si="62"/>
        <v>2</v>
      </c>
      <c r="CR43" s="129">
        <f t="shared" si="62"/>
        <v>1.8</v>
      </c>
      <c r="CS43" s="129">
        <f t="shared" si="62"/>
        <v>3</v>
      </c>
      <c r="CT43" s="129">
        <f t="shared" si="62"/>
        <v>4</v>
      </c>
      <c r="CU43" s="129">
        <f t="shared" si="62"/>
        <v>4</v>
      </c>
      <c r="CV43" s="129">
        <f t="shared" si="62"/>
        <v>0</v>
      </c>
      <c r="CW43" s="129">
        <f t="shared" si="62"/>
        <v>0</v>
      </c>
      <c r="CX43" s="129">
        <f t="shared" si="62"/>
        <v>0</v>
      </c>
      <c r="CY43" s="129">
        <f t="shared" si="62"/>
        <v>0</v>
      </c>
      <c r="CZ43" s="225"/>
      <c r="DA43" s="225"/>
      <c r="DB43" s="225"/>
      <c r="DC43" s="225"/>
      <c r="DD43" s="225"/>
      <c r="DE43" s="225"/>
      <c r="DF43" s="225"/>
      <c r="DG43" s="225"/>
      <c r="DH43" s="225"/>
      <c r="DI43" s="225"/>
      <c r="DJ43" s="225"/>
      <c r="DK43" s="225"/>
      <c r="DL43" s="225"/>
      <c r="DM43" s="225"/>
      <c r="DN43" s="225"/>
      <c r="DO43" s="225"/>
      <c r="DP43" s="225"/>
      <c r="DQ43" s="225"/>
      <c r="DR43" s="225"/>
      <c r="DS43" s="225"/>
      <c r="DT43" s="225"/>
      <c r="DU43" s="225"/>
      <c r="DV43" s="225"/>
      <c r="DW43" s="225"/>
      <c r="DX43" s="225"/>
      <c r="DY43" s="225"/>
      <c r="DZ43" s="225"/>
      <c r="EA43" s="225"/>
      <c r="EB43" s="225"/>
      <c r="EC43" s="225"/>
      <c r="ED43" s="225"/>
      <c r="EE43" s="225"/>
      <c r="EF43" s="225"/>
      <c r="EG43" s="225"/>
      <c r="EH43" s="225"/>
      <c r="EI43" s="225"/>
      <c r="EJ43" s="145"/>
      <c r="EK43" s="145"/>
      <c r="EL43" s="145"/>
      <c r="EM43" s="145"/>
      <c r="EN43" s="145"/>
      <c r="EO43" s="145"/>
      <c r="EP43" s="145"/>
      <c r="EQ43" s="145"/>
      <c r="ER43" s="145"/>
    </row>
    <row r="44" spans="1:148" ht="15" x14ac:dyDescent="0.25">
      <c r="A44" s="209" t="s">
        <v>219</v>
      </c>
      <c r="B44" s="203"/>
      <c r="C44" s="203"/>
      <c r="D44" s="203"/>
      <c r="E44" s="203"/>
      <c r="F44" s="203"/>
      <c r="G44" s="203"/>
      <c r="H44" s="203"/>
      <c r="I44" s="203"/>
      <c r="J44" s="203"/>
      <c r="K44" s="203"/>
      <c r="L44" s="203"/>
      <c r="M44" s="203"/>
      <c r="N44" s="203"/>
      <c r="O44" s="203"/>
      <c r="P44" s="203"/>
      <c r="Q44" s="203"/>
      <c r="R44" s="203"/>
      <c r="S44" s="203"/>
      <c r="T44" s="203"/>
      <c r="U44" s="203"/>
      <c r="V44" s="203"/>
      <c r="W44" s="203"/>
      <c r="X44" s="203"/>
      <c r="Y44" s="203"/>
      <c r="Z44" s="203"/>
      <c r="AA44" s="203"/>
      <c r="AB44" s="203"/>
      <c r="AC44" s="203"/>
      <c r="AD44" s="203"/>
      <c r="AE44" s="203"/>
      <c r="AF44" s="203"/>
      <c r="AG44" s="203"/>
      <c r="AH44" s="203"/>
      <c r="AI44" s="203"/>
      <c r="AJ44" s="203"/>
      <c r="AK44" s="203"/>
      <c r="AL44" s="203"/>
      <c r="AM44" s="203"/>
      <c r="AN44" s="203"/>
      <c r="AO44" s="203"/>
      <c r="AP44" s="203"/>
      <c r="AQ44" s="203"/>
      <c r="AR44" s="203"/>
      <c r="AS44" s="203"/>
      <c r="AT44" s="203"/>
      <c r="AU44" s="203"/>
      <c r="AV44" s="203"/>
      <c r="AW44" s="203"/>
      <c r="AX44" s="129">
        <v>0</v>
      </c>
      <c r="AY44" s="129">
        <v>1</v>
      </c>
      <c r="AZ44" s="129">
        <v>0</v>
      </c>
      <c r="BA44" s="129">
        <v>0</v>
      </c>
      <c r="BB44" s="129">
        <v>0</v>
      </c>
      <c r="BC44" s="129">
        <v>0</v>
      </c>
      <c r="BD44" s="129">
        <v>0</v>
      </c>
      <c r="BE44" s="129">
        <v>0</v>
      </c>
      <c r="BF44" s="129">
        <v>0</v>
      </c>
      <c r="BG44" s="129">
        <v>0</v>
      </c>
      <c r="BH44" s="129">
        <v>0</v>
      </c>
      <c r="BI44" s="130">
        <v>0</v>
      </c>
      <c r="BJ44" s="130">
        <v>1</v>
      </c>
      <c r="BK44" s="130">
        <v>0</v>
      </c>
      <c r="BL44" s="130">
        <v>0</v>
      </c>
      <c r="BM44" s="130">
        <v>1</v>
      </c>
      <c r="BN44" s="130">
        <v>0</v>
      </c>
      <c r="BO44" s="130">
        <v>0</v>
      </c>
      <c r="BP44" s="130">
        <v>0</v>
      </c>
      <c r="BQ44" s="130">
        <v>0</v>
      </c>
      <c r="BR44" s="130">
        <v>0</v>
      </c>
      <c r="BS44" s="130">
        <v>0</v>
      </c>
      <c r="BT44" s="7">
        <v>0</v>
      </c>
      <c r="BU44" s="7">
        <v>0</v>
      </c>
      <c r="BV44" s="7">
        <v>0</v>
      </c>
      <c r="BW44" s="7">
        <v>0</v>
      </c>
      <c r="BX44" s="7">
        <v>0</v>
      </c>
      <c r="BY44" s="7">
        <v>0</v>
      </c>
      <c r="BZ44" s="7">
        <v>0</v>
      </c>
      <c r="CA44" s="7">
        <v>0</v>
      </c>
      <c r="CB44" s="7">
        <v>0</v>
      </c>
      <c r="CC44" s="7">
        <v>0</v>
      </c>
      <c r="CD44" s="7">
        <v>0</v>
      </c>
      <c r="CE44" s="7">
        <v>0</v>
      </c>
      <c r="CF44" s="7">
        <v>0</v>
      </c>
      <c r="CG44" s="7">
        <v>0</v>
      </c>
      <c r="CH44" s="7">
        <v>0</v>
      </c>
      <c r="CI44" s="7">
        <v>0</v>
      </c>
      <c r="CJ44" s="7">
        <v>0</v>
      </c>
      <c r="CK44" s="130">
        <f t="shared" ref="CK44:CY44" si="63">CK25</f>
        <v>0</v>
      </c>
      <c r="CL44" s="130">
        <f t="shared" si="63"/>
        <v>0</v>
      </c>
      <c r="CM44" s="130">
        <f t="shared" si="63"/>
        <v>0</v>
      </c>
      <c r="CN44" s="130">
        <f t="shared" si="63"/>
        <v>0</v>
      </c>
      <c r="CO44" s="130">
        <f t="shared" si="63"/>
        <v>0</v>
      </c>
      <c r="CP44" s="130">
        <f t="shared" si="63"/>
        <v>0</v>
      </c>
      <c r="CQ44" s="130">
        <f t="shared" si="63"/>
        <v>1</v>
      </c>
      <c r="CR44" s="130">
        <f t="shared" si="63"/>
        <v>0</v>
      </c>
      <c r="CS44" s="130">
        <f t="shared" si="63"/>
        <v>0</v>
      </c>
      <c r="CT44" s="130">
        <f t="shared" si="63"/>
        <v>0</v>
      </c>
      <c r="CU44" s="130">
        <f t="shared" si="63"/>
        <v>0</v>
      </c>
      <c r="CV44" s="130">
        <f t="shared" si="63"/>
        <v>0</v>
      </c>
      <c r="CW44" s="130">
        <f t="shared" si="63"/>
        <v>0</v>
      </c>
      <c r="CX44" s="130">
        <f t="shared" si="63"/>
        <v>0</v>
      </c>
      <c r="CY44" s="130">
        <f t="shared" si="63"/>
        <v>0</v>
      </c>
      <c r="CZ44" s="225"/>
      <c r="DA44" s="225"/>
      <c r="DB44" s="225"/>
      <c r="DC44" s="225"/>
      <c r="DD44" s="225"/>
      <c r="DE44" s="225"/>
      <c r="DF44" s="225"/>
      <c r="DG44" s="225"/>
      <c r="DH44" s="225"/>
      <c r="DI44" s="225"/>
      <c r="DJ44" s="225"/>
      <c r="DK44" s="225"/>
      <c r="DL44" s="225"/>
      <c r="DM44" s="225"/>
      <c r="DN44" s="225"/>
      <c r="DO44" s="225"/>
      <c r="DP44" s="225"/>
      <c r="DQ44" s="225"/>
      <c r="DR44" s="225"/>
      <c r="DS44" s="225"/>
      <c r="DT44" s="225"/>
      <c r="DU44" s="225"/>
      <c r="DV44" s="225"/>
      <c r="DW44" s="225"/>
      <c r="DX44" s="225"/>
      <c r="DY44" s="225"/>
      <c r="DZ44" s="225"/>
      <c r="EA44" s="225"/>
      <c r="EB44" s="225"/>
      <c r="EC44" s="225"/>
      <c r="ED44" s="225"/>
      <c r="EE44" s="225"/>
      <c r="EF44" s="225"/>
      <c r="EG44" s="225"/>
      <c r="EH44" s="225"/>
      <c r="EI44" s="225"/>
      <c r="EJ44" s="145"/>
      <c r="EK44" s="145"/>
      <c r="EL44" s="145"/>
      <c r="EM44" s="145"/>
      <c r="EN44" s="145"/>
      <c r="EO44" s="145"/>
      <c r="EP44" s="145"/>
      <c r="EQ44" s="145"/>
      <c r="ER44" s="145"/>
    </row>
    <row r="45" spans="1:148" s="194" customFormat="1" ht="15" x14ac:dyDescent="0.25">
      <c r="A45" s="229" t="s">
        <v>212</v>
      </c>
      <c r="B45" s="210"/>
      <c r="C45" s="210"/>
      <c r="D45" s="210"/>
      <c r="E45" s="210"/>
      <c r="F45" s="210"/>
      <c r="G45" s="210"/>
      <c r="H45" s="210"/>
      <c r="I45" s="210"/>
      <c r="J45" s="210"/>
      <c r="K45" s="210"/>
      <c r="L45" s="210"/>
      <c r="M45" s="210"/>
      <c r="N45" s="210"/>
      <c r="O45" s="210"/>
      <c r="P45" s="210"/>
      <c r="Q45" s="210"/>
      <c r="R45" s="210"/>
      <c r="S45" s="210"/>
      <c r="T45" s="210"/>
      <c r="U45" s="210"/>
      <c r="V45" s="210"/>
      <c r="W45" s="210"/>
      <c r="X45" s="210"/>
      <c r="Y45" s="210"/>
      <c r="Z45" s="210"/>
      <c r="AA45" s="210"/>
      <c r="AB45" s="210"/>
      <c r="AC45" s="210"/>
      <c r="AD45" s="210"/>
      <c r="AE45" s="210"/>
      <c r="AF45" s="210"/>
      <c r="AG45" s="210"/>
      <c r="AH45" s="210"/>
      <c r="AI45" s="210"/>
      <c r="AJ45" s="210"/>
      <c r="AK45" s="210"/>
      <c r="AL45" s="210"/>
      <c r="AM45" s="210"/>
      <c r="AN45" s="210"/>
      <c r="AO45" s="210"/>
      <c r="AP45" s="210"/>
      <c r="AQ45" s="210"/>
      <c r="AR45" s="210"/>
      <c r="AS45" s="210"/>
      <c r="AT45" s="210"/>
      <c r="AU45" s="210"/>
      <c r="AV45" s="210"/>
      <c r="AW45" s="210"/>
      <c r="AX45" s="194">
        <v>0</v>
      </c>
      <c r="AY45" s="194">
        <v>0.27500000000000002</v>
      </c>
      <c r="AZ45" s="194">
        <v>0.27500000000000002</v>
      </c>
      <c r="BA45" s="194">
        <v>0.27500000000000002</v>
      </c>
      <c r="BB45" s="194">
        <v>0.27500000000000002</v>
      </c>
      <c r="BC45" s="194">
        <v>0.27500000000000002</v>
      </c>
      <c r="BD45" s="194">
        <v>0.27500000000000002</v>
      </c>
      <c r="BE45" s="194">
        <v>0.27500000000000002</v>
      </c>
      <c r="BF45" s="194">
        <v>0.27500000000000002</v>
      </c>
      <c r="BG45" s="194">
        <v>0.27500000000000002</v>
      </c>
      <c r="BH45" s="194">
        <v>0.27500000000000002</v>
      </c>
      <c r="BI45" s="163">
        <v>0.27500000000000002</v>
      </c>
      <c r="BJ45" s="163">
        <v>0.69166666666666676</v>
      </c>
      <c r="BK45" s="163">
        <v>0.41666666666666669</v>
      </c>
      <c r="BL45" s="163">
        <v>0.41666666666666669</v>
      </c>
      <c r="BM45" s="163">
        <v>1.25</v>
      </c>
      <c r="BN45" s="163">
        <v>1.25</v>
      </c>
      <c r="BO45" s="163">
        <v>1.25</v>
      </c>
      <c r="BP45" s="163">
        <v>1.25</v>
      </c>
      <c r="BQ45" s="163">
        <v>1.25</v>
      </c>
      <c r="BR45" s="163">
        <v>1.25</v>
      </c>
      <c r="BS45" s="163">
        <v>1.25</v>
      </c>
      <c r="BT45" s="228">
        <v>1.25</v>
      </c>
      <c r="BU45" s="228">
        <v>1.25</v>
      </c>
      <c r="BV45" s="228">
        <v>0.83333333333333337</v>
      </c>
      <c r="BW45" s="228">
        <v>0.83333333333333337</v>
      </c>
      <c r="BX45" s="228">
        <v>0.83333333333333337</v>
      </c>
      <c r="BY45" s="228">
        <v>0</v>
      </c>
      <c r="BZ45" s="228">
        <v>0</v>
      </c>
      <c r="CA45" s="228">
        <v>0</v>
      </c>
      <c r="CB45" s="228">
        <v>0</v>
      </c>
      <c r="CC45" s="228">
        <v>0</v>
      </c>
      <c r="CD45" s="228">
        <v>0</v>
      </c>
      <c r="CE45" s="228">
        <v>0</v>
      </c>
      <c r="CF45" s="228">
        <v>0</v>
      </c>
      <c r="CG45" s="228">
        <f t="shared" ref="CG45:CY45" si="64">SUM(BV43:CG43)/12</f>
        <v>0</v>
      </c>
      <c r="CH45" s="228">
        <f t="shared" si="64"/>
        <v>0</v>
      </c>
      <c r="CI45" s="228">
        <f t="shared" si="64"/>
        <v>0</v>
      </c>
      <c r="CJ45" s="228">
        <f t="shared" si="64"/>
        <v>0</v>
      </c>
      <c r="CK45" s="194">
        <f t="shared" si="64"/>
        <v>0</v>
      </c>
      <c r="CL45" s="194">
        <f t="shared" si="64"/>
        <v>0</v>
      </c>
      <c r="CM45" s="194">
        <f t="shared" si="64"/>
        <v>0</v>
      </c>
      <c r="CN45" s="194">
        <f t="shared" si="64"/>
        <v>0</v>
      </c>
      <c r="CO45" s="194">
        <f t="shared" si="64"/>
        <v>0</v>
      </c>
      <c r="CP45" s="194">
        <f t="shared" si="64"/>
        <v>0</v>
      </c>
      <c r="CQ45" s="194">
        <f t="shared" si="64"/>
        <v>0.16666666666666666</v>
      </c>
      <c r="CR45" s="194">
        <f t="shared" si="64"/>
        <v>0.31666666666666665</v>
      </c>
      <c r="CS45" s="194">
        <f t="shared" si="64"/>
        <v>0.56666666666666665</v>
      </c>
      <c r="CT45" s="194">
        <f t="shared" si="64"/>
        <v>0.9</v>
      </c>
      <c r="CU45" s="194">
        <f t="shared" si="64"/>
        <v>1.2333333333333334</v>
      </c>
      <c r="CV45" s="194">
        <f t="shared" si="64"/>
        <v>1.2333333333333334</v>
      </c>
      <c r="CW45" s="194">
        <f t="shared" si="64"/>
        <v>1.2333333333333334</v>
      </c>
      <c r="CX45" s="194">
        <f t="shared" si="64"/>
        <v>1.2333333333333334</v>
      </c>
      <c r="CY45" s="194">
        <f t="shared" si="64"/>
        <v>1.2333333333333334</v>
      </c>
      <c r="CZ45" s="225"/>
      <c r="DA45" s="225"/>
      <c r="DB45" s="225"/>
      <c r="DC45" s="225"/>
      <c r="DD45" s="225"/>
      <c r="DE45" s="225"/>
      <c r="DF45" s="225"/>
      <c r="DG45" s="225"/>
      <c r="DH45" s="225"/>
      <c r="DI45" s="225"/>
      <c r="DJ45" s="225"/>
      <c r="DK45" s="225"/>
      <c r="DL45" s="225"/>
      <c r="DM45" s="225"/>
      <c r="DN45" s="225"/>
      <c r="DO45" s="225"/>
      <c r="DP45" s="225"/>
      <c r="DQ45" s="225"/>
      <c r="DR45" s="225"/>
      <c r="DS45" s="225"/>
      <c r="DT45" s="225"/>
      <c r="DU45" s="225"/>
      <c r="DV45" s="225"/>
      <c r="DW45" s="225"/>
      <c r="DX45" s="225"/>
      <c r="DY45" s="225"/>
      <c r="DZ45" s="225"/>
      <c r="EA45" s="225"/>
      <c r="EB45" s="225"/>
      <c r="EC45" s="225"/>
      <c r="ED45" s="225"/>
      <c r="EE45" s="225"/>
      <c r="EF45" s="225"/>
      <c r="EG45" s="225"/>
      <c r="EH45" s="225"/>
      <c r="EI45" s="225"/>
      <c r="EJ45" s="145"/>
      <c r="EK45" s="145"/>
      <c r="EL45" s="145"/>
      <c r="EM45" s="145"/>
      <c r="EN45" s="145"/>
      <c r="EO45" s="145"/>
      <c r="EP45" s="145"/>
      <c r="EQ45" s="145"/>
      <c r="ER45" s="145"/>
    </row>
    <row r="46" spans="1:148" ht="15" x14ac:dyDescent="0.25">
      <c r="A46" s="230" t="s">
        <v>213</v>
      </c>
      <c r="B46" s="203"/>
      <c r="C46" s="203"/>
      <c r="D46" s="203"/>
      <c r="E46" s="203"/>
      <c r="F46" s="203"/>
      <c r="G46" s="203"/>
      <c r="H46" s="203"/>
      <c r="I46" s="203"/>
      <c r="J46" s="203"/>
      <c r="K46" s="203"/>
      <c r="L46" s="203"/>
      <c r="M46" s="203"/>
      <c r="N46" s="203"/>
      <c r="O46" s="203"/>
      <c r="P46" s="203"/>
      <c r="Q46" s="203"/>
      <c r="R46" s="203"/>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194">
        <v>0</v>
      </c>
      <c r="AY46" s="194">
        <v>1.2375000000000001E-2</v>
      </c>
      <c r="AZ46" s="194">
        <v>1.2375000000000001E-2</v>
      </c>
      <c r="BA46" s="194">
        <v>1.2375000000000001E-2</v>
      </c>
      <c r="BB46" s="194">
        <v>1.2375000000000001E-2</v>
      </c>
      <c r="BC46" s="194">
        <v>1.2375000000000001E-2</v>
      </c>
      <c r="BD46" s="194">
        <v>1.2375000000000001E-2</v>
      </c>
      <c r="BE46" s="194">
        <v>1.2375000000000001E-2</v>
      </c>
      <c r="BF46" s="194">
        <v>1.2375000000000001E-2</v>
      </c>
      <c r="BG46" s="194">
        <v>1.2375000000000001E-2</v>
      </c>
      <c r="BH46" s="194">
        <v>1.2375000000000001E-2</v>
      </c>
      <c r="BI46" s="163">
        <v>1.2375000000000001E-2</v>
      </c>
      <c r="BJ46" s="231">
        <v>3.1125E-2</v>
      </c>
      <c r="BK46" s="231">
        <v>1.8749999999999999E-2</v>
      </c>
      <c r="BL46" s="231">
        <v>1.8749999999999999E-2</v>
      </c>
      <c r="BM46" s="231">
        <v>5.6250000000000001E-2</v>
      </c>
      <c r="BN46" s="231">
        <v>5.6250000000000001E-2</v>
      </c>
      <c r="BO46" s="231">
        <v>5.6250000000000001E-2</v>
      </c>
      <c r="BP46" s="231">
        <v>5.6250000000000001E-2</v>
      </c>
      <c r="BQ46" s="231">
        <v>5.6250000000000001E-2</v>
      </c>
      <c r="BR46" s="231">
        <v>5.6250000000000001E-2</v>
      </c>
      <c r="BS46" s="231">
        <v>5.6250000000000001E-2</v>
      </c>
      <c r="BT46" s="232">
        <v>5.6250000000000001E-2</v>
      </c>
      <c r="BU46" s="232">
        <v>5.6250000000000001E-2</v>
      </c>
      <c r="BV46" s="232">
        <v>3.7499999999999999E-2</v>
      </c>
      <c r="BW46" s="232">
        <v>3.7499999999999999E-2</v>
      </c>
      <c r="BX46" s="232">
        <v>3.7499999999999999E-2</v>
      </c>
      <c r="BY46" s="232">
        <v>0</v>
      </c>
      <c r="BZ46" s="232">
        <v>0</v>
      </c>
      <c r="CA46" s="232">
        <v>0</v>
      </c>
      <c r="CB46" s="232">
        <v>0</v>
      </c>
      <c r="CC46" s="232">
        <v>0</v>
      </c>
      <c r="CD46" s="232">
        <v>0</v>
      </c>
      <c r="CE46" s="232">
        <v>0</v>
      </c>
      <c r="CF46" s="232">
        <v>0</v>
      </c>
      <c r="CG46" s="232">
        <f t="shared" ref="CG46:CY46" si="65">SUM(BV22:CG22)/2000</f>
        <v>0</v>
      </c>
      <c r="CH46" s="232">
        <f t="shared" si="65"/>
        <v>0</v>
      </c>
      <c r="CI46" s="232">
        <f t="shared" si="65"/>
        <v>0</v>
      </c>
      <c r="CJ46" s="232">
        <f t="shared" si="65"/>
        <v>0</v>
      </c>
      <c r="CK46" s="129">
        <f t="shared" si="65"/>
        <v>0</v>
      </c>
      <c r="CL46" s="129">
        <f t="shared" si="65"/>
        <v>0</v>
      </c>
      <c r="CM46" s="129">
        <f t="shared" si="65"/>
        <v>0</v>
      </c>
      <c r="CN46" s="129">
        <f t="shared" si="65"/>
        <v>0</v>
      </c>
      <c r="CO46" s="129">
        <f t="shared" si="65"/>
        <v>0</v>
      </c>
      <c r="CP46" s="129">
        <f t="shared" si="65"/>
        <v>0</v>
      </c>
      <c r="CQ46" s="129">
        <f t="shared" si="65"/>
        <v>7.4999999999999997E-3</v>
      </c>
      <c r="CR46" s="129">
        <f t="shared" si="65"/>
        <v>1.4250000000000001E-2</v>
      </c>
      <c r="CS46" s="129">
        <f t="shared" si="65"/>
        <v>2.5499999999999998E-2</v>
      </c>
      <c r="CT46" s="129">
        <f t="shared" si="65"/>
        <v>4.0500000000000001E-2</v>
      </c>
      <c r="CU46" s="129">
        <f t="shared" si="65"/>
        <v>5.5500000000000001E-2</v>
      </c>
      <c r="CV46" s="129">
        <f t="shared" si="65"/>
        <v>5.5500000000000001E-2</v>
      </c>
      <c r="CW46" s="129">
        <f t="shared" si="65"/>
        <v>5.5500000000000001E-2</v>
      </c>
      <c r="CX46" s="129">
        <f t="shared" si="65"/>
        <v>5.5500000000000001E-2</v>
      </c>
      <c r="CY46" s="129">
        <f t="shared" si="65"/>
        <v>5.5500000000000001E-2</v>
      </c>
      <c r="CZ46" s="225"/>
      <c r="DA46" s="225"/>
      <c r="DB46" s="225"/>
      <c r="DC46" s="225"/>
      <c r="DD46" s="225"/>
      <c r="DE46" s="225"/>
      <c r="DF46" s="225"/>
      <c r="DG46" s="225"/>
      <c r="DH46" s="225"/>
      <c r="DI46" s="225"/>
      <c r="DJ46" s="225"/>
      <c r="DK46" s="225"/>
      <c r="DL46" s="225"/>
      <c r="DM46" s="225"/>
      <c r="DN46" s="225"/>
      <c r="DO46" s="225"/>
      <c r="DP46" s="225"/>
      <c r="DQ46" s="225"/>
      <c r="DR46" s="225"/>
      <c r="DS46" s="225"/>
      <c r="DT46" s="225"/>
      <c r="DU46" s="225"/>
      <c r="DV46" s="225"/>
      <c r="DW46" s="225"/>
      <c r="DX46" s="225"/>
      <c r="DY46" s="225"/>
      <c r="DZ46" s="225"/>
      <c r="EA46" s="225"/>
      <c r="EB46" s="225"/>
      <c r="EC46" s="225"/>
      <c r="ED46" s="225"/>
      <c r="EE46" s="225"/>
      <c r="EF46" s="225"/>
      <c r="EG46" s="225"/>
      <c r="EH46" s="225"/>
      <c r="EI46" s="225"/>
      <c r="EJ46" s="145"/>
      <c r="EK46" s="145"/>
      <c r="EL46" s="145"/>
      <c r="EM46" s="145"/>
      <c r="EN46" s="145"/>
      <c r="EO46" s="145"/>
      <c r="EP46" s="145"/>
      <c r="EQ46" s="145"/>
      <c r="ER46" s="145"/>
    </row>
    <row r="47" spans="1:148" s="170" customFormat="1" x14ac:dyDescent="0.2">
      <c r="A47" s="230" t="s">
        <v>226</v>
      </c>
      <c r="BU47" s="122">
        <f>SUM(BJ43:BU43)/SUM(BJ44:BU44)</f>
        <v>7.5</v>
      </c>
      <c r="BV47" s="122">
        <f>SUM(BK43:BV43)/SUM(BK44:BV44)</f>
        <v>10</v>
      </c>
      <c r="BW47" s="122">
        <f>SUM(BL43:BW43)/SUM(BL44:BW44)</f>
        <v>10</v>
      </c>
      <c r="BX47" s="122">
        <f>SUM(BM43:BX43)/SUM(BM44:BX44)</f>
        <v>10</v>
      </c>
      <c r="BY47" s="122">
        <v>0</v>
      </c>
      <c r="BZ47" s="122">
        <v>0</v>
      </c>
      <c r="CA47" s="122">
        <v>0</v>
      </c>
      <c r="CB47" s="122">
        <v>0</v>
      </c>
      <c r="CC47" s="122">
        <v>0</v>
      </c>
      <c r="CD47" s="122">
        <v>0</v>
      </c>
      <c r="CE47" s="122">
        <v>0</v>
      </c>
      <c r="CF47" s="122">
        <v>0</v>
      </c>
      <c r="CG47" s="122">
        <v>0</v>
      </c>
      <c r="CH47" s="122">
        <v>0</v>
      </c>
      <c r="CI47" s="122">
        <v>0</v>
      </c>
      <c r="CJ47" s="122">
        <v>0</v>
      </c>
      <c r="CK47" s="122">
        <v>0</v>
      </c>
      <c r="CL47" s="122">
        <v>0</v>
      </c>
      <c r="CM47" s="122">
        <v>0</v>
      </c>
      <c r="CN47" s="122">
        <v>0</v>
      </c>
      <c r="CO47" s="122">
        <v>0</v>
      </c>
      <c r="CP47" s="122">
        <v>0</v>
      </c>
      <c r="CQ47" s="122">
        <f t="shared" ref="CQ47:CY47" si="66">SUM(CF43:CQ43)/SUM(CF44:CQ44)</f>
        <v>2</v>
      </c>
      <c r="CR47" s="122">
        <f t="shared" si="66"/>
        <v>3.8</v>
      </c>
      <c r="CS47" s="122">
        <f t="shared" si="66"/>
        <v>6.8</v>
      </c>
      <c r="CT47" s="122">
        <f t="shared" si="66"/>
        <v>10.8</v>
      </c>
      <c r="CU47" s="122">
        <f t="shared" si="66"/>
        <v>14.8</v>
      </c>
      <c r="CV47" s="122">
        <f t="shared" si="66"/>
        <v>14.8</v>
      </c>
      <c r="CW47" s="122">
        <f t="shared" si="66"/>
        <v>14.8</v>
      </c>
      <c r="CX47" s="122">
        <f t="shared" si="66"/>
        <v>14.8</v>
      </c>
      <c r="CY47" s="122">
        <f t="shared" si="66"/>
        <v>14.8</v>
      </c>
      <c r="CZ47" s="225"/>
      <c r="DA47" s="225"/>
      <c r="DB47" s="225"/>
      <c r="DC47" s="225"/>
      <c r="DD47" s="225"/>
      <c r="DE47" s="225"/>
      <c r="DF47" s="225"/>
      <c r="DG47" s="225"/>
      <c r="DH47" s="225"/>
      <c r="DI47" s="225"/>
      <c r="DJ47" s="225"/>
      <c r="DK47" s="225"/>
      <c r="DL47" s="225"/>
      <c r="DM47" s="225"/>
      <c r="DN47" s="225"/>
      <c r="DO47" s="225"/>
      <c r="DP47" s="225"/>
      <c r="DQ47" s="225"/>
      <c r="DR47" s="225"/>
      <c r="DS47" s="225"/>
      <c r="DT47" s="225"/>
      <c r="DU47" s="225"/>
      <c r="DV47" s="225"/>
      <c r="DW47" s="225"/>
      <c r="DX47" s="225"/>
      <c r="DY47" s="225"/>
      <c r="DZ47" s="225"/>
      <c r="EA47" s="225"/>
      <c r="EB47" s="225"/>
      <c r="EC47" s="225"/>
      <c r="ED47" s="225"/>
      <c r="EE47" s="225"/>
      <c r="EF47" s="225"/>
      <c r="EG47" s="225"/>
      <c r="EH47" s="225"/>
      <c r="EI47" s="225"/>
      <c r="EJ47" s="145"/>
      <c r="EK47" s="145"/>
      <c r="EL47" s="145"/>
      <c r="EM47" s="145"/>
      <c r="EN47" s="145"/>
      <c r="EO47" s="145"/>
      <c r="EP47" s="145"/>
      <c r="EQ47" s="145"/>
      <c r="ER47" s="145"/>
    </row>
    <row r="48" spans="1:148" x14ac:dyDescent="0.2">
      <c r="A48" s="233" t="s">
        <v>227</v>
      </c>
      <c r="B48" s="203"/>
      <c r="C48" s="203"/>
      <c r="D48" s="203"/>
      <c r="E48" s="203"/>
      <c r="F48" s="203"/>
      <c r="G48" s="203"/>
      <c r="H48" s="203"/>
      <c r="I48" s="203"/>
      <c r="J48" s="203"/>
      <c r="K48" s="203"/>
      <c r="L48" s="203"/>
      <c r="M48" s="203"/>
      <c r="N48" s="203"/>
      <c r="O48" s="203"/>
      <c r="P48" s="203"/>
      <c r="Q48" s="203"/>
      <c r="R48" s="203"/>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M48" s="203"/>
      <c r="CN48" s="20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c r="DM48" s="203"/>
      <c r="DN48" s="203"/>
      <c r="DO48" s="203"/>
      <c r="DP48" s="203"/>
      <c r="DQ48" s="203"/>
      <c r="DR48" s="203"/>
      <c r="DS48" s="203"/>
      <c r="DT48" s="203"/>
      <c r="DU48" s="203"/>
      <c r="DV48" s="203"/>
      <c r="DW48" s="203"/>
      <c r="DX48" s="203"/>
      <c r="DY48" s="203"/>
      <c r="DZ48" s="203"/>
      <c r="EA48" s="203"/>
      <c r="EB48" s="203"/>
      <c r="EC48" s="203"/>
      <c r="ED48" s="203"/>
      <c r="EE48" s="203"/>
      <c r="EF48" s="203"/>
      <c r="EG48" s="203"/>
      <c r="EH48" s="203"/>
      <c r="EI48" s="203"/>
      <c r="EJ48" s="145"/>
      <c r="EK48" s="145"/>
      <c r="EL48" s="145"/>
      <c r="EM48" s="145"/>
      <c r="EN48" s="145"/>
      <c r="EO48" s="145"/>
      <c r="EP48" s="145"/>
      <c r="EQ48" s="145"/>
      <c r="ER48" s="145"/>
    </row>
    <row r="49" spans="1:148" x14ac:dyDescent="0.2">
      <c r="A49" s="234" t="s">
        <v>228</v>
      </c>
      <c r="B49" s="206">
        <f t="shared" ref="B49:BM49" si="67">SUM(B7,B15,B23)</f>
        <v>347759</v>
      </c>
      <c r="C49" s="206">
        <f t="shared" si="67"/>
        <v>365112</v>
      </c>
      <c r="D49" s="206">
        <f t="shared" si="67"/>
        <v>471650</v>
      </c>
      <c r="E49" s="206">
        <f t="shared" si="67"/>
        <v>345635</v>
      </c>
      <c r="F49" s="206">
        <f t="shared" si="67"/>
        <v>353873</v>
      </c>
      <c r="G49" s="206">
        <f t="shared" si="67"/>
        <v>389219</v>
      </c>
      <c r="H49" s="206">
        <f t="shared" si="67"/>
        <v>349577</v>
      </c>
      <c r="I49" s="206">
        <f t="shared" si="67"/>
        <v>354315</v>
      </c>
      <c r="J49" s="206">
        <f t="shared" si="67"/>
        <v>484879</v>
      </c>
      <c r="K49" s="206">
        <f t="shared" si="67"/>
        <v>354971</v>
      </c>
      <c r="L49" s="206">
        <f t="shared" si="67"/>
        <v>356967</v>
      </c>
      <c r="M49" s="206">
        <f t="shared" si="67"/>
        <v>352464</v>
      </c>
      <c r="N49" s="206">
        <f t="shared" si="67"/>
        <v>338326</v>
      </c>
      <c r="O49" s="206">
        <f t="shared" si="67"/>
        <v>464384</v>
      </c>
      <c r="P49" s="206">
        <f t="shared" si="67"/>
        <v>324049</v>
      </c>
      <c r="Q49" s="206">
        <f t="shared" si="67"/>
        <v>331403</v>
      </c>
      <c r="R49" s="206">
        <f t="shared" si="67"/>
        <v>338988</v>
      </c>
      <c r="S49" s="206">
        <f t="shared" si="67"/>
        <v>356087</v>
      </c>
      <c r="T49" s="206">
        <f t="shared" si="67"/>
        <v>357862</v>
      </c>
      <c r="U49" s="206">
        <f t="shared" si="67"/>
        <v>355579</v>
      </c>
      <c r="V49" s="206">
        <f t="shared" si="67"/>
        <v>347380</v>
      </c>
      <c r="W49" s="206">
        <f t="shared" si="67"/>
        <v>359161</v>
      </c>
      <c r="X49" s="206">
        <f t="shared" si="67"/>
        <v>357711</v>
      </c>
      <c r="Y49" s="206">
        <f t="shared" si="67"/>
        <v>355579</v>
      </c>
      <c r="Z49" s="206">
        <f t="shared" si="67"/>
        <v>302966.91000000003</v>
      </c>
      <c r="AA49" s="206">
        <f t="shared" si="67"/>
        <v>307190.13</v>
      </c>
      <c r="AB49" s="206">
        <f t="shared" si="67"/>
        <v>257094</v>
      </c>
      <c r="AC49" s="206">
        <f t="shared" si="67"/>
        <v>300356</v>
      </c>
      <c r="AD49" s="206">
        <f t="shared" si="67"/>
        <v>297813.43</v>
      </c>
      <c r="AE49" s="206">
        <f t="shared" si="67"/>
        <v>300179</v>
      </c>
      <c r="AF49" s="206">
        <f t="shared" si="67"/>
        <v>292037.05000000005</v>
      </c>
      <c r="AG49" s="206">
        <f t="shared" si="67"/>
        <v>439198</v>
      </c>
      <c r="AH49" s="206">
        <f t="shared" si="67"/>
        <v>279713</v>
      </c>
      <c r="AI49" s="206">
        <f t="shared" si="67"/>
        <v>272872</v>
      </c>
      <c r="AJ49" s="206">
        <f t="shared" si="67"/>
        <v>278853</v>
      </c>
      <c r="AK49" s="206">
        <f t="shared" si="67"/>
        <v>295484</v>
      </c>
      <c r="AL49" s="206">
        <f t="shared" si="67"/>
        <v>295843.03000000003</v>
      </c>
      <c r="AM49" s="206">
        <f t="shared" si="67"/>
        <v>460182.4</v>
      </c>
      <c r="AN49" s="206">
        <f t="shared" si="67"/>
        <v>263331.29000000004</v>
      </c>
      <c r="AO49" s="206">
        <f t="shared" si="67"/>
        <v>313271</v>
      </c>
      <c r="AP49" s="206">
        <f t="shared" si="67"/>
        <v>307559.06</v>
      </c>
      <c r="AQ49" s="206">
        <f t="shared" si="67"/>
        <v>296611</v>
      </c>
      <c r="AR49" s="206">
        <f t="shared" si="67"/>
        <v>319310.32999999996</v>
      </c>
      <c r="AS49" s="206">
        <f t="shared" si="67"/>
        <v>458646</v>
      </c>
      <c r="AT49" s="206">
        <f t="shared" si="67"/>
        <v>315528.93</v>
      </c>
      <c r="AU49" s="206">
        <f t="shared" si="67"/>
        <v>305291.59999999998</v>
      </c>
      <c r="AV49" s="206">
        <f t="shared" si="67"/>
        <v>305101.27999999997</v>
      </c>
      <c r="AW49" s="206">
        <f t="shared" si="67"/>
        <v>313278</v>
      </c>
      <c r="AX49" s="206">
        <f t="shared" si="67"/>
        <v>476407.1</v>
      </c>
      <c r="AY49" s="206">
        <f t="shared" si="67"/>
        <v>328669.65000000002</v>
      </c>
      <c r="AZ49" s="206">
        <f t="shared" si="67"/>
        <v>341689.2</v>
      </c>
      <c r="BA49" s="206">
        <f t="shared" si="67"/>
        <v>341158.95</v>
      </c>
      <c r="BB49" s="206">
        <f t="shared" si="67"/>
        <v>343250</v>
      </c>
      <c r="BC49" s="206">
        <f t="shared" si="67"/>
        <v>342451</v>
      </c>
      <c r="BD49" s="206">
        <f t="shared" si="67"/>
        <v>468339.62</v>
      </c>
      <c r="BE49" s="206">
        <f t="shared" si="67"/>
        <v>307928.12</v>
      </c>
      <c r="BF49" s="206">
        <f t="shared" si="67"/>
        <v>298242</v>
      </c>
      <c r="BG49" s="206">
        <f t="shared" si="67"/>
        <v>300017.8</v>
      </c>
      <c r="BH49" s="206">
        <f t="shared" si="67"/>
        <v>300277.8</v>
      </c>
      <c r="BI49" s="206">
        <f t="shared" si="67"/>
        <v>463788.6</v>
      </c>
      <c r="BJ49" s="206">
        <f t="shared" si="67"/>
        <v>322661.41000000003</v>
      </c>
      <c r="BK49" s="206">
        <f t="shared" si="67"/>
        <v>321185.91000000003</v>
      </c>
      <c r="BL49" s="206">
        <f t="shared" si="67"/>
        <v>277137.02</v>
      </c>
      <c r="BM49" s="206">
        <f t="shared" si="67"/>
        <v>321674.13</v>
      </c>
      <c r="BN49" s="206">
        <f t="shared" ref="BN49:BT49" si="68">SUM(BN7,BN15,BN23)</f>
        <v>309688.34999999998</v>
      </c>
      <c r="BO49" s="206">
        <f t="shared" si="68"/>
        <v>318648.64</v>
      </c>
      <c r="BP49" s="206">
        <f t="shared" si="68"/>
        <v>430963.12</v>
      </c>
      <c r="BQ49" s="206">
        <f t="shared" si="68"/>
        <v>314938</v>
      </c>
      <c r="BR49" s="206">
        <f t="shared" si="68"/>
        <v>306082.59999999998</v>
      </c>
      <c r="BS49" s="206">
        <f t="shared" si="68"/>
        <v>304710</v>
      </c>
      <c r="BT49" s="206">
        <f t="shared" si="68"/>
        <v>310846.5</v>
      </c>
      <c r="BU49" s="160">
        <f t="shared" ref="BU49:EF49" si="69">SUM(BU7,BU15)</f>
        <v>461094.31</v>
      </c>
      <c r="BV49" s="160">
        <f t="shared" si="69"/>
        <v>320069.7</v>
      </c>
      <c r="BW49" s="160">
        <f t="shared" si="69"/>
        <v>320391</v>
      </c>
      <c r="BX49" s="160">
        <f t="shared" si="69"/>
        <v>265580</v>
      </c>
      <c r="BY49" s="160">
        <f t="shared" si="69"/>
        <v>327317</v>
      </c>
      <c r="BZ49" s="160">
        <f t="shared" si="69"/>
        <v>300762.56</v>
      </c>
      <c r="CA49" s="160">
        <f t="shared" si="69"/>
        <v>457569.15</v>
      </c>
      <c r="CB49" s="160">
        <f t="shared" si="69"/>
        <v>318537.37</v>
      </c>
      <c r="CC49" s="160">
        <f t="shared" si="69"/>
        <v>319037.96999999997</v>
      </c>
      <c r="CD49" s="160">
        <f t="shared" si="69"/>
        <v>295156.49</v>
      </c>
      <c r="CE49" s="160">
        <f t="shared" si="69"/>
        <v>293353.46000000002</v>
      </c>
      <c r="CF49" s="160">
        <f t="shared" si="69"/>
        <v>302617.33999999997</v>
      </c>
      <c r="CG49" s="160">
        <f t="shared" si="69"/>
        <v>441408.46</v>
      </c>
      <c r="CH49" s="160">
        <f t="shared" si="69"/>
        <v>304739.24</v>
      </c>
      <c r="CI49" s="160">
        <f t="shared" si="69"/>
        <v>305652.26</v>
      </c>
      <c r="CJ49" s="160">
        <f t="shared" si="69"/>
        <v>254390.79000000004</v>
      </c>
      <c r="CK49" s="160">
        <f t="shared" si="69"/>
        <v>302899.92</v>
      </c>
      <c r="CL49" s="160">
        <f t="shared" si="69"/>
        <v>293517.32</v>
      </c>
      <c r="CM49" s="160">
        <f t="shared" si="69"/>
        <v>444776.70999999996</v>
      </c>
      <c r="CN49" s="160">
        <f t="shared" si="69"/>
        <v>289984.70999999996</v>
      </c>
      <c r="CO49" s="160">
        <f t="shared" si="69"/>
        <v>296805.09000000003</v>
      </c>
      <c r="CP49" s="160">
        <f t="shared" si="69"/>
        <v>296087.82</v>
      </c>
      <c r="CQ49" s="160">
        <f t="shared" si="69"/>
        <v>291577.68000000005</v>
      </c>
      <c r="CR49" s="160">
        <f t="shared" si="69"/>
        <v>451860.27</v>
      </c>
      <c r="CS49" s="160">
        <f t="shared" si="69"/>
        <v>304981.59000000003</v>
      </c>
      <c r="CT49" s="160">
        <f t="shared" si="69"/>
        <v>316727.79000000004</v>
      </c>
      <c r="CU49" s="160">
        <f t="shared" si="69"/>
        <v>320095.06999999995</v>
      </c>
      <c r="CV49" s="160">
        <f t="shared" si="69"/>
        <v>268490.82</v>
      </c>
      <c r="CW49" s="160">
        <f t="shared" si="69"/>
        <v>320164.09999999998</v>
      </c>
      <c r="CX49" s="160">
        <f t="shared" si="69"/>
        <v>466497.92</v>
      </c>
      <c r="CY49" s="160">
        <f t="shared" si="69"/>
        <v>304372.2</v>
      </c>
      <c r="CZ49" s="160">
        <f t="shared" si="69"/>
        <v>323180.58999999997</v>
      </c>
      <c r="DA49" s="160">
        <f t="shared" si="69"/>
        <v>309349.55</v>
      </c>
      <c r="DB49" s="160">
        <f t="shared" si="69"/>
        <v>304713.28000000003</v>
      </c>
      <c r="DC49" s="160">
        <f t="shared" si="69"/>
        <v>459704.42</v>
      </c>
      <c r="DD49" s="160">
        <f t="shared" si="69"/>
        <v>304359.67</v>
      </c>
      <c r="DE49" s="160">
        <f t="shared" si="69"/>
        <v>311838.90000000002</v>
      </c>
      <c r="DF49" s="160">
        <f t="shared" si="69"/>
        <v>322680.97000000003</v>
      </c>
      <c r="DG49" s="160">
        <f t="shared" si="69"/>
        <v>324979.85000000003</v>
      </c>
      <c r="DH49" s="160">
        <f t="shared" si="69"/>
        <v>265127.08</v>
      </c>
      <c r="DI49" s="160">
        <f t="shared" si="69"/>
        <v>320050.03999999998</v>
      </c>
      <c r="DJ49" s="160">
        <f t="shared" si="69"/>
        <v>465697.67000000004</v>
      </c>
      <c r="DK49" s="160">
        <f t="shared" si="69"/>
        <v>389475.57999999996</v>
      </c>
      <c r="DL49" s="160">
        <f t="shared" si="69"/>
        <v>411245.5</v>
      </c>
      <c r="DM49" s="160">
        <f t="shared" si="69"/>
        <v>388832.23</v>
      </c>
      <c r="DN49" s="160">
        <f t="shared" si="69"/>
        <v>385949.27</v>
      </c>
      <c r="DO49" s="160">
        <f t="shared" si="69"/>
        <v>536482.47</v>
      </c>
      <c r="DP49" s="160">
        <f t="shared" si="69"/>
        <v>380389.19999999995</v>
      </c>
      <c r="DQ49" s="160">
        <f t="shared" si="69"/>
        <v>406485.54000000004</v>
      </c>
      <c r="DR49" s="160">
        <f t="shared" si="69"/>
        <v>391826.22000000003</v>
      </c>
      <c r="DS49" s="160">
        <f t="shared" si="69"/>
        <v>401085.07999999996</v>
      </c>
      <c r="DT49" s="160">
        <f t="shared" si="69"/>
        <v>723621.27</v>
      </c>
      <c r="DU49" s="160">
        <f t="shared" si="69"/>
        <v>565329.27999999991</v>
      </c>
      <c r="DV49" s="160">
        <f t="shared" si="69"/>
        <v>581797.18999999994</v>
      </c>
      <c r="DW49" s="160">
        <f t="shared" si="69"/>
        <v>598808.68999999994</v>
      </c>
      <c r="DX49" s="160">
        <f t="shared" si="69"/>
        <v>614968.8899999999</v>
      </c>
      <c r="DY49" s="160">
        <f t="shared" si="69"/>
        <v>579179.27</v>
      </c>
      <c r="DZ49" s="160">
        <f t="shared" si="69"/>
        <v>608573.64</v>
      </c>
      <c r="EA49" s="160">
        <f t="shared" si="69"/>
        <v>738442.89000000013</v>
      </c>
      <c r="EB49" s="160">
        <f t="shared" si="69"/>
        <v>584947.10000000009</v>
      </c>
      <c r="EC49" s="160">
        <f t="shared" si="69"/>
        <v>608509.32000000007</v>
      </c>
      <c r="ED49" s="160">
        <f t="shared" si="69"/>
        <v>575514.70000000007</v>
      </c>
      <c r="EE49" s="160">
        <f t="shared" si="69"/>
        <v>608508.88000000012</v>
      </c>
      <c r="EF49" s="160">
        <f t="shared" si="69"/>
        <v>736973.31009999989</v>
      </c>
      <c r="EG49" s="160">
        <f t="shared" ref="EG49:EN49" si="70">SUM(EG7,EG15)</f>
        <v>578934.31000000006</v>
      </c>
      <c r="EH49" s="160">
        <f t="shared" si="70"/>
        <v>597854.6399999999</v>
      </c>
      <c r="EI49" s="160">
        <f t="shared" si="70"/>
        <v>579756.65999999992</v>
      </c>
      <c r="EJ49" s="129">
        <f t="shared" si="70"/>
        <v>605741.34</v>
      </c>
      <c r="EK49" s="129">
        <f t="shared" si="70"/>
        <v>599645.5</v>
      </c>
      <c r="EL49" s="129">
        <f t="shared" si="70"/>
        <v>897353.70000000007</v>
      </c>
      <c r="EM49" s="129">
        <f t="shared" si="70"/>
        <v>600547.6</v>
      </c>
      <c r="EN49" s="129">
        <f t="shared" si="70"/>
        <v>649317.37</v>
      </c>
      <c r="EO49" s="129">
        <f>SUM(EO7,EO15)</f>
        <v>667326.38</v>
      </c>
      <c r="EP49" s="129">
        <f>SUM(EP7,EP15)</f>
        <v>746322.58310000005</v>
      </c>
      <c r="EQ49" s="129">
        <f>SUM(EQ7,EQ15)</f>
        <v>1141057.8899999999</v>
      </c>
      <c r="ER49" s="129">
        <f>SUM(ER7,ER15)</f>
        <v>1051975.6370000001</v>
      </c>
    </row>
    <row r="50" spans="1:148" x14ac:dyDescent="0.2">
      <c r="A50" s="234" t="s">
        <v>229</v>
      </c>
      <c r="B50" s="129">
        <f t="shared" ref="B50:BM50" si="71">SUM(B4,B13,B21)</f>
        <v>8</v>
      </c>
      <c r="C50" s="129">
        <f t="shared" si="71"/>
        <v>8</v>
      </c>
      <c r="D50" s="129">
        <f t="shared" si="71"/>
        <v>12</v>
      </c>
      <c r="E50" s="129">
        <f t="shared" si="71"/>
        <v>12</v>
      </c>
      <c r="F50" s="129">
        <f t="shared" si="71"/>
        <v>14</v>
      </c>
      <c r="G50" s="129">
        <f t="shared" si="71"/>
        <v>10</v>
      </c>
      <c r="H50" s="129">
        <f t="shared" si="71"/>
        <v>14</v>
      </c>
      <c r="I50" s="129">
        <f t="shared" si="71"/>
        <v>13</v>
      </c>
      <c r="J50" s="129">
        <f t="shared" si="71"/>
        <v>12</v>
      </c>
      <c r="K50" s="129">
        <f t="shared" si="71"/>
        <v>13</v>
      </c>
      <c r="L50" s="129">
        <f t="shared" si="71"/>
        <v>12</v>
      </c>
      <c r="M50" s="129">
        <f t="shared" si="71"/>
        <v>15</v>
      </c>
      <c r="N50" s="129">
        <f t="shared" si="71"/>
        <v>17</v>
      </c>
      <c r="O50" s="129">
        <f t="shared" si="71"/>
        <v>6</v>
      </c>
      <c r="P50" s="129">
        <f t="shared" si="71"/>
        <v>5</v>
      </c>
      <c r="Q50" s="129">
        <f t="shared" si="71"/>
        <v>8</v>
      </c>
      <c r="R50" s="129">
        <f t="shared" si="71"/>
        <v>8</v>
      </c>
      <c r="S50" s="129">
        <f t="shared" si="71"/>
        <v>10</v>
      </c>
      <c r="T50" s="129">
        <f t="shared" si="71"/>
        <v>19</v>
      </c>
      <c r="U50" s="129">
        <f t="shared" si="71"/>
        <v>14</v>
      </c>
      <c r="V50" s="129">
        <f t="shared" si="71"/>
        <v>8</v>
      </c>
      <c r="W50" s="129">
        <f t="shared" si="71"/>
        <v>16</v>
      </c>
      <c r="X50" s="129">
        <f t="shared" si="71"/>
        <v>13</v>
      </c>
      <c r="Y50" s="129">
        <f t="shared" si="71"/>
        <v>14</v>
      </c>
      <c r="Z50" s="129">
        <f t="shared" si="71"/>
        <v>12</v>
      </c>
      <c r="AA50" s="129">
        <f t="shared" si="71"/>
        <v>8</v>
      </c>
      <c r="AB50" s="129">
        <f t="shared" si="71"/>
        <v>17</v>
      </c>
      <c r="AC50" s="129">
        <f t="shared" si="71"/>
        <v>16</v>
      </c>
      <c r="AD50" s="129">
        <f t="shared" si="71"/>
        <v>13</v>
      </c>
      <c r="AE50" s="129">
        <f t="shared" si="71"/>
        <v>13</v>
      </c>
      <c r="AF50" s="129">
        <f t="shared" si="71"/>
        <v>10</v>
      </c>
      <c r="AG50" s="129">
        <f t="shared" si="71"/>
        <v>14</v>
      </c>
      <c r="AH50" s="129">
        <f t="shared" si="71"/>
        <v>5</v>
      </c>
      <c r="AI50" s="129">
        <f t="shared" si="71"/>
        <v>17</v>
      </c>
      <c r="AJ50" s="129">
        <f t="shared" si="71"/>
        <v>10</v>
      </c>
      <c r="AK50" s="129">
        <f t="shared" si="71"/>
        <v>13</v>
      </c>
      <c r="AL50" s="129">
        <f t="shared" si="71"/>
        <v>10</v>
      </c>
      <c r="AM50" s="129">
        <f t="shared" si="71"/>
        <v>14</v>
      </c>
      <c r="AN50" s="129">
        <f t="shared" si="71"/>
        <v>11</v>
      </c>
      <c r="AO50" s="129">
        <f t="shared" si="71"/>
        <v>13</v>
      </c>
      <c r="AP50" s="129">
        <f t="shared" si="71"/>
        <v>9</v>
      </c>
      <c r="AQ50" s="129">
        <f t="shared" si="71"/>
        <v>9</v>
      </c>
      <c r="AR50" s="129">
        <f t="shared" si="71"/>
        <v>6</v>
      </c>
      <c r="AS50" s="129">
        <f t="shared" si="71"/>
        <v>16</v>
      </c>
      <c r="AT50" s="129">
        <f t="shared" si="71"/>
        <v>11</v>
      </c>
      <c r="AU50" s="129">
        <f t="shared" si="71"/>
        <v>8</v>
      </c>
      <c r="AV50" s="129">
        <f t="shared" si="71"/>
        <v>9</v>
      </c>
      <c r="AW50" s="129">
        <f t="shared" si="71"/>
        <v>9</v>
      </c>
      <c r="AX50" s="129">
        <f t="shared" si="71"/>
        <v>14</v>
      </c>
      <c r="AY50" s="129">
        <f t="shared" si="71"/>
        <v>14</v>
      </c>
      <c r="AZ50" s="129">
        <f t="shared" si="71"/>
        <v>6</v>
      </c>
      <c r="BA50" s="129">
        <f t="shared" si="71"/>
        <v>6</v>
      </c>
      <c r="BB50" s="129">
        <f t="shared" si="71"/>
        <v>9</v>
      </c>
      <c r="BC50" s="129">
        <f t="shared" si="71"/>
        <v>9</v>
      </c>
      <c r="BD50" s="129">
        <f t="shared" si="71"/>
        <v>10</v>
      </c>
      <c r="BE50" s="129">
        <f t="shared" si="71"/>
        <v>10</v>
      </c>
      <c r="BF50" s="129">
        <f t="shared" si="71"/>
        <v>6</v>
      </c>
      <c r="BG50" s="129">
        <f t="shared" si="71"/>
        <v>10</v>
      </c>
      <c r="BH50" s="129">
        <f t="shared" si="71"/>
        <v>10</v>
      </c>
      <c r="BI50" s="129">
        <f t="shared" si="71"/>
        <v>9</v>
      </c>
      <c r="BJ50" s="129">
        <f t="shared" si="71"/>
        <v>9</v>
      </c>
      <c r="BK50" s="129">
        <f t="shared" si="71"/>
        <v>6</v>
      </c>
      <c r="BL50" s="129">
        <f t="shared" si="71"/>
        <v>9</v>
      </c>
      <c r="BM50" s="129">
        <f t="shared" si="71"/>
        <v>10</v>
      </c>
      <c r="BN50" s="129">
        <f t="shared" ref="BN50:BT50" si="72">SUM(BN4,BN13,BN21)</f>
        <v>10</v>
      </c>
      <c r="BO50" s="129">
        <f t="shared" si="72"/>
        <v>7</v>
      </c>
      <c r="BP50" s="129">
        <f t="shared" si="72"/>
        <v>8</v>
      </c>
      <c r="BQ50" s="129">
        <f t="shared" si="72"/>
        <v>4</v>
      </c>
      <c r="BR50" s="129">
        <f t="shared" si="72"/>
        <v>6</v>
      </c>
      <c r="BS50" s="129">
        <f t="shared" si="72"/>
        <v>4</v>
      </c>
      <c r="BT50" s="129">
        <f t="shared" si="72"/>
        <v>10</v>
      </c>
      <c r="BU50" s="129">
        <f t="shared" ref="BU50:EF50" si="73">SUM(BU4,BU13)</f>
        <v>15</v>
      </c>
      <c r="BV50" s="129">
        <f t="shared" si="73"/>
        <v>6</v>
      </c>
      <c r="BW50" s="129">
        <f t="shared" si="73"/>
        <v>6</v>
      </c>
      <c r="BX50" s="129">
        <f t="shared" si="73"/>
        <v>6</v>
      </c>
      <c r="BY50" s="129">
        <f t="shared" si="73"/>
        <v>7</v>
      </c>
      <c r="BZ50" s="129">
        <f t="shared" si="73"/>
        <v>9</v>
      </c>
      <c r="CA50" s="129">
        <f t="shared" si="73"/>
        <v>5</v>
      </c>
      <c r="CB50" s="129">
        <f t="shared" si="73"/>
        <v>7</v>
      </c>
      <c r="CC50" s="129">
        <f t="shared" si="73"/>
        <v>13</v>
      </c>
      <c r="CD50" s="129">
        <f t="shared" si="73"/>
        <v>12</v>
      </c>
      <c r="CE50" s="129">
        <f t="shared" si="73"/>
        <v>3</v>
      </c>
      <c r="CF50" s="129">
        <f t="shared" si="73"/>
        <v>9</v>
      </c>
      <c r="CG50" s="129">
        <f t="shared" si="73"/>
        <v>2</v>
      </c>
      <c r="CH50" s="129">
        <f t="shared" si="73"/>
        <v>10</v>
      </c>
      <c r="CI50" s="129">
        <f t="shared" si="73"/>
        <v>5</v>
      </c>
      <c r="CJ50" s="129">
        <f t="shared" si="73"/>
        <v>5</v>
      </c>
      <c r="CK50" s="129">
        <f t="shared" si="73"/>
        <v>6</v>
      </c>
      <c r="CL50" s="129">
        <f t="shared" si="73"/>
        <v>9</v>
      </c>
      <c r="CM50" s="129">
        <f t="shared" si="73"/>
        <v>3</v>
      </c>
      <c r="CN50" s="129">
        <f t="shared" si="73"/>
        <v>10</v>
      </c>
      <c r="CO50" s="129">
        <f t="shared" si="73"/>
        <v>6</v>
      </c>
      <c r="CP50" s="129">
        <f t="shared" si="73"/>
        <v>7</v>
      </c>
      <c r="CQ50" s="129">
        <f t="shared" si="73"/>
        <v>9</v>
      </c>
      <c r="CR50" s="129">
        <f t="shared" si="73"/>
        <v>8</v>
      </c>
      <c r="CS50" s="129">
        <f t="shared" si="73"/>
        <v>6</v>
      </c>
      <c r="CT50" s="129">
        <f t="shared" si="73"/>
        <v>3</v>
      </c>
      <c r="CU50" s="129">
        <f t="shared" si="73"/>
        <v>8</v>
      </c>
      <c r="CV50" s="129">
        <f t="shared" si="73"/>
        <v>11</v>
      </c>
      <c r="CW50" s="129">
        <f t="shared" si="73"/>
        <v>11</v>
      </c>
      <c r="CX50" s="129">
        <f t="shared" si="73"/>
        <v>9</v>
      </c>
      <c r="CY50" s="129">
        <f t="shared" si="73"/>
        <v>8</v>
      </c>
      <c r="CZ50" s="129">
        <f t="shared" si="73"/>
        <v>8</v>
      </c>
      <c r="DA50" s="129">
        <f t="shared" si="73"/>
        <v>10</v>
      </c>
      <c r="DB50" s="129">
        <f t="shared" si="73"/>
        <v>4</v>
      </c>
      <c r="DC50" s="129">
        <f t="shared" si="73"/>
        <v>11</v>
      </c>
      <c r="DD50" s="129">
        <f t="shared" si="73"/>
        <v>5</v>
      </c>
      <c r="DE50" s="129">
        <f t="shared" si="73"/>
        <v>8</v>
      </c>
      <c r="DF50" s="129">
        <f t="shared" si="73"/>
        <v>6</v>
      </c>
      <c r="DG50" s="129">
        <f t="shared" si="73"/>
        <v>7</v>
      </c>
      <c r="DH50" s="129">
        <f t="shared" si="73"/>
        <v>18</v>
      </c>
      <c r="DI50" s="129">
        <f t="shared" si="73"/>
        <v>6</v>
      </c>
      <c r="DJ50" s="129">
        <f t="shared" si="73"/>
        <v>4</v>
      </c>
      <c r="DK50" s="129">
        <f t="shared" si="73"/>
        <v>15</v>
      </c>
      <c r="DL50" s="129">
        <f t="shared" si="73"/>
        <v>7</v>
      </c>
      <c r="DM50" s="129">
        <f t="shared" si="73"/>
        <v>5</v>
      </c>
      <c r="DN50" s="129">
        <f t="shared" si="73"/>
        <v>5</v>
      </c>
      <c r="DO50" s="129">
        <f t="shared" si="73"/>
        <v>3</v>
      </c>
      <c r="DP50" s="129">
        <f t="shared" si="73"/>
        <v>15</v>
      </c>
      <c r="DQ50" s="129">
        <f t="shared" si="73"/>
        <v>10</v>
      </c>
      <c r="DR50" s="129">
        <f t="shared" si="73"/>
        <v>5</v>
      </c>
      <c r="DS50" s="129">
        <f t="shared" si="73"/>
        <v>14</v>
      </c>
      <c r="DT50" s="129">
        <f t="shared" si="73"/>
        <v>10</v>
      </c>
      <c r="DU50" s="129">
        <f t="shared" si="73"/>
        <v>12</v>
      </c>
      <c r="DV50" s="129">
        <f t="shared" si="73"/>
        <v>9</v>
      </c>
      <c r="DW50" s="129">
        <f t="shared" si="73"/>
        <v>7</v>
      </c>
      <c r="DX50" s="129">
        <f t="shared" si="73"/>
        <v>9</v>
      </c>
      <c r="DY50" s="129">
        <f t="shared" si="73"/>
        <v>7</v>
      </c>
      <c r="DZ50" s="129">
        <f t="shared" si="73"/>
        <v>8</v>
      </c>
      <c r="EA50" s="129">
        <f t="shared" si="73"/>
        <v>4</v>
      </c>
      <c r="EB50" s="129">
        <f t="shared" si="73"/>
        <v>12</v>
      </c>
      <c r="EC50" s="129">
        <f t="shared" si="73"/>
        <v>13</v>
      </c>
      <c r="ED50" s="129">
        <f t="shared" si="73"/>
        <v>10</v>
      </c>
      <c r="EE50" s="129">
        <f t="shared" si="73"/>
        <v>9</v>
      </c>
      <c r="EF50" s="129">
        <f t="shared" si="73"/>
        <v>10</v>
      </c>
      <c r="EG50" s="129">
        <f t="shared" ref="EG50:EN50" si="74">SUM(EG4,EG13)</f>
        <v>13</v>
      </c>
      <c r="EH50" s="129">
        <f t="shared" si="74"/>
        <v>6</v>
      </c>
      <c r="EI50" s="129">
        <f t="shared" si="74"/>
        <v>11</v>
      </c>
      <c r="EJ50" s="129">
        <f t="shared" si="74"/>
        <v>12</v>
      </c>
      <c r="EK50" s="129">
        <f t="shared" si="74"/>
        <v>10</v>
      </c>
      <c r="EL50" s="129">
        <f t="shared" si="74"/>
        <v>18</v>
      </c>
      <c r="EM50" s="129">
        <f t="shared" si="74"/>
        <v>11</v>
      </c>
      <c r="EN50" s="129">
        <f t="shared" si="74"/>
        <v>14</v>
      </c>
      <c r="EO50" s="129">
        <f>SUM(EO4,EO13)</f>
        <v>15</v>
      </c>
      <c r="EP50" s="129">
        <f>SUM(EP4,EP13)</f>
        <v>4</v>
      </c>
      <c r="EQ50" s="129">
        <f>SUM(EQ4,EQ13)</f>
        <v>10</v>
      </c>
      <c r="ER50" s="129">
        <f>SUM(ER4,ER13)</f>
        <v>9</v>
      </c>
    </row>
    <row r="51" spans="1:148" x14ac:dyDescent="0.2">
      <c r="A51" s="234" t="s">
        <v>230</v>
      </c>
      <c r="B51" s="181">
        <f t="shared" ref="B51:BM51" si="75">SUM(B5,B14,B22)/7.5</f>
        <v>95.86666666666666</v>
      </c>
      <c r="C51" s="181">
        <f t="shared" si="75"/>
        <v>100.13333333333334</v>
      </c>
      <c r="D51" s="181">
        <f t="shared" si="75"/>
        <v>126.4</v>
      </c>
      <c r="E51" s="181">
        <f t="shared" si="75"/>
        <v>127.86666666666666</v>
      </c>
      <c r="F51" s="181">
        <f t="shared" si="75"/>
        <v>112.8</v>
      </c>
      <c r="G51" s="181">
        <f t="shared" si="75"/>
        <v>76.933333333333337</v>
      </c>
      <c r="H51" s="181">
        <f t="shared" si="75"/>
        <v>59.2</v>
      </c>
      <c r="I51" s="181">
        <f t="shared" si="75"/>
        <v>87.066666666666663</v>
      </c>
      <c r="J51" s="181">
        <f t="shared" si="75"/>
        <v>76.666666666666671</v>
      </c>
      <c r="K51" s="181">
        <f t="shared" si="75"/>
        <v>103.06666666666666</v>
      </c>
      <c r="L51" s="181">
        <f t="shared" si="75"/>
        <v>86</v>
      </c>
      <c r="M51" s="181">
        <f t="shared" si="75"/>
        <v>94.13333333333334</v>
      </c>
      <c r="N51" s="181">
        <f t="shared" si="75"/>
        <v>124.26666666666667</v>
      </c>
      <c r="O51" s="181">
        <f t="shared" si="75"/>
        <v>138.80000000000001</v>
      </c>
      <c r="P51" s="181">
        <f t="shared" si="75"/>
        <v>91.066666666666663</v>
      </c>
      <c r="Q51" s="181">
        <f t="shared" si="75"/>
        <v>64.13333333333334</v>
      </c>
      <c r="R51" s="181">
        <f t="shared" si="75"/>
        <v>80</v>
      </c>
      <c r="S51" s="181">
        <f t="shared" si="75"/>
        <v>64.933333333333337</v>
      </c>
      <c r="T51" s="181">
        <f t="shared" si="75"/>
        <v>125.93333333333334</v>
      </c>
      <c r="U51" s="181">
        <f t="shared" si="75"/>
        <v>154.46666666666667</v>
      </c>
      <c r="V51" s="181">
        <f t="shared" si="75"/>
        <v>93.066666666666663</v>
      </c>
      <c r="W51" s="181">
        <f t="shared" si="75"/>
        <v>128.53333333333333</v>
      </c>
      <c r="X51" s="181">
        <f t="shared" si="75"/>
        <v>155.19999999999999</v>
      </c>
      <c r="Y51" s="181">
        <f t="shared" si="75"/>
        <v>55.06666666666667</v>
      </c>
      <c r="Z51" s="181">
        <f t="shared" si="75"/>
        <v>33</v>
      </c>
      <c r="AA51" s="181">
        <f t="shared" si="75"/>
        <v>32</v>
      </c>
      <c r="AB51" s="181">
        <f t="shared" si="75"/>
        <v>45.030666666666669</v>
      </c>
      <c r="AC51" s="181">
        <f t="shared" si="75"/>
        <v>60.56666666666667</v>
      </c>
      <c r="AD51" s="181">
        <f t="shared" si="75"/>
        <v>44.76</v>
      </c>
      <c r="AE51" s="181">
        <f t="shared" si="75"/>
        <v>18.966666666666665</v>
      </c>
      <c r="AF51" s="181">
        <f t="shared" si="75"/>
        <v>6.3</v>
      </c>
      <c r="AG51" s="181">
        <f t="shared" si="75"/>
        <v>19.2</v>
      </c>
      <c r="AH51" s="181">
        <f t="shared" si="75"/>
        <v>14.5</v>
      </c>
      <c r="AI51" s="181">
        <f t="shared" si="75"/>
        <v>34.6</v>
      </c>
      <c r="AJ51" s="181">
        <f t="shared" si="75"/>
        <v>33.200000000000003</v>
      </c>
      <c r="AK51" s="181">
        <f t="shared" si="75"/>
        <v>20.100000000000001</v>
      </c>
      <c r="AL51" s="181">
        <f t="shared" si="75"/>
        <v>25.633333333333333</v>
      </c>
      <c r="AM51" s="181">
        <f t="shared" si="75"/>
        <v>50.8</v>
      </c>
      <c r="AN51" s="181">
        <f t="shared" si="75"/>
        <v>19.233333333333334</v>
      </c>
      <c r="AO51" s="181">
        <f t="shared" si="75"/>
        <v>21.933333333333334</v>
      </c>
      <c r="AP51" s="181">
        <f t="shared" si="75"/>
        <v>20.366666666666667</v>
      </c>
      <c r="AQ51" s="181">
        <f t="shared" si="75"/>
        <v>18.543333333333333</v>
      </c>
      <c r="AR51" s="181">
        <f t="shared" si="75"/>
        <v>21.7</v>
      </c>
      <c r="AS51" s="181">
        <f t="shared" si="75"/>
        <v>21.8</v>
      </c>
      <c r="AT51" s="181">
        <f t="shared" si="75"/>
        <v>17.351999999999997</v>
      </c>
      <c r="AU51" s="181">
        <f t="shared" si="75"/>
        <v>23.666666666666668</v>
      </c>
      <c r="AV51" s="181">
        <f t="shared" si="75"/>
        <v>16</v>
      </c>
      <c r="AW51" s="181">
        <f t="shared" si="75"/>
        <v>21.4</v>
      </c>
      <c r="AX51" s="181">
        <f t="shared" si="75"/>
        <v>18.600000000000001</v>
      </c>
      <c r="AY51" s="181">
        <f t="shared" si="75"/>
        <v>10.6</v>
      </c>
      <c r="AZ51" s="181">
        <f t="shared" si="75"/>
        <v>3.0001333333333333</v>
      </c>
      <c r="BA51" s="181">
        <f t="shared" si="75"/>
        <v>2</v>
      </c>
      <c r="BB51" s="181">
        <f t="shared" si="75"/>
        <v>25.333333333333332</v>
      </c>
      <c r="BC51" s="181">
        <f t="shared" si="75"/>
        <v>21</v>
      </c>
      <c r="BD51" s="181">
        <f t="shared" si="75"/>
        <v>9.9001333333333346</v>
      </c>
      <c r="BE51" s="181">
        <f t="shared" si="75"/>
        <v>13.533333333333333</v>
      </c>
      <c r="BF51" s="181">
        <f t="shared" si="75"/>
        <v>15.6</v>
      </c>
      <c r="BG51" s="181">
        <f t="shared" si="75"/>
        <v>14</v>
      </c>
      <c r="BH51" s="181">
        <f t="shared" si="75"/>
        <v>6.9</v>
      </c>
      <c r="BI51" s="181">
        <f t="shared" si="75"/>
        <v>3.8</v>
      </c>
      <c r="BJ51" s="181">
        <f t="shared" si="75"/>
        <v>7.9</v>
      </c>
      <c r="BK51" s="181">
        <f t="shared" si="75"/>
        <v>17.8</v>
      </c>
      <c r="BL51" s="181">
        <f t="shared" si="75"/>
        <v>9.1999999999999993</v>
      </c>
      <c r="BM51" s="181">
        <f t="shared" si="75"/>
        <v>24.5</v>
      </c>
      <c r="BN51" s="181">
        <f t="shared" ref="BN51:BT51" si="76">SUM(BN5,BN14,BN22)/7.5</f>
        <v>3</v>
      </c>
      <c r="BO51" s="181">
        <f t="shared" si="76"/>
        <v>9</v>
      </c>
      <c r="BP51" s="181">
        <f t="shared" si="76"/>
        <v>6.5</v>
      </c>
      <c r="BQ51" s="181">
        <f t="shared" si="76"/>
        <v>3.6</v>
      </c>
      <c r="BR51" s="181">
        <f t="shared" si="76"/>
        <v>11.966666666666667</v>
      </c>
      <c r="BS51" s="181">
        <f t="shared" si="76"/>
        <v>22.2</v>
      </c>
      <c r="BT51" s="181">
        <f t="shared" si="76"/>
        <v>31.9</v>
      </c>
      <c r="BU51" s="194">
        <f t="shared" ref="BU51:EF51" si="77">SUM(BU5,BU14)/7.5</f>
        <v>21.6</v>
      </c>
      <c r="BV51" s="194">
        <f t="shared" si="77"/>
        <v>29.3</v>
      </c>
      <c r="BW51" s="194">
        <f t="shared" si="77"/>
        <v>1.5</v>
      </c>
      <c r="BX51" s="194">
        <f t="shared" si="77"/>
        <v>4.8</v>
      </c>
      <c r="BY51" s="194">
        <f t="shared" si="77"/>
        <v>8.5</v>
      </c>
      <c r="BZ51" s="194">
        <f t="shared" si="77"/>
        <v>4.2</v>
      </c>
      <c r="CA51" s="194">
        <f t="shared" si="77"/>
        <v>20.5</v>
      </c>
      <c r="CB51" s="194">
        <f t="shared" si="77"/>
        <v>6.4</v>
      </c>
      <c r="CC51" s="194">
        <f t="shared" si="77"/>
        <v>9.9</v>
      </c>
      <c r="CD51" s="194">
        <f t="shared" si="77"/>
        <v>6.7</v>
      </c>
      <c r="CE51" s="194">
        <f t="shared" si="77"/>
        <v>0.8</v>
      </c>
      <c r="CF51" s="194">
        <f t="shared" si="77"/>
        <v>10.5</v>
      </c>
      <c r="CG51" s="194">
        <f t="shared" si="77"/>
        <v>35.559999999999995</v>
      </c>
      <c r="CH51" s="194">
        <f t="shared" si="77"/>
        <v>43.4</v>
      </c>
      <c r="CI51" s="194">
        <f t="shared" si="77"/>
        <v>40.200000000000003</v>
      </c>
      <c r="CJ51" s="194">
        <f t="shared" si="77"/>
        <v>29.2</v>
      </c>
      <c r="CK51" s="194">
        <f t="shared" si="77"/>
        <v>36.5</v>
      </c>
      <c r="CL51" s="194">
        <f t="shared" si="77"/>
        <v>53.5</v>
      </c>
      <c r="CM51" s="194">
        <f t="shared" si="77"/>
        <v>45.14</v>
      </c>
      <c r="CN51" s="194">
        <f t="shared" si="77"/>
        <v>36.9</v>
      </c>
      <c r="CO51" s="194">
        <f t="shared" si="77"/>
        <v>33.4</v>
      </c>
      <c r="CP51" s="194">
        <f t="shared" si="77"/>
        <v>49.7</v>
      </c>
      <c r="CQ51" s="194">
        <f t="shared" si="77"/>
        <v>24.8</v>
      </c>
      <c r="CR51" s="194">
        <f t="shared" si="77"/>
        <v>36.1</v>
      </c>
      <c r="CS51" s="194">
        <f t="shared" si="77"/>
        <v>7</v>
      </c>
      <c r="CT51" s="194">
        <f t="shared" si="77"/>
        <v>19.399999999999999</v>
      </c>
      <c r="CU51" s="194">
        <f t="shared" si="77"/>
        <v>15.93</v>
      </c>
      <c r="CV51" s="194">
        <f t="shared" si="77"/>
        <v>57.33</v>
      </c>
      <c r="CW51" s="194">
        <f t="shared" si="77"/>
        <v>87.53</v>
      </c>
      <c r="CX51" s="194">
        <f t="shared" si="77"/>
        <v>70.740000000000009</v>
      </c>
      <c r="CY51" s="194">
        <f t="shared" si="77"/>
        <v>57.326666666666668</v>
      </c>
      <c r="CZ51" s="194">
        <f t="shared" si="77"/>
        <v>88.47</v>
      </c>
      <c r="DA51" s="194">
        <f t="shared" si="77"/>
        <v>55.510000000000005</v>
      </c>
      <c r="DB51" s="194">
        <f t="shared" si="77"/>
        <v>16.86</v>
      </c>
      <c r="DC51" s="194">
        <f t="shared" si="77"/>
        <v>28.27</v>
      </c>
      <c r="DD51" s="194">
        <f t="shared" si="77"/>
        <v>37</v>
      </c>
      <c r="DE51" s="194">
        <f t="shared" si="77"/>
        <v>59.539999999999992</v>
      </c>
      <c r="DF51" s="194">
        <f t="shared" si="77"/>
        <v>78.48</v>
      </c>
      <c r="DG51" s="194">
        <f t="shared" si="77"/>
        <v>59.169999999999995</v>
      </c>
      <c r="DH51" s="194">
        <f t="shared" si="77"/>
        <v>70.5</v>
      </c>
      <c r="DI51" s="194">
        <f t="shared" si="77"/>
        <v>38.919999999999995</v>
      </c>
      <c r="DJ51" s="194">
        <f t="shared" si="77"/>
        <v>38.049999999999997</v>
      </c>
      <c r="DK51" s="194">
        <f t="shared" si="77"/>
        <v>44.2</v>
      </c>
      <c r="DL51" s="194">
        <f t="shared" si="77"/>
        <v>49.22</v>
      </c>
      <c r="DM51" s="194">
        <f t="shared" si="77"/>
        <v>43.9</v>
      </c>
      <c r="DN51" s="194">
        <f t="shared" si="77"/>
        <v>39.909999999999997</v>
      </c>
      <c r="DO51" s="194">
        <f t="shared" si="77"/>
        <v>17.2</v>
      </c>
      <c r="DP51" s="194">
        <f t="shared" si="77"/>
        <v>59.33</v>
      </c>
      <c r="DQ51" s="194">
        <f t="shared" si="77"/>
        <v>71.27</v>
      </c>
      <c r="DR51" s="194">
        <f t="shared" si="77"/>
        <v>70.599999999999994</v>
      </c>
      <c r="DS51" s="194">
        <f t="shared" si="77"/>
        <v>51.1</v>
      </c>
      <c r="DT51" s="194">
        <f t="shared" si="77"/>
        <v>44.7</v>
      </c>
      <c r="DU51" s="194">
        <f t="shared" si="77"/>
        <v>42.560000000000009</v>
      </c>
      <c r="DV51" s="194">
        <f t="shared" si="77"/>
        <v>78.5</v>
      </c>
      <c r="DW51" s="194">
        <f t="shared" si="77"/>
        <v>88</v>
      </c>
      <c r="DX51" s="194">
        <f t="shared" si="77"/>
        <v>99.899999999999991</v>
      </c>
      <c r="DY51" s="194">
        <f t="shared" si="77"/>
        <v>93.9</v>
      </c>
      <c r="DZ51" s="194">
        <f t="shared" si="77"/>
        <v>75.7</v>
      </c>
      <c r="EA51" s="194">
        <f t="shared" si="77"/>
        <v>44.2</v>
      </c>
      <c r="EB51" s="194">
        <f t="shared" si="77"/>
        <v>52.9</v>
      </c>
      <c r="EC51" s="194">
        <f t="shared" si="77"/>
        <v>51.8</v>
      </c>
      <c r="ED51" s="194">
        <f t="shared" si="77"/>
        <v>29</v>
      </c>
      <c r="EE51" s="194">
        <f t="shared" si="77"/>
        <v>12</v>
      </c>
      <c r="EF51" s="194">
        <f t="shared" si="77"/>
        <v>22.2</v>
      </c>
      <c r="EG51" s="194">
        <f t="shared" ref="EG51:EN51" si="78">SUM(EG5,EG14)/7.5</f>
        <v>21.4</v>
      </c>
      <c r="EH51" s="194">
        <f t="shared" si="78"/>
        <v>13.4</v>
      </c>
      <c r="EI51" s="194">
        <f t="shared" si="78"/>
        <v>66.059999999999988</v>
      </c>
      <c r="EJ51" s="129">
        <f t="shared" si="78"/>
        <v>58.21</v>
      </c>
      <c r="EK51" s="129">
        <f t="shared" si="78"/>
        <v>39.26</v>
      </c>
      <c r="EL51" s="129">
        <f t="shared" si="78"/>
        <v>16.95</v>
      </c>
      <c r="EM51" s="129">
        <f t="shared" si="78"/>
        <v>20.389999999999997</v>
      </c>
      <c r="EN51" s="129">
        <f t="shared" si="78"/>
        <v>35.769999999999996</v>
      </c>
      <c r="EO51" s="129">
        <f>SUM(EO5,EO14)/7.5</f>
        <v>44.060000000000009</v>
      </c>
      <c r="EP51" s="129">
        <f>SUM(EP5,EP14)/7.5</f>
        <v>37.99</v>
      </c>
      <c r="EQ51" s="129">
        <f>SUM(EQ5,EQ14)/7.5</f>
        <v>38.22</v>
      </c>
      <c r="ER51" s="129">
        <f>SUM(ER5,ER14)/7.5</f>
        <v>0</v>
      </c>
    </row>
    <row r="52" spans="1:148" x14ac:dyDescent="0.2">
      <c r="A52" s="234" t="s">
        <v>231</v>
      </c>
      <c r="B52" s="181"/>
      <c r="C52" s="181"/>
      <c r="D52" s="181"/>
      <c r="E52" s="181"/>
      <c r="F52" s="181"/>
      <c r="G52" s="181"/>
      <c r="H52" s="181"/>
      <c r="I52" s="181"/>
      <c r="J52" s="181"/>
      <c r="K52" s="181"/>
      <c r="L52" s="181"/>
      <c r="M52" s="181"/>
      <c r="N52" s="181"/>
      <c r="O52" s="181"/>
      <c r="P52" s="181"/>
      <c r="Q52" s="181"/>
      <c r="R52" s="181"/>
      <c r="S52" s="181"/>
      <c r="T52" s="181"/>
      <c r="U52" s="181"/>
      <c r="V52" s="181"/>
      <c r="W52" s="181"/>
      <c r="X52" s="181"/>
      <c r="Y52" s="181"/>
      <c r="Z52" s="181"/>
      <c r="AA52" s="181"/>
      <c r="AB52" s="181"/>
      <c r="AC52" s="181"/>
      <c r="AD52" s="181"/>
      <c r="AE52" s="181"/>
      <c r="AF52" s="181"/>
      <c r="AG52" s="181"/>
      <c r="AH52" s="181"/>
      <c r="AI52" s="181"/>
      <c r="AJ52" s="181"/>
      <c r="AK52" s="181"/>
      <c r="AL52" s="181"/>
      <c r="AM52" s="181"/>
      <c r="AN52" s="181"/>
      <c r="AO52" s="181"/>
      <c r="AP52" s="181"/>
      <c r="AQ52" s="181"/>
      <c r="AR52" s="181"/>
      <c r="AS52" s="181"/>
      <c r="AT52" s="181"/>
      <c r="AU52" s="181"/>
      <c r="AV52" s="181"/>
      <c r="AW52" s="181"/>
      <c r="AX52" s="181"/>
      <c r="AY52" s="181"/>
      <c r="AZ52" s="181"/>
      <c r="BA52" s="181"/>
      <c r="BB52" s="181"/>
      <c r="BC52" s="181"/>
      <c r="BD52" s="181"/>
      <c r="BE52" s="181"/>
      <c r="BF52" s="181"/>
      <c r="BG52" s="181"/>
      <c r="BH52" s="181"/>
      <c r="BI52" s="181"/>
      <c r="BJ52" s="181"/>
      <c r="BK52" s="181"/>
      <c r="BL52" s="181"/>
      <c r="BM52" s="181"/>
      <c r="BN52" s="181"/>
      <c r="BO52" s="181"/>
      <c r="BP52" s="181"/>
      <c r="BQ52" s="181"/>
      <c r="BR52" s="181"/>
      <c r="BS52" s="181">
        <f>SUM(BS6,BS14,BS22)/7.5</f>
        <v>22.2</v>
      </c>
      <c r="BT52" s="181">
        <f>SUM(BT6,BT14,BT22)/7.5</f>
        <v>31.9</v>
      </c>
      <c r="BU52" s="194">
        <f t="shared" ref="BU52:EF52" si="79">SUM(BU6,BU14)/7.5</f>
        <v>21.6</v>
      </c>
      <c r="BV52" s="194">
        <f t="shared" si="79"/>
        <v>29.3</v>
      </c>
      <c r="BW52" s="194">
        <f t="shared" si="79"/>
        <v>1.5</v>
      </c>
      <c r="BX52" s="194">
        <f t="shared" si="79"/>
        <v>4.8</v>
      </c>
      <c r="BY52" s="194">
        <f t="shared" si="79"/>
        <v>8.5</v>
      </c>
      <c r="BZ52" s="194">
        <f t="shared" si="79"/>
        <v>4.2</v>
      </c>
      <c r="CA52" s="194">
        <f t="shared" si="79"/>
        <v>20.5</v>
      </c>
      <c r="CB52" s="194">
        <f t="shared" si="79"/>
        <v>6.4</v>
      </c>
      <c r="CC52" s="194">
        <f t="shared" si="79"/>
        <v>9.9</v>
      </c>
      <c r="CD52" s="194">
        <f t="shared" si="79"/>
        <v>6.7</v>
      </c>
      <c r="CE52" s="194">
        <f t="shared" si="79"/>
        <v>0.8</v>
      </c>
      <c r="CF52" s="194">
        <f t="shared" si="79"/>
        <v>6.1</v>
      </c>
      <c r="CG52" s="194">
        <f t="shared" si="79"/>
        <v>16.52</v>
      </c>
      <c r="CH52" s="194">
        <f t="shared" si="79"/>
        <v>23.8</v>
      </c>
      <c r="CI52" s="194">
        <f t="shared" si="79"/>
        <v>19.3</v>
      </c>
      <c r="CJ52" s="194">
        <f t="shared" si="79"/>
        <v>10.199999999999999</v>
      </c>
      <c r="CK52" s="194">
        <f t="shared" si="79"/>
        <v>18.399999999999999</v>
      </c>
      <c r="CL52" s="194">
        <f t="shared" si="79"/>
        <v>35.4</v>
      </c>
      <c r="CM52" s="194">
        <f t="shared" si="79"/>
        <v>26.100000000000005</v>
      </c>
      <c r="CN52" s="194">
        <f t="shared" si="79"/>
        <v>17</v>
      </c>
      <c r="CO52" s="194">
        <f t="shared" si="79"/>
        <v>13.5</v>
      </c>
      <c r="CP52" s="194">
        <f t="shared" si="79"/>
        <v>9.6</v>
      </c>
      <c r="CQ52" s="194">
        <f t="shared" si="79"/>
        <v>14.4</v>
      </c>
      <c r="CR52" s="194">
        <f t="shared" si="79"/>
        <v>36.1</v>
      </c>
      <c r="CS52" s="194">
        <f t="shared" si="79"/>
        <v>7</v>
      </c>
      <c r="CT52" s="194">
        <f t="shared" si="79"/>
        <v>19.399999999999999</v>
      </c>
      <c r="CU52" s="194">
        <f t="shared" si="79"/>
        <v>15.93</v>
      </c>
      <c r="CV52" s="194">
        <f t="shared" si="79"/>
        <v>57.33</v>
      </c>
      <c r="CW52" s="194">
        <f t="shared" si="79"/>
        <v>87.53</v>
      </c>
      <c r="CX52" s="194">
        <f t="shared" si="79"/>
        <v>70.740000000000009</v>
      </c>
      <c r="CY52" s="194">
        <f t="shared" si="79"/>
        <v>57.326666666666668</v>
      </c>
      <c r="CZ52" s="194">
        <f t="shared" si="79"/>
        <v>88.47</v>
      </c>
      <c r="DA52" s="194">
        <f t="shared" si="79"/>
        <v>55.510000000000005</v>
      </c>
      <c r="DB52" s="194">
        <f t="shared" si="79"/>
        <v>16.86</v>
      </c>
      <c r="DC52" s="194">
        <f t="shared" si="79"/>
        <v>28.27</v>
      </c>
      <c r="DD52" s="194">
        <f t="shared" si="79"/>
        <v>37</v>
      </c>
      <c r="DE52" s="194">
        <f t="shared" si="79"/>
        <v>59.539999999999992</v>
      </c>
      <c r="DF52" s="194">
        <f t="shared" si="79"/>
        <v>78.48</v>
      </c>
      <c r="DG52" s="194">
        <f t="shared" si="79"/>
        <v>59.169999999999995</v>
      </c>
      <c r="DH52" s="194">
        <f t="shared" si="79"/>
        <v>70.5</v>
      </c>
      <c r="DI52" s="194">
        <f t="shared" si="79"/>
        <v>38.919999999999995</v>
      </c>
      <c r="DJ52" s="194">
        <f t="shared" si="79"/>
        <v>38.049999999999997</v>
      </c>
      <c r="DK52" s="194">
        <f t="shared" si="79"/>
        <v>44.2</v>
      </c>
      <c r="DL52" s="194">
        <f t="shared" si="79"/>
        <v>49.22</v>
      </c>
      <c r="DM52" s="194">
        <f t="shared" si="79"/>
        <v>43.9</v>
      </c>
      <c r="DN52" s="194">
        <f t="shared" si="79"/>
        <v>39.909999999999997</v>
      </c>
      <c r="DO52" s="194">
        <f t="shared" si="79"/>
        <v>17.2</v>
      </c>
      <c r="DP52" s="194">
        <f t="shared" si="79"/>
        <v>59.33</v>
      </c>
      <c r="DQ52" s="194">
        <f t="shared" si="79"/>
        <v>71.27</v>
      </c>
      <c r="DR52" s="194">
        <f t="shared" si="79"/>
        <v>70.599999999999994</v>
      </c>
      <c r="DS52" s="194">
        <f t="shared" si="79"/>
        <v>51.1</v>
      </c>
      <c r="DT52" s="194">
        <f t="shared" si="79"/>
        <v>44.7</v>
      </c>
      <c r="DU52" s="194">
        <f t="shared" si="79"/>
        <v>42.560000000000009</v>
      </c>
      <c r="DV52" s="194">
        <f t="shared" si="79"/>
        <v>78.5</v>
      </c>
      <c r="DW52" s="194">
        <f t="shared" si="79"/>
        <v>88</v>
      </c>
      <c r="DX52" s="194">
        <f t="shared" si="79"/>
        <v>99.899999999999991</v>
      </c>
      <c r="DY52" s="194">
        <f t="shared" si="79"/>
        <v>93.9</v>
      </c>
      <c r="DZ52" s="194">
        <f t="shared" si="79"/>
        <v>75.7</v>
      </c>
      <c r="EA52" s="194">
        <f t="shared" si="79"/>
        <v>44.2</v>
      </c>
      <c r="EB52" s="194">
        <f t="shared" si="79"/>
        <v>52.9</v>
      </c>
      <c r="EC52" s="194">
        <f t="shared" si="79"/>
        <v>51.8</v>
      </c>
      <c r="ED52" s="194">
        <f t="shared" si="79"/>
        <v>29</v>
      </c>
      <c r="EE52" s="194">
        <f t="shared" si="79"/>
        <v>12</v>
      </c>
      <c r="EF52" s="194">
        <f t="shared" si="79"/>
        <v>22.2</v>
      </c>
      <c r="EG52" s="194">
        <f t="shared" ref="EG52:EN52" si="80">SUM(EG6,EG14)/7.5</f>
        <v>21.4</v>
      </c>
      <c r="EH52" s="194">
        <f t="shared" si="80"/>
        <v>13.4</v>
      </c>
      <c r="EI52" s="194">
        <f t="shared" si="80"/>
        <v>66.059999999999988</v>
      </c>
      <c r="EJ52" s="129">
        <f t="shared" si="80"/>
        <v>58.21</v>
      </c>
      <c r="EK52" s="129">
        <f t="shared" si="80"/>
        <v>39.26</v>
      </c>
      <c r="EL52" s="129">
        <f t="shared" si="80"/>
        <v>16.95</v>
      </c>
      <c r="EM52" s="129">
        <f t="shared" si="80"/>
        <v>20.389999999999997</v>
      </c>
      <c r="EN52" s="129">
        <f t="shared" si="80"/>
        <v>35.769999999999996</v>
      </c>
      <c r="EO52" s="129">
        <f>SUM(EO6,EO14)/7.5</f>
        <v>44.060000000000009</v>
      </c>
      <c r="EP52" s="129">
        <f>SUM(EP6,EP14)/7.5</f>
        <v>37.99</v>
      </c>
      <c r="EQ52" s="129">
        <f>SUM(EQ6,EQ14)/7.5</f>
        <v>38.22</v>
      </c>
      <c r="ER52" s="129">
        <f>SUM(ER6,ER14)/7.5</f>
        <v>0</v>
      </c>
    </row>
    <row r="53" spans="1:148" x14ac:dyDescent="0.2">
      <c r="A53" s="234" t="s">
        <v>232</v>
      </c>
      <c r="B53" s="181">
        <f t="shared" ref="B53:BM53" si="81">SUM(B9,B17,B25)</f>
        <v>3</v>
      </c>
      <c r="C53" s="181">
        <f t="shared" si="81"/>
        <v>6</v>
      </c>
      <c r="D53" s="181">
        <f t="shared" si="81"/>
        <v>5</v>
      </c>
      <c r="E53" s="181">
        <f t="shared" si="81"/>
        <v>8</v>
      </c>
      <c r="F53" s="181">
        <f t="shared" si="81"/>
        <v>4</v>
      </c>
      <c r="G53" s="181">
        <f t="shared" si="81"/>
        <v>3</v>
      </c>
      <c r="H53" s="181">
        <f t="shared" si="81"/>
        <v>3</v>
      </c>
      <c r="I53" s="181">
        <f t="shared" si="81"/>
        <v>5</v>
      </c>
      <c r="J53" s="181">
        <f t="shared" si="81"/>
        <v>3</v>
      </c>
      <c r="K53" s="181">
        <f t="shared" si="81"/>
        <v>8</v>
      </c>
      <c r="L53" s="181">
        <f t="shared" si="81"/>
        <v>2</v>
      </c>
      <c r="M53" s="181">
        <f t="shared" si="81"/>
        <v>4</v>
      </c>
      <c r="N53" s="181">
        <f t="shared" si="81"/>
        <v>6</v>
      </c>
      <c r="O53" s="181">
        <f t="shared" si="81"/>
        <v>1</v>
      </c>
      <c r="P53" s="181">
        <f t="shared" si="81"/>
        <v>2</v>
      </c>
      <c r="Q53" s="181">
        <f t="shared" si="81"/>
        <v>3</v>
      </c>
      <c r="R53" s="181">
        <f t="shared" si="81"/>
        <v>3</v>
      </c>
      <c r="S53" s="181">
        <f t="shared" si="81"/>
        <v>2</v>
      </c>
      <c r="T53" s="181">
        <f t="shared" si="81"/>
        <v>4</v>
      </c>
      <c r="U53" s="181">
        <f t="shared" si="81"/>
        <v>6</v>
      </c>
      <c r="V53" s="181">
        <f t="shared" si="81"/>
        <v>2</v>
      </c>
      <c r="W53" s="181">
        <f t="shared" si="81"/>
        <v>3</v>
      </c>
      <c r="X53" s="181">
        <f t="shared" si="81"/>
        <v>3</v>
      </c>
      <c r="Y53" s="181">
        <f t="shared" si="81"/>
        <v>4</v>
      </c>
      <c r="Z53" s="181">
        <f t="shared" si="81"/>
        <v>4</v>
      </c>
      <c r="AA53" s="181">
        <f t="shared" si="81"/>
        <v>2</v>
      </c>
      <c r="AB53" s="181">
        <f t="shared" si="81"/>
        <v>6</v>
      </c>
      <c r="AC53" s="181">
        <f t="shared" si="81"/>
        <v>5</v>
      </c>
      <c r="AD53" s="181">
        <f t="shared" si="81"/>
        <v>5</v>
      </c>
      <c r="AE53" s="181">
        <f t="shared" si="81"/>
        <v>2</v>
      </c>
      <c r="AF53" s="181">
        <f t="shared" si="81"/>
        <v>3</v>
      </c>
      <c r="AG53" s="181">
        <f t="shared" si="81"/>
        <v>4</v>
      </c>
      <c r="AH53" s="181">
        <f t="shared" si="81"/>
        <v>2</v>
      </c>
      <c r="AI53" s="181">
        <f t="shared" si="81"/>
        <v>4</v>
      </c>
      <c r="AJ53" s="181">
        <f t="shared" si="81"/>
        <v>1</v>
      </c>
      <c r="AK53" s="181">
        <f t="shared" si="81"/>
        <v>3</v>
      </c>
      <c r="AL53" s="181">
        <f t="shared" si="81"/>
        <v>3</v>
      </c>
      <c r="AM53" s="181">
        <f t="shared" si="81"/>
        <v>4</v>
      </c>
      <c r="AN53" s="181">
        <f t="shared" si="81"/>
        <v>3</v>
      </c>
      <c r="AO53" s="181">
        <f t="shared" si="81"/>
        <v>2</v>
      </c>
      <c r="AP53" s="181">
        <f t="shared" si="81"/>
        <v>4</v>
      </c>
      <c r="AQ53" s="181">
        <f t="shared" si="81"/>
        <v>4</v>
      </c>
      <c r="AR53" s="181">
        <f t="shared" si="81"/>
        <v>3</v>
      </c>
      <c r="AS53" s="181">
        <f t="shared" si="81"/>
        <v>5</v>
      </c>
      <c r="AT53" s="181">
        <f t="shared" si="81"/>
        <v>2</v>
      </c>
      <c r="AU53" s="181">
        <f t="shared" si="81"/>
        <v>2</v>
      </c>
      <c r="AV53" s="181">
        <f t="shared" si="81"/>
        <v>1</v>
      </c>
      <c r="AW53" s="181">
        <f t="shared" si="81"/>
        <v>3</v>
      </c>
      <c r="AX53" s="181">
        <f t="shared" si="81"/>
        <v>2</v>
      </c>
      <c r="AY53" s="181">
        <f t="shared" si="81"/>
        <v>6</v>
      </c>
      <c r="AZ53" s="181">
        <f t="shared" si="81"/>
        <v>1.0009999999999999</v>
      </c>
      <c r="BA53" s="181">
        <f t="shared" si="81"/>
        <v>1</v>
      </c>
      <c r="BB53" s="181">
        <f t="shared" si="81"/>
        <v>4.0010000000000003</v>
      </c>
      <c r="BC53" s="181">
        <f t="shared" si="81"/>
        <v>1</v>
      </c>
      <c r="BD53" s="181">
        <f t="shared" si="81"/>
        <v>2.0009999999999999</v>
      </c>
      <c r="BE53" s="181">
        <f t="shared" si="81"/>
        <v>3</v>
      </c>
      <c r="BF53" s="181">
        <f t="shared" si="81"/>
        <v>2</v>
      </c>
      <c r="BG53" s="181">
        <f t="shared" si="81"/>
        <v>2</v>
      </c>
      <c r="BH53" s="181">
        <f t="shared" si="81"/>
        <v>2</v>
      </c>
      <c r="BI53" s="181">
        <f t="shared" si="81"/>
        <v>4</v>
      </c>
      <c r="BJ53" s="181">
        <f t="shared" si="81"/>
        <v>3</v>
      </c>
      <c r="BK53" s="181">
        <f t="shared" si="81"/>
        <v>3</v>
      </c>
      <c r="BL53" s="181">
        <f t="shared" si="81"/>
        <v>2</v>
      </c>
      <c r="BM53" s="181">
        <f t="shared" si="81"/>
        <v>5</v>
      </c>
      <c r="BN53" s="181">
        <f t="shared" ref="BN53:BT53" si="82">SUM(BN9,BN17,BN25)</f>
        <v>1</v>
      </c>
      <c r="BO53" s="181">
        <f t="shared" si="82"/>
        <v>1</v>
      </c>
      <c r="BP53" s="181">
        <f t="shared" si="82"/>
        <v>1</v>
      </c>
      <c r="BQ53" s="181">
        <f t="shared" si="82"/>
        <v>1</v>
      </c>
      <c r="BR53" s="181">
        <f t="shared" si="82"/>
        <v>1</v>
      </c>
      <c r="BS53" s="181">
        <f t="shared" si="82"/>
        <v>3</v>
      </c>
      <c r="BT53" s="181">
        <f t="shared" si="82"/>
        <v>0</v>
      </c>
      <c r="BU53" s="223">
        <f t="shared" ref="BU53:EF53" si="83">SUM(BU9,BU17)</f>
        <v>3</v>
      </c>
      <c r="BV53" s="223">
        <f t="shared" si="83"/>
        <v>2</v>
      </c>
      <c r="BW53" s="223">
        <f t="shared" si="83"/>
        <v>2</v>
      </c>
      <c r="BX53" s="223">
        <f t="shared" si="83"/>
        <v>2</v>
      </c>
      <c r="BY53" s="223">
        <f t="shared" si="83"/>
        <v>1</v>
      </c>
      <c r="BZ53" s="223">
        <f t="shared" si="83"/>
        <v>2</v>
      </c>
      <c r="CA53" s="223">
        <f t="shared" si="83"/>
        <v>2</v>
      </c>
      <c r="CB53" s="223">
        <f t="shared" si="83"/>
        <v>3</v>
      </c>
      <c r="CC53" s="223">
        <f t="shared" si="83"/>
        <v>3</v>
      </c>
      <c r="CD53" s="223">
        <f t="shared" si="83"/>
        <v>1</v>
      </c>
      <c r="CE53" s="223">
        <f t="shared" si="83"/>
        <v>0</v>
      </c>
      <c r="CF53" s="223">
        <f t="shared" si="83"/>
        <v>3</v>
      </c>
      <c r="CG53" s="223">
        <f t="shared" si="83"/>
        <v>0</v>
      </c>
      <c r="CH53" s="223">
        <f t="shared" si="83"/>
        <v>5</v>
      </c>
      <c r="CI53" s="223">
        <f t="shared" si="83"/>
        <v>1</v>
      </c>
      <c r="CJ53" s="223">
        <f t="shared" si="83"/>
        <v>2</v>
      </c>
      <c r="CK53" s="223">
        <f t="shared" si="83"/>
        <v>4</v>
      </c>
      <c r="CL53" s="223">
        <f t="shared" si="83"/>
        <v>5</v>
      </c>
      <c r="CM53" s="223">
        <f t="shared" si="83"/>
        <v>1</v>
      </c>
      <c r="CN53" s="223">
        <f t="shared" si="83"/>
        <v>2</v>
      </c>
      <c r="CO53" s="223">
        <f t="shared" si="83"/>
        <v>1</v>
      </c>
      <c r="CP53" s="223">
        <f t="shared" si="83"/>
        <v>1</v>
      </c>
      <c r="CQ53" s="223">
        <f t="shared" si="83"/>
        <v>1</v>
      </c>
      <c r="CR53" s="223">
        <f t="shared" si="83"/>
        <v>3</v>
      </c>
      <c r="CS53" s="223">
        <f t="shared" si="83"/>
        <v>2</v>
      </c>
      <c r="CT53" s="223">
        <f t="shared" si="83"/>
        <v>3</v>
      </c>
      <c r="CU53" s="223">
        <f t="shared" si="83"/>
        <v>1</v>
      </c>
      <c r="CV53" s="223">
        <f t="shared" si="83"/>
        <v>5</v>
      </c>
      <c r="CW53" s="223">
        <f t="shared" si="83"/>
        <v>2</v>
      </c>
      <c r="CX53" s="223">
        <f t="shared" si="83"/>
        <v>4</v>
      </c>
      <c r="CY53" s="223">
        <f t="shared" si="83"/>
        <v>4</v>
      </c>
      <c r="CZ53" s="223">
        <f t="shared" si="83"/>
        <v>1</v>
      </c>
      <c r="DA53" s="223">
        <f t="shared" si="83"/>
        <v>4</v>
      </c>
      <c r="DB53" s="223">
        <f t="shared" si="83"/>
        <v>1</v>
      </c>
      <c r="DC53" s="223">
        <f t="shared" si="83"/>
        <v>4</v>
      </c>
      <c r="DD53" s="223">
        <f t="shared" si="83"/>
        <v>1</v>
      </c>
      <c r="DE53" s="223">
        <f t="shared" si="83"/>
        <v>2</v>
      </c>
      <c r="DF53" s="223">
        <f t="shared" si="83"/>
        <v>2</v>
      </c>
      <c r="DG53" s="223">
        <f t="shared" si="83"/>
        <v>2</v>
      </c>
      <c r="DH53" s="223">
        <f t="shared" si="83"/>
        <v>5</v>
      </c>
      <c r="DI53" s="223">
        <f t="shared" si="83"/>
        <v>3</v>
      </c>
      <c r="DJ53" s="223">
        <f t="shared" si="83"/>
        <v>1</v>
      </c>
      <c r="DK53" s="223">
        <f t="shared" si="83"/>
        <v>3</v>
      </c>
      <c r="DL53" s="223">
        <f t="shared" si="83"/>
        <v>5</v>
      </c>
      <c r="DM53" s="223">
        <f t="shared" si="83"/>
        <v>1</v>
      </c>
      <c r="DN53" s="223">
        <f t="shared" si="83"/>
        <v>1</v>
      </c>
      <c r="DO53" s="223">
        <f t="shared" si="83"/>
        <v>0</v>
      </c>
      <c r="DP53" s="223">
        <f t="shared" si="83"/>
        <v>6</v>
      </c>
      <c r="DQ53" s="223">
        <f t="shared" si="83"/>
        <v>2</v>
      </c>
      <c r="DR53" s="223">
        <f t="shared" si="83"/>
        <v>2</v>
      </c>
      <c r="DS53" s="223">
        <f t="shared" si="83"/>
        <v>4</v>
      </c>
      <c r="DT53" s="223">
        <f t="shared" si="83"/>
        <v>4</v>
      </c>
      <c r="DU53" s="223">
        <f t="shared" si="83"/>
        <v>2</v>
      </c>
      <c r="DV53" s="223">
        <f t="shared" si="83"/>
        <v>4</v>
      </c>
      <c r="DW53" s="223">
        <f t="shared" si="83"/>
        <v>1</v>
      </c>
      <c r="DX53" s="223">
        <f t="shared" si="83"/>
        <v>1</v>
      </c>
      <c r="DY53" s="223">
        <f t="shared" si="83"/>
        <v>2</v>
      </c>
      <c r="DZ53" s="223">
        <f t="shared" si="83"/>
        <v>3</v>
      </c>
      <c r="EA53" s="223">
        <f t="shared" si="83"/>
        <v>0</v>
      </c>
      <c r="EB53" s="223">
        <f t="shared" si="83"/>
        <v>3</v>
      </c>
      <c r="EC53" s="223">
        <f t="shared" si="83"/>
        <v>2</v>
      </c>
      <c r="ED53" s="223">
        <f t="shared" si="83"/>
        <v>3</v>
      </c>
      <c r="EE53" s="223">
        <f t="shared" si="83"/>
        <v>2</v>
      </c>
      <c r="EF53" s="223">
        <f t="shared" si="83"/>
        <v>3</v>
      </c>
      <c r="EG53" s="223">
        <f t="shared" ref="EG53:EN53" si="84">SUM(EG9,EG17)</f>
        <v>5</v>
      </c>
      <c r="EH53" s="223">
        <f t="shared" si="84"/>
        <v>2</v>
      </c>
      <c r="EI53" s="223">
        <f t="shared" si="84"/>
        <v>4</v>
      </c>
      <c r="EJ53" s="129">
        <f t="shared" si="84"/>
        <v>4</v>
      </c>
      <c r="EK53" s="129">
        <f t="shared" si="84"/>
        <v>3</v>
      </c>
      <c r="EL53" s="129">
        <f t="shared" si="84"/>
        <v>1</v>
      </c>
      <c r="EM53" s="129">
        <f t="shared" si="84"/>
        <v>3</v>
      </c>
      <c r="EN53" s="129">
        <f t="shared" si="84"/>
        <v>8</v>
      </c>
      <c r="EO53" s="129">
        <f>SUM(EO9,EO17)</f>
        <v>8</v>
      </c>
      <c r="EP53" s="129">
        <f>SUM(EP9,EP17)</f>
        <v>6</v>
      </c>
      <c r="EQ53" s="129">
        <f>SUM(EQ9,EQ17)</f>
        <v>3</v>
      </c>
      <c r="ER53" s="129">
        <f>SUM(ER9,ER17)</f>
        <v>1</v>
      </c>
    </row>
    <row r="54" spans="1:148" x14ac:dyDescent="0.2">
      <c r="A54" s="234" t="s">
        <v>233</v>
      </c>
      <c r="B54" s="181"/>
      <c r="C54" s="181"/>
      <c r="D54" s="181"/>
      <c r="E54" s="181"/>
      <c r="F54" s="181"/>
      <c r="G54" s="181"/>
      <c r="H54" s="181"/>
      <c r="I54" s="181"/>
      <c r="J54" s="181"/>
      <c r="K54" s="181"/>
      <c r="L54" s="181"/>
      <c r="M54" s="181"/>
      <c r="N54" s="181"/>
      <c r="O54" s="181"/>
      <c r="P54" s="181"/>
      <c r="Q54" s="181"/>
      <c r="R54" s="181"/>
      <c r="S54" s="181"/>
      <c r="T54" s="181"/>
      <c r="U54" s="181"/>
      <c r="V54" s="181"/>
      <c r="W54" s="181"/>
      <c r="X54" s="181"/>
      <c r="Y54" s="181">
        <f t="shared" ref="Y54:CJ54" si="85">Y51/Y53</f>
        <v>13.766666666666667</v>
      </c>
      <c r="Z54" s="181">
        <f t="shared" si="85"/>
        <v>8.25</v>
      </c>
      <c r="AA54" s="181">
        <f t="shared" si="85"/>
        <v>16</v>
      </c>
      <c r="AB54" s="181">
        <f t="shared" si="85"/>
        <v>7.5051111111111117</v>
      </c>
      <c r="AC54" s="181">
        <f t="shared" si="85"/>
        <v>12.113333333333333</v>
      </c>
      <c r="AD54" s="181">
        <f t="shared" si="85"/>
        <v>8.952</v>
      </c>
      <c r="AE54" s="181">
        <f t="shared" si="85"/>
        <v>9.4833333333333325</v>
      </c>
      <c r="AF54" s="181">
        <f t="shared" si="85"/>
        <v>2.1</v>
      </c>
      <c r="AG54" s="181">
        <f t="shared" si="85"/>
        <v>4.8</v>
      </c>
      <c r="AH54" s="181">
        <f t="shared" si="85"/>
        <v>7.25</v>
      </c>
      <c r="AI54" s="181">
        <f t="shared" si="85"/>
        <v>8.65</v>
      </c>
      <c r="AJ54" s="181">
        <f t="shared" si="85"/>
        <v>33.200000000000003</v>
      </c>
      <c r="AK54" s="181">
        <f t="shared" si="85"/>
        <v>6.7</v>
      </c>
      <c r="AL54" s="181">
        <f t="shared" si="85"/>
        <v>8.5444444444444443</v>
      </c>
      <c r="AM54" s="181">
        <f t="shared" si="85"/>
        <v>12.7</v>
      </c>
      <c r="AN54" s="181">
        <f t="shared" si="85"/>
        <v>6.4111111111111114</v>
      </c>
      <c r="AO54" s="181">
        <f t="shared" si="85"/>
        <v>10.966666666666667</v>
      </c>
      <c r="AP54" s="181">
        <f t="shared" si="85"/>
        <v>5.0916666666666668</v>
      </c>
      <c r="AQ54" s="181">
        <f t="shared" si="85"/>
        <v>4.6358333333333333</v>
      </c>
      <c r="AR54" s="181">
        <f t="shared" si="85"/>
        <v>7.2333333333333334</v>
      </c>
      <c r="AS54" s="181">
        <f t="shared" si="85"/>
        <v>4.3600000000000003</v>
      </c>
      <c r="AT54" s="181">
        <f t="shared" si="85"/>
        <v>8.6759999999999984</v>
      </c>
      <c r="AU54" s="181">
        <f t="shared" si="85"/>
        <v>11.833333333333334</v>
      </c>
      <c r="AV54" s="181">
        <f t="shared" si="85"/>
        <v>16</v>
      </c>
      <c r="AW54" s="181">
        <f t="shared" si="85"/>
        <v>7.1333333333333329</v>
      </c>
      <c r="AX54" s="181">
        <f t="shared" si="85"/>
        <v>9.3000000000000007</v>
      </c>
      <c r="AY54" s="181">
        <f t="shared" si="85"/>
        <v>1.7666666666666666</v>
      </c>
      <c r="AZ54" s="181">
        <f t="shared" si="85"/>
        <v>2.9971361971361974</v>
      </c>
      <c r="BA54" s="181">
        <f t="shared" si="85"/>
        <v>2</v>
      </c>
      <c r="BB54" s="181">
        <f t="shared" si="85"/>
        <v>6.3317503957343986</v>
      </c>
      <c r="BC54" s="181">
        <f t="shared" si="85"/>
        <v>21</v>
      </c>
      <c r="BD54" s="181">
        <f t="shared" si="85"/>
        <v>4.9475928702315519</v>
      </c>
      <c r="BE54" s="181">
        <f t="shared" si="85"/>
        <v>4.5111111111111111</v>
      </c>
      <c r="BF54" s="181">
        <f t="shared" si="85"/>
        <v>7.8</v>
      </c>
      <c r="BG54" s="181">
        <f t="shared" si="85"/>
        <v>7</v>
      </c>
      <c r="BH54" s="181">
        <f t="shared" si="85"/>
        <v>3.45</v>
      </c>
      <c r="BI54" s="181">
        <f t="shared" si="85"/>
        <v>0.95</v>
      </c>
      <c r="BJ54" s="181">
        <f t="shared" si="85"/>
        <v>2.6333333333333333</v>
      </c>
      <c r="BK54" s="181">
        <f t="shared" si="85"/>
        <v>5.9333333333333336</v>
      </c>
      <c r="BL54" s="181">
        <f t="shared" si="85"/>
        <v>4.5999999999999996</v>
      </c>
      <c r="BM54" s="181">
        <f t="shared" si="85"/>
        <v>4.9000000000000004</v>
      </c>
      <c r="BN54" s="181">
        <f t="shared" si="85"/>
        <v>3</v>
      </c>
      <c r="BO54" s="181">
        <f t="shared" si="85"/>
        <v>9</v>
      </c>
      <c r="BP54" s="181">
        <f t="shared" si="85"/>
        <v>6.5</v>
      </c>
      <c r="BQ54" s="181">
        <f t="shared" si="85"/>
        <v>3.6</v>
      </c>
      <c r="BR54" s="181">
        <f t="shared" si="85"/>
        <v>11.966666666666667</v>
      </c>
      <c r="BS54" s="181">
        <f t="shared" si="85"/>
        <v>7.3999999999999995</v>
      </c>
      <c r="BT54" s="181" t="e">
        <f t="shared" si="85"/>
        <v>#DIV/0!</v>
      </c>
      <c r="BU54" s="194">
        <f t="shared" si="85"/>
        <v>7.2</v>
      </c>
      <c r="BV54" s="194">
        <f t="shared" si="85"/>
        <v>14.65</v>
      </c>
      <c r="BW54" s="194">
        <f t="shared" si="85"/>
        <v>0.75</v>
      </c>
      <c r="BX54" s="194">
        <f t="shared" si="85"/>
        <v>2.4</v>
      </c>
      <c r="BY54" s="194">
        <f t="shared" si="85"/>
        <v>8.5</v>
      </c>
      <c r="BZ54" s="194">
        <f t="shared" si="85"/>
        <v>2.1</v>
      </c>
      <c r="CA54" s="194">
        <f t="shared" si="85"/>
        <v>10.25</v>
      </c>
      <c r="CB54" s="194">
        <f t="shared" si="85"/>
        <v>2.1333333333333333</v>
      </c>
      <c r="CC54" s="194">
        <f t="shared" si="85"/>
        <v>3.3000000000000003</v>
      </c>
      <c r="CD54" s="194">
        <f t="shared" si="85"/>
        <v>6.7</v>
      </c>
      <c r="CE54" s="194" t="e">
        <f t="shared" si="85"/>
        <v>#DIV/0!</v>
      </c>
      <c r="CF54" s="194">
        <f t="shared" si="85"/>
        <v>3.5</v>
      </c>
      <c r="CG54" s="194" t="e">
        <f t="shared" si="85"/>
        <v>#DIV/0!</v>
      </c>
      <c r="CH54" s="194">
        <f t="shared" si="85"/>
        <v>8.68</v>
      </c>
      <c r="CI54" s="194">
        <f t="shared" si="85"/>
        <v>40.200000000000003</v>
      </c>
      <c r="CJ54" s="194">
        <f t="shared" si="85"/>
        <v>14.6</v>
      </c>
      <c r="CK54" s="194">
        <f t="shared" ref="CK54:EN54" si="86">CK51/CK53</f>
        <v>9.125</v>
      </c>
      <c r="CL54" s="194">
        <f t="shared" si="86"/>
        <v>10.7</v>
      </c>
      <c r="CM54" s="194">
        <f t="shared" si="86"/>
        <v>45.14</v>
      </c>
      <c r="CN54" s="194">
        <f t="shared" si="86"/>
        <v>18.45</v>
      </c>
      <c r="CO54" s="194">
        <f t="shared" si="86"/>
        <v>33.4</v>
      </c>
      <c r="CP54" s="194">
        <f t="shared" si="86"/>
        <v>49.7</v>
      </c>
      <c r="CQ54" s="194">
        <f t="shared" si="86"/>
        <v>24.8</v>
      </c>
      <c r="CR54" s="194">
        <f t="shared" si="86"/>
        <v>12.033333333333333</v>
      </c>
      <c r="CS54" s="194">
        <f t="shared" si="86"/>
        <v>3.5</v>
      </c>
      <c r="CT54" s="194">
        <f t="shared" si="86"/>
        <v>6.4666666666666659</v>
      </c>
      <c r="CU54" s="194">
        <f t="shared" si="86"/>
        <v>15.93</v>
      </c>
      <c r="CV54" s="194">
        <f t="shared" si="86"/>
        <v>11.465999999999999</v>
      </c>
      <c r="CW54" s="194">
        <f t="shared" si="86"/>
        <v>43.765000000000001</v>
      </c>
      <c r="CX54" s="194">
        <f t="shared" si="86"/>
        <v>17.685000000000002</v>
      </c>
      <c r="CY54" s="194">
        <f t="shared" si="86"/>
        <v>14.331666666666667</v>
      </c>
      <c r="CZ54" s="194">
        <f t="shared" si="86"/>
        <v>88.47</v>
      </c>
      <c r="DA54" s="194">
        <f t="shared" si="86"/>
        <v>13.877500000000001</v>
      </c>
      <c r="DB54" s="194">
        <f t="shared" si="86"/>
        <v>16.86</v>
      </c>
      <c r="DC54" s="194">
        <f t="shared" si="86"/>
        <v>7.0674999999999999</v>
      </c>
      <c r="DD54" s="194">
        <f t="shared" si="86"/>
        <v>37</v>
      </c>
      <c r="DE54" s="194">
        <f t="shared" si="86"/>
        <v>29.769999999999996</v>
      </c>
      <c r="DF54" s="194">
        <f t="shared" si="86"/>
        <v>39.24</v>
      </c>
      <c r="DG54" s="194">
        <f t="shared" si="86"/>
        <v>29.584999999999997</v>
      </c>
      <c r="DH54" s="194">
        <f t="shared" si="86"/>
        <v>14.1</v>
      </c>
      <c r="DI54" s="194">
        <f t="shared" si="86"/>
        <v>12.973333333333331</v>
      </c>
      <c r="DJ54" s="194">
        <f t="shared" si="86"/>
        <v>38.049999999999997</v>
      </c>
      <c r="DK54" s="194">
        <f t="shared" si="86"/>
        <v>14.733333333333334</v>
      </c>
      <c r="DL54" s="194">
        <f t="shared" si="86"/>
        <v>9.8439999999999994</v>
      </c>
      <c r="DM54" s="194">
        <f t="shared" si="86"/>
        <v>43.9</v>
      </c>
      <c r="DN54" s="194">
        <f t="shared" si="86"/>
        <v>39.909999999999997</v>
      </c>
      <c r="DO54" s="194" t="e">
        <f t="shared" si="86"/>
        <v>#DIV/0!</v>
      </c>
      <c r="DP54" s="194">
        <f t="shared" si="86"/>
        <v>9.8883333333333336</v>
      </c>
      <c r="DQ54" s="194">
        <f t="shared" si="86"/>
        <v>35.634999999999998</v>
      </c>
      <c r="DR54" s="194">
        <f t="shared" si="86"/>
        <v>35.299999999999997</v>
      </c>
      <c r="DS54" s="194">
        <f t="shared" si="86"/>
        <v>12.775</v>
      </c>
      <c r="DT54" s="194">
        <f t="shared" si="86"/>
        <v>11.175000000000001</v>
      </c>
      <c r="DU54" s="194">
        <f t="shared" si="86"/>
        <v>21.280000000000005</v>
      </c>
      <c r="DV54" s="194">
        <f t="shared" si="86"/>
        <v>19.625</v>
      </c>
      <c r="DW54" s="194">
        <f t="shared" si="86"/>
        <v>88</v>
      </c>
      <c r="DX54" s="194">
        <f t="shared" si="86"/>
        <v>99.899999999999991</v>
      </c>
      <c r="DY54" s="194">
        <f t="shared" si="86"/>
        <v>46.95</v>
      </c>
      <c r="DZ54" s="194">
        <f t="shared" si="86"/>
        <v>25.233333333333334</v>
      </c>
      <c r="EA54" s="194" t="e">
        <f t="shared" si="86"/>
        <v>#DIV/0!</v>
      </c>
      <c r="EB54" s="194">
        <f t="shared" si="86"/>
        <v>17.633333333333333</v>
      </c>
      <c r="EC54" s="194">
        <f t="shared" si="86"/>
        <v>25.9</v>
      </c>
      <c r="ED54" s="194">
        <f t="shared" si="86"/>
        <v>9.6666666666666661</v>
      </c>
      <c r="EE54" s="194">
        <f t="shared" si="86"/>
        <v>6</v>
      </c>
      <c r="EF54" s="194">
        <f t="shared" si="86"/>
        <v>7.3999999999999995</v>
      </c>
      <c r="EG54" s="194">
        <f t="shared" si="86"/>
        <v>4.2799999999999994</v>
      </c>
      <c r="EH54" s="194">
        <f t="shared" si="86"/>
        <v>6.7</v>
      </c>
      <c r="EI54" s="194">
        <f t="shared" si="86"/>
        <v>16.514999999999997</v>
      </c>
      <c r="EJ54" s="129">
        <f t="shared" si="86"/>
        <v>14.5525</v>
      </c>
      <c r="EK54" s="129">
        <f t="shared" si="86"/>
        <v>13.086666666666666</v>
      </c>
      <c r="EL54" s="129">
        <f t="shared" si="86"/>
        <v>16.95</v>
      </c>
      <c r="EM54" s="129">
        <f t="shared" si="86"/>
        <v>6.796666666666666</v>
      </c>
      <c r="EN54" s="129">
        <f t="shared" si="86"/>
        <v>4.4712499999999995</v>
      </c>
      <c r="EO54" s="129">
        <f>EO51/EO53</f>
        <v>5.5075000000000012</v>
      </c>
      <c r="EP54" s="129">
        <f>EP51/EP53</f>
        <v>6.331666666666667</v>
      </c>
      <c r="EQ54" s="129">
        <f>EQ51/EQ53</f>
        <v>12.74</v>
      </c>
      <c r="ER54" s="129">
        <f>ER51/ER53</f>
        <v>0</v>
      </c>
    </row>
    <row r="55" spans="1:148" x14ac:dyDescent="0.2">
      <c r="A55" s="234" t="s">
        <v>234</v>
      </c>
      <c r="B55" s="181" t="e">
        <f>SUM(#REF!)/SUM(#REF!)*200000</f>
        <v>#REF!</v>
      </c>
      <c r="C55" s="181" t="e">
        <f>SUM(#REF!)/SUM(#REF!)*200000</f>
        <v>#REF!</v>
      </c>
      <c r="D55" s="181" t="e">
        <f>SUM(#REF!)/SUM(#REF!)*200000</f>
        <v>#REF!</v>
      </c>
      <c r="E55" s="181" t="e">
        <f>SUM(#REF!)/SUM(#REF!)*200000</f>
        <v>#REF!</v>
      </c>
      <c r="F55" s="181" t="e">
        <f>SUM(#REF!)/SUM(#REF!)*200000</f>
        <v>#REF!</v>
      </c>
      <c r="G55" s="181" t="e">
        <f>SUM(#REF!)/SUM(#REF!)*200000</f>
        <v>#REF!</v>
      </c>
      <c r="H55" s="181" t="e">
        <f>SUM(#REF!)/SUM(#REF!)*200000</f>
        <v>#REF!</v>
      </c>
      <c r="I55" s="181" t="e">
        <f>SUM(#REF!)/SUM(#REF!)*200000</f>
        <v>#REF!</v>
      </c>
      <c r="J55" s="181" t="e">
        <f>SUM(#REF!)/SUM(#REF!)*200000</f>
        <v>#REF!</v>
      </c>
      <c r="K55" s="181" t="e">
        <f>SUM(#REF!)/SUM(#REF!)*200000</f>
        <v>#REF!</v>
      </c>
      <c r="L55" s="181">
        <f t="shared" ref="L55:AQ55" si="87">SUM(A50:L50)/SUM(A49:L49)*200000</f>
        <v>6.1332687423468899</v>
      </c>
      <c r="M55" s="181">
        <f t="shared" si="87"/>
        <v>6.318457783754539</v>
      </c>
      <c r="N55" s="181">
        <f t="shared" si="87"/>
        <v>6.7301484971844063</v>
      </c>
      <c r="O55" s="181">
        <f t="shared" si="87"/>
        <v>6.4987674004497142</v>
      </c>
      <c r="P55" s="181">
        <f t="shared" si="87"/>
        <v>6.4001303299267187</v>
      </c>
      <c r="Q55" s="181">
        <f t="shared" si="87"/>
        <v>6.2409822857126178</v>
      </c>
      <c r="R55" s="181">
        <f t="shared" si="87"/>
        <v>5.9916090443563768</v>
      </c>
      <c r="S55" s="181">
        <f t="shared" si="87"/>
        <v>6.0366602290753697</v>
      </c>
      <c r="T55" s="181">
        <f t="shared" si="87"/>
        <v>6.2518475228753063</v>
      </c>
      <c r="U55" s="181">
        <f t="shared" si="87"/>
        <v>6.2953483037319868</v>
      </c>
      <c r="V55" s="181">
        <f t="shared" si="87"/>
        <v>6.3106818808636751</v>
      </c>
      <c r="W55" s="181">
        <f t="shared" si="87"/>
        <v>6.4446078946446708</v>
      </c>
      <c r="X55" s="181">
        <f t="shared" si="87"/>
        <v>6.4901804503624927</v>
      </c>
      <c r="Y55" s="181">
        <f t="shared" si="87"/>
        <v>6.4388060307350337</v>
      </c>
      <c r="Z55" s="181">
        <f t="shared" si="87"/>
        <v>6.2571305560005532</v>
      </c>
      <c r="AA55" s="181">
        <f t="shared" si="87"/>
        <v>6.5950879140363217</v>
      </c>
      <c r="AB55" s="181">
        <f t="shared" si="87"/>
        <v>7.3007182536014446</v>
      </c>
      <c r="AC55" s="181">
        <f t="shared" si="87"/>
        <v>7.757846984646501</v>
      </c>
      <c r="AD55" s="181">
        <f t="shared" si="87"/>
        <v>8.0914751992479612</v>
      </c>
      <c r="AE55" s="181">
        <f t="shared" si="87"/>
        <v>8.3613938676465267</v>
      </c>
      <c r="AF55" s="181">
        <f t="shared" si="87"/>
        <v>8.0353838231005863</v>
      </c>
      <c r="AG55" s="181">
        <f t="shared" si="87"/>
        <v>7.8638320894963716</v>
      </c>
      <c r="AH55" s="181">
        <f t="shared" si="87"/>
        <v>7.8461968335597074</v>
      </c>
      <c r="AI55" s="181">
        <f t="shared" si="87"/>
        <v>8.0792843131829084</v>
      </c>
      <c r="AJ55" s="181">
        <f t="shared" si="87"/>
        <v>8.0893596927598228</v>
      </c>
      <c r="AK55" s="181">
        <f t="shared" si="87"/>
        <v>8.1683192114684342</v>
      </c>
      <c r="AL55" s="181">
        <f t="shared" si="87"/>
        <v>8.0738086796672821</v>
      </c>
      <c r="AM55" s="181">
        <f t="shared" si="87"/>
        <v>8.0644628380280956</v>
      </c>
      <c r="AN55" s="181">
        <f t="shared" si="87"/>
        <v>7.7333330649619585</v>
      </c>
      <c r="AO55" s="181">
        <f t="shared" si="87"/>
        <v>7.5486096147326904</v>
      </c>
      <c r="AP55" s="181">
        <f t="shared" si="87"/>
        <v>7.3186344387457583</v>
      </c>
      <c r="AQ55" s="181">
        <f t="shared" si="87"/>
        <v>7.1147091887784075</v>
      </c>
      <c r="AR55" s="181">
        <f t="shared" ref="AR55:BW55" si="88">SUM(AG50:AR50)/SUM(AG49:AR49)*200000</f>
        <v>6.8546406038544871</v>
      </c>
      <c r="AS55" s="181">
        <f t="shared" si="88"/>
        <v>6.9240610708329591</v>
      </c>
      <c r="AT55" s="181">
        <f t="shared" si="88"/>
        <v>7.1695827388468336</v>
      </c>
      <c r="AU55" s="181">
        <f t="shared" si="88"/>
        <v>6.6497666428083262</v>
      </c>
      <c r="AV55" s="181">
        <f t="shared" si="88"/>
        <v>6.5546117343728243</v>
      </c>
      <c r="AW55" s="181">
        <f t="shared" si="88"/>
        <v>6.3227848644224958</v>
      </c>
      <c r="AX55" s="181">
        <f t="shared" si="88"/>
        <v>6.2401469923220727</v>
      </c>
      <c r="AY55" s="181">
        <f t="shared" si="88"/>
        <v>6.4451576885769946</v>
      </c>
      <c r="AZ55" s="181">
        <f t="shared" si="88"/>
        <v>6.0764012141384676</v>
      </c>
      <c r="BA55" s="181">
        <f t="shared" si="88"/>
        <v>5.6944682694128863</v>
      </c>
      <c r="BB55" s="181">
        <f t="shared" si="88"/>
        <v>5.6454347911702047</v>
      </c>
      <c r="BC55" s="181">
        <f t="shared" si="88"/>
        <v>5.5836833738077196</v>
      </c>
      <c r="BD55" s="181">
        <f t="shared" si="88"/>
        <v>5.5762792803253038</v>
      </c>
      <c r="BE55" s="181">
        <f t="shared" si="88"/>
        <v>5.4904480586366473</v>
      </c>
      <c r="BF55" s="181">
        <f t="shared" si="88"/>
        <v>5.2734948024387283</v>
      </c>
      <c r="BG55" s="181">
        <f t="shared" si="88"/>
        <v>5.3761728289031661</v>
      </c>
      <c r="BH55" s="181">
        <f t="shared" si="88"/>
        <v>5.4304610670014037</v>
      </c>
      <c r="BI55" s="181">
        <f t="shared" si="88"/>
        <v>5.2409201846258373</v>
      </c>
      <c r="BJ55" s="181">
        <f t="shared" si="88"/>
        <v>5.1942128821457265</v>
      </c>
      <c r="BK55" s="181">
        <f t="shared" si="88"/>
        <v>4.818127247853603</v>
      </c>
      <c r="BL55" s="181">
        <f t="shared" si="88"/>
        <v>5.041064819912866</v>
      </c>
      <c r="BM55" s="181">
        <f t="shared" si="88"/>
        <v>5.2619240602512818</v>
      </c>
      <c r="BN55" s="181">
        <f t="shared" si="88"/>
        <v>5.3552943242984155</v>
      </c>
      <c r="BO55" s="181">
        <f t="shared" si="88"/>
        <v>5.2873244327710953</v>
      </c>
      <c r="BP55" s="181">
        <f t="shared" si="88"/>
        <v>5.2363759253689546</v>
      </c>
      <c r="BQ55" s="181">
        <f t="shared" si="88"/>
        <v>4.9255849907453531</v>
      </c>
      <c r="BR55" s="181">
        <f t="shared" si="88"/>
        <v>4.9158987786143484</v>
      </c>
      <c r="BS55" s="181">
        <f t="shared" si="88"/>
        <v>4.6095006648678618</v>
      </c>
      <c r="BT55" s="181">
        <f t="shared" si="88"/>
        <v>4.5973286302528189</v>
      </c>
      <c r="BU55" s="181">
        <f t="shared" si="88"/>
        <v>4.9004533041817693</v>
      </c>
      <c r="BV55" s="181">
        <f t="shared" si="88"/>
        <v>4.7535196485533771</v>
      </c>
      <c r="BW55" s="181">
        <f t="shared" si="88"/>
        <v>4.7544651916432201</v>
      </c>
      <c r="BX55" s="181">
        <f t="shared" ref="BX55:EI55" si="89">SUM(BM50:BX50)/SUM(BM49:BX49)*200000</f>
        <v>4.6176783776218668</v>
      </c>
      <c r="BY55" s="181">
        <f t="shared" si="89"/>
        <v>4.4607848171484958</v>
      </c>
      <c r="BZ55" s="181">
        <f t="shared" si="89"/>
        <v>4.4205517751312131</v>
      </c>
      <c r="CA55" s="181">
        <f t="shared" si="89"/>
        <v>4.1744290620023436</v>
      </c>
      <c r="CB55" s="181">
        <f t="shared" si="89"/>
        <v>4.2416247105318803</v>
      </c>
      <c r="CC55" s="181">
        <f t="shared" si="89"/>
        <v>4.6859443225666881</v>
      </c>
      <c r="CD55" s="181">
        <f t="shared" si="89"/>
        <v>4.9986602965572695</v>
      </c>
      <c r="CE55" s="181">
        <f t="shared" si="89"/>
        <v>4.9627598635472641</v>
      </c>
      <c r="CF55" s="181">
        <f t="shared" si="89"/>
        <v>4.9227846781391067</v>
      </c>
      <c r="CG55" s="181">
        <f t="shared" si="89"/>
        <v>4.2909783064543507</v>
      </c>
      <c r="CH55" s="194">
        <f t="shared" si="89"/>
        <v>4.5103598455291962</v>
      </c>
      <c r="CI55" s="194">
        <f t="shared" si="89"/>
        <v>4.4763994935259186</v>
      </c>
      <c r="CJ55" s="194">
        <f t="shared" si="89"/>
        <v>4.43816176451252</v>
      </c>
      <c r="CK55" s="194">
        <f t="shared" si="89"/>
        <v>4.414642742687561</v>
      </c>
      <c r="CL55" s="194">
        <f t="shared" si="89"/>
        <v>4.4228675138496252</v>
      </c>
      <c r="CM55" s="194">
        <f t="shared" si="89"/>
        <v>4.334267669866974</v>
      </c>
      <c r="CN55" s="194">
        <f t="shared" si="89"/>
        <v>4.5223764026537028</v>
      </c>
      <c r="CO55" s="194">
        <f t="shared" si="89"/>
        <v>4.1826765255036262</v>
      </c>
      <c r="CP55" s="194">
        <f t="shared" si="89"/>
        <v>3.9203047826840201</v>
      </c>
      <c r="CQ55" s="194">
        <f t="shared" si="89"/>
        <v>4.2358950721097601</v>
      </c>
      <c r="CR55" s="194">
        <f t="shared" si="89"/>
        <v>4.0264737934046542</v>
      </c>
      <c r="CS55" s="194">
        <f t="shared" si="89"/>
        <v>4.3781086851929807</v>
      </c>
      <c r="CT55" s="194">
        <f t="shared" si="89"/>
        <v>4.000766952220542</v>
      </c>
      <c r="CU55" s="194">
        <f t="shared" si="89"/>
        <v>4.1411031623441126</v>
      </c>
      <c r="CV55" s="194">
        <f t="shared" si="89"/>
        <v>4.4354991887046493</v>
      </c>
      <c r="CW55" s="194">
        <f t="shared" si="89"/>
        <v>4.6725745141298489</v>
      </c>
      <c r="CX55" s="194">
        <f t="shared" si="89"/>
        <v>4.473888453625702</v>
      </c>
      <c r="CY55" s="194">
        <f t="shared" si="89"/>
        <v>4.888425432210517</v>
      </c>
      <c r="CZ55" s="194">
        <f t="shared" si="89"/>
        <v>4.7464667944984429</v>
      </c>
      <c r="DA55" s="194">
        <f t="shared" si="89"/>
        <v>4.9328212662179718</v>
      </c>
      <c r="DB55" s="194">
        <f t="shared" si="89"/>
        <v>4.7714586092314182</v>
      </c>
      <c r="DC55" s="194">
        <f t="shared" si="89"/>
        <v>4.6745438030777589</v>
      </c>
      <c r="DD55" s="194">
        <f t="shared" si="89"/>
        <v>4.6969035663239005</v>
      </c>
      <c r="DE55" s="194">
        <f t="shared" si="89"/>
        <v>4.7886338065410561</v>
      </c>
      <c r="DF55" s="194">
        <f t="shared" si="89"/>
        <v>4.9309572717136945</v>
      </c>
      <c r="DG55" s="194">
        <f t="shared" si="89"/>
        <v>4.8752189330858471</v>
      </c>
      <c r="DH55" s="194">
        <f t="shared" si="89"/>
        <v>5.2278228826452864</v>
      </c>
      <c r="DI55" s="194">
        <f t="shared" si="89"/>
        <v>4.9790203128768065</v>
      </c>
      <c r="DJ55" s="194">
        <f t="shared" si="89"/>
        <v>4.7310118238393697</v>
      </c>
      <c r="DK55" s="194">
        <f t="shared" si="89"/>
        <v>4.974205331684888</v>
      </c>
      <c r="DL55" s="194">
        <f t="shared" si="89"/>
        <v>4.821897130501192</v>
      </c>
      <c r="DM55" s="194">
        <f t="shared" si="89"/>
        <v>4.4978510216583967</v>
      </c>
      <c r="DN55" s="194">
        <f t="shared" si="89"/>
        <v>4.4598304200517953</v>
      </c>
      <c r="DO55" s="194">
        <f t="shared" si="89"/>
        <v>4.021036590567773</v>
      </c>
      <c r="DP55" s="194">
        <f t="shared" si="89"/>
        <v>4.3973139642816754</v>
      </c>
      <c r="DQ55" s="194">
        <f t="shared" si="89"/>
        <v>4.3937921893774892</v>
      </c>
      <c r="DR55" s="194">
        <f t="shared" si="89"/>
        <v>4.2858300184313185</v>
      </c>
      <c r="DS55" s="194">
        <f t="shared" si="89"/>
        <v>4.5122491835717664</v>
      </c>
      <c r="DT55" s="194">
        <f t="shared" si="89"/>
        <v>3.8068576761094608</v>
      </c>
      <c r="DU55" s="194">
        <f t="shared" si="89"/>
        <v>3.8557442614531268</v>
      </c>
      <c r="DV55" s="194">
        <f t="shared" si="89"/>
        <v>3.9550427912888519</v>
      </c>
      <c r="DW55" s="194">
        <f t="shared" si="89"/>
        <v>3.5343941965358177</v>
      </c>
      <c r="DX55" s="194">
        <f t="shared" si="89"/>
        <v>3.480836379984185</v>
      </c>
      <c r="DY55" s="194">
        <f t="shared" si="89"/>
        <v>3.4382528238025807</v>
      </c>
      <c r="DZ55" s="194">
        <f t="shared" si="89"/>
        <v>3.4123566575017343</v>
      </c>
      <c r="EA55" s="194">
        <f t="shared" si="89"/>
        <v>3.3381346026790455</v>
      </c>
      <c r="EB55" s="194">
        <f t="shared" si="89"/>
        <v>3.1493443861154149</v>
      </c>
      <c r="EC55" s="194">
        <f t="shared" si="89"/>
        <v>3.1441647380884188</v>
      </c>
      <c r="ED55" s="194">
        <f t="shared" si="89"/>
        <v>3.2029958561644971</v>
      </c>
      <c r="EE55" s="194">
        <f t="shared" si="89"/>
        <v>2.9777207797505114</v>
      </c>
      <c r="EF55" s="194">
        <f t="shared" si="89"/>
        <v>2.9723491170200234</v>
      </c>
      <c r="EG55" s="194">
        <f t="shared" si="89"/>
        <v>2.9938673499426192</v>
      </c>
      <c r="EH55" s="194">
        <f t="shared" si="89"/>
        <v>2.9066576783807792</v>
      </c>
      <c r="EI55" s="194">
        <f t="shared" si="89"/>
        <v>3.0220595737359597</v>
      </c>
      <c r="EJ55" s="129">
        <f t="shared" ref="EJ55:ER56" si="90">SUM(DY50:EJ50)/SUM(DY49:EJ49)*200000</f>
        <v>3.1068754090642932</v>
      </c>
      <c r="EK55" s="129">
        <f t="shared" si="90"/>
        <v>3.1791352640922397</v>
      </c>
      <c r="EL55" s="129">
        <f t="shared" si="90"/>
        <v>3.3194235869783415</v>
      </c>
      <c r="EM55" s="129">
        <f t="shared" si="90"/>
        <v>3.5646919354603299</v>
      </c>
      <c r="EN55" s="129">
        <f t="shared" si="90"/>
        <v>3.5870178247204207</v>
      </c>
      <c r="EO55" s="129">
        <f t="shared" si="90"/>
        <v>3.6115742113743941</v>
      </c>
      <c r="EP55" s="129">
        <f t="shared" si="90"/>
        <v>3.3806616331752273</v>
      </c>
      <c r="EQ55" s="129">
        <f t="shared" si="90"/>
        <v>3.1901604849028091</v>
      </c>
      <c r="ER55" s="129">
        <f t="shared" si="90"/>
        <v>3.0519169123623056</v>
      </c>
    </row>
    <row r="56" spans="1:148" x14ac:dyDescent="0.2">
      <c r="A56" s="234" t="s">
        <v>235</v>
      </c>
      <c r="B56" s="181" t="e">
        <f>SUM(#REF!)/12</f>
        <v>#REF!</v>
      </c>
      <c r="C56" s="181" t="e">
        <f>SUM(#REF!)/12</f>
        <v>#REF!</v>
      </c>
      <c r="D56" s="181" t="e">
        <f>SUM(#REF!)/12</f>
        <v>#REF!</v>
      </c>
      <c r="E56" s="181" t="e">
        <f>SUM(#REF!)/12</f>
        <v>#REF!</v>
      </c>
      <c r="F56" s="181" t="e">
        <f>SUM(#REF!)/12</f>
        <v>#REF!</v>
      </c>
      <c r="G56" s="181" t="e">
        <f>SUM(#REF!)/12</f>
        <v>#REF!</v>
      </c>
      <c r="H56" s="181" t="e">
        <f>SUM(#REF!)/12</f>
        <v>#REF!</v>
      </c>
      <c r="I56" s="181" t="e">
        <f>SUM(#REF!)/12</f>
        <v>#REF!</v>
      </c>
      <c r="J56" s="181" t="e">
        <f>SUM(#REF!)/12</f>
        <v>#REF!</v>
      </c>
      <c r="K56" s="181" t="e">
        <f>SUM(#REF!)/12</f>
        <v>#REF!</v>
      </c>
      <c r="L56" s="181">
        <f t="shared" ref="L56:AQ56" si="91">SUM(A51:L51)/12</f>
        <v>87.666666666666671</v>
      </c>
      <c r="M56" s="181">
        <f t="shared" si="91"/>
        <v>95.51111111111112</v>
      </c>
      <c r="N56" s="181">
        <f t="shared" si="91"/>
        <v>97.877777777777794</v>
      </c>
      <c r="O56" s="181">
        <f t="shared" si="91"/>
        <v>101.10000000000001</v>
      </c>
      <c r="P56" s="181">
        <f t="shared" si="91"/>
        <v>98.155555555555551</v>
      </c>
      <c r="Q56" s="181">
        <f t="shared" si="91"/>
        <v>92.844444444444449</v>
      </c>
      <c r="R56" s="181">
        <f t="shared" si="91"/>
        <v>90.111111111111128</v>
      </c>
      <c r="S56" s="181">
        <f t="shared" si="91"/>
        <v>89.1111111111111</v>
      </c>
      <c r="T56" s="181">
        <f t="shared" si="91"/>
        <v>94.672222222222217</v>
      </c>
      <c r="U56" s="181">
        <f t="shared" si="91"/>
        <v>100.28888888888889</v>
      </c>
      <c r="V56" s="181">
        <f t="shared" si="91"/>
        <v>101.65555555555555</v>
      </c>
      <c r="W56" s="181">
        <f t="shared" si="91"/>
        <v>103.77777777777777</v>
      </c>
      <c r="X56" s="181">
        <f t="shared" si="91"/>
        <v>109.54444444444447</v>
      </c>
      <c r="Y56" s="181">
        <f t="shared" si="91"/>
        <v>106.28888888888889</v>
      </c>
      <c r="Z56" s="181">
        <f t="shared" si="91"/>
        <v>98.683333333333337</v>
      </c>
      <c r="AA56" s="181">
        <f t="shared" si="91"/>
        <v>89.783333333333346</v>
      </c>
      <c r="AB56" s="181">
        <f t="shared" si="91"/>
        <v>85.947000000000003</v>
      </c>
      <c r="AC56" s="181">
        <f t="shared" si="91"/>
        <v>85.649777777777786</v>
      </c>
      <c r="AD56" s="181">
        <f t="shared" si="91"/>
        <v>82.713111111111132</v>
      </c>
      <c r="AE56" s="181">
        <f t="shared" si="91"/>
        <v>78.88255555555557</v>
      </c>
      <c r="AF56" s="181">
        <f t="shared" si="91"/>
        <v>68.913111111111121</v>
      </c>
      <c r="AG56" s="181">
        <f t="shared" si="91"/>
        <v>57.640888888888895</v>
      </c>
      <c r="AH56" s="181">
        <f t="shared" si="91"/>
        <v>51.093666666666671</v>
      </c>
      <c r="AI56" s="181">
        <f t="shared" si="91"/>
        <v>43.265888888888888</v>
      </c>
      <c r="AJ56" s="181">
        <f t="shared" si="91"/>
        <v>33.099222222222217</v>
      </c>
      <c r="AK56" s="181">
        <f t="shared" si="91"/>
        <v>30.185333333333336</v>
      </c>
      <c r="AL56" s="181">
        <f t="shared" si="91"/>
        <v>29.571444444444442</v>
      </c>
      <c r="AM56" s="181">
        <f t="shared" si="91"/>
        <v>31.138111111111115</v>
      </c>
      <c r="AN56" s="181">
        <f t="shared" si="91"/>
        <v>28.988333333333333</v>
      </c>
      <c r="AO56" s="181">
        <f t="shared" si="91"/>
        <v>25.768888888888885</v>
      </c>
      <c r="AP56" s="181">
        <f t="shared" si="91"/>
        <v>23.736111111111114</v>
      </c>
      <c r="AQ56" s="181">
        <f t="shared" si="91"/>
        <v>23.700833333333335</v>
      </c>
      <c r="AR56" s="181">
        <f t="shared" ref="AR56:BW56" si="92">SUM(AG51:AR51)/12</f>
        <v>24.98416666666667</v>
      </c>
      <c r="AS56" s="181">
        <f t="shared" si="92"/>
        <v>25.200833333333335</v>
      </c>
      <c r="AT56" s="181">
        <f t="shared" si="92"/>
        <v>25.438500000000001</v>
      </c>
      <c r="AU56" s="181">
        <f t="shared" si="92"/>
        <v>24.527388888888893</v>
      </c>
      <c r="AV56" s="181">
        <f t="shared" si="92"/>
        <v>23.094055555555556</v>
      </c>
      <c r="AW56" s="181">
        <f t="shared" si="92"/>
        <v>23.202388888888887</v>
      </c>
      <c r="AX56" s="181">
        <f t="shared" si="92"/>
        <v>22.616277777777778</v>
      </c>
      <c r="AY56" s="181">
        <f t="shared" si="92"/>
        <v>19.266277777777777</v>
      </c>
      <c r="AZ56" s="181">
        <f t="shared" si="92"/>
        <v>17.913511111111109</v>
      </c>
      <c r="BA56" s="181">
        <f t="shared" si="92"/>
        <v>16.252400000000002</v>
      </c>
      <c r="BB56" s="181">
        <f t="shared" si="92"/>
        <v>16.666288888888889</v>
      </c>
      <c r="BC56" s="181">
        <f t="shared" si="92"/>
        <v>16.871011111111113</v>
      </c>
      <c r="BD56" s="181">
        <f t="shared" si="92"/>
        <v>15.88768888888889</v>
      </c>
      <c r="BE56" s="181">
        <f t="shared" si="92"/>
        <v>15.1988</v>
      </c>
      <c r="BF56" s="181">
        <f t="shared" si="92"/>
        <v>15.0528</v>
      </c>
      <c r="BG56" s="181">
        <f t="shared" si="92"/>
        <v>14.247244444444442</v>
      </c>
      <c r="BH56" s="181">
        <f t="shared" si="92"/>
        <v>13.48891111111111</v>
      </c>
      <c r="BI56" s="181">
        <f t="shared" si="92"/>
        <v>12.022244444444446</v>
      </c>
      <c r="BJ56" s="181">
        <f t="shared" si="92"/>
        <v>11.130577777777775</v>
      </c>
      <c r="BK56" s="181">
        <f t="shared" si="92"/>
        <v>11.73057777777778</v>
      </c>
      <c r="BL56" s="181">
        <f t="shared" si="92"/>
        <v>12.247233333333334</v>
      </c>
      <c r="BM56" s="181">
        <f t="shared" si="92"/>
        <v>14.122233333333334</v>
      </c>
      <c r="BN56" s="181">
        <f t="shared" si="92"/>
        <v>12.261122222222221</v>
      </c>
      <c r="BO56" s="181">
        <f t="shared" si="92"/>
        <v>11.261122222222221</v>
      </c>
      <c r="BP56" s="181">
        <f t="shared" si="92"/>
        <v>10.97777777777778</v>
      </c>
      <c r="BQ56" s="181">
        <f t="shared" si="92"/>
        <v>10.15</v>
      </c>
      <c r="BR56" s="181">
        <f t="shared" si="92"/>
        <v>9.8472222222222232</v>
      </c>
      <c r="BS56" s="181">
        <f t="shared" si="92"/>
        <v>10.530555555555557</v>
      </c>
      <c r="BT56" s="181">
        <f t="shared" si="92"/>
        <v>12.613888888888889</v>
      </c>
      <c r="BU56" s="181">
        <f t="shared" si="92"/>
        <v>14.097222222222221</v>
      </c>
      <c r="BV56" s="181">
        <f t="shared" si="92"/>
        <v>15.880555555555555</v>
      </c>
      <c r="BW56" s="181">
        <f t="shared" si="92"/>
        <v>14.522222222222224</v>
      </c>
      <c r="BX56" s="181">
        <f t="shared" ref="BX56:EI56" si="93">SUM(BM51:BX51)/12</f>
        <v>14.155555555555557</v>
      </c>
      <c r="BY56" s="181">
        <f t="shared" si="93"/>
        <v>12.822222222222223</v>
      </c>
      <c r="BZ56" s="181">
        <f t="shared" si="93"/>
        <v>12.922222222222222</v>
      </c>
      <c r="CA56" s="181">
        <f t="shared" si="93"/>
        <v>13.880555555555555</v>
      </c>
      <c r="CB56" s="181">
        <f t="shared" si="93"/>
        <v>13.87222222222222</v>
      </c>
      <c r="CC56" s="181">
        <f t="shared" si="93"/>
        <v>14.39722222222222</v>
      </c>
      <c r="CD56" s="181">
        <f t="shared" si="93"/>
        <v>13.958333333333334</v>
      </c>
      <c r="CE56" s="181">
        <f t="shared" si="93"/>
        <v>12.174999999999999</v>
      </c>
      <c r="CF56" s="181">
        <f t="shared" si="93"/>
        <v>10.391666666666667</v>
      </c>
      <c r="CG56" s="181">
        <f t="shared" si="93"/>
        <v>11.555000000000001</v>
      </c>
      <c r="CH56" s="194">
        <f t="shared" si="93"/>
        <v>12.729999999999999</v>
      </c>
      <c r="CI56" s="194">
        <f t="shared" si="93"/>
        <v>15.954999999999998</v>
      </c>
      <c r="CJ56" s="194">
        <f t="shared" si="93"/>
        <v>17.988333333333333</v>
      </c>
      <c r="CK56" s="194">
        <f t="shared" si="93"/>
        <v>20.321666666666669</v>
      </c>
      <c r="CL56" s="194">
        <f t="shared" si="93"/>
        <v>24.429999999999996</v>
      </c>
      <c r="CM56" s="194">
        <f t="shared" si="93"/>
        <v>26.483333333333331</v>
      </c>
      <c r="CN56" s="194">
        <f t="shared" si="93"/>
        <v>29.024999999999995</v>
      </c>
      <c r="CO56" s="194">
        <f t="shared" si="93"/>
        <v>30.983333333333331</v>
      </c>
      <c r="CP56" s="194">
        <f t="shared" si="93"/>
        <v>34.566666666666656</v>
      </c>
      <c r="CQ56" s="194">
        <f t="shared" si="93"/>
        <v>36.566666666666663</v>
      </c>
      <c r="CR56" s="194">
        <f t="shared" si="93"/>
        <v>38.699999999999996</v>
      </c>
      <c r="CS56" s="194">
        <f t="shared" si="93"/>
        <v>36.32</v>
      </c>
      <c r="CT56" s="194">
        <f t="shared" si="93"/>
        <v>34.32</v>
      </c>
      <c r="CU56" s="194">
        <f t="shared" si="93"/>
        <v>32.297500000000007</v>
      </c>
      <c r="CV56" s="194">
        <f t="shared" si="93"/>
        <v>34.641666666666666</v>
      </c>
      <c r="CW56" s="194">
        <f t="shared" si="93"/>
        <v>38.894166666666671</v>
      </c>
      <c r="CX56" s="194">
        <f t="shared" si="93"/>
        <v>40.330833333333338</v>
      </c>
      <c r="CY56" s="194">
        <f t="shared" si="93"/>
        <v>41.346388888888889</v>
      </c>
      <c r="CZ56" s="194">
        <f t="shared" si="93"/>
        <v>45.643888888888888</v>
      </c>
      <c r="DA56" s="194">
        <f t="shared" si="93"/>
        <v>47.486388888888882</v>
      </c>
      <c r="DB56" s="194">
        <f t="shared" si="93"/>
        <v>44.749722222222225</v>
      </c>
      <c r="DC56" s="194">
        <f t="shared" si="93"/>
        <v>45.038888888888884</v>
      </c>
      <c r="DD56" s="194">
        <f t="shared" si="93"/>
        <v>45.113888888888887</v>
      </c>
      <c r="DE56" s="194">
        <f t="shared" si="93"/>
        <v>49.492222222222217</v>
      </c>
      <c r="DF56" s="194">
        <f t="shared" si="93"/>
        <v>54.415555555555557</v>
      </c>
      <c r="DG56" s="194">
        <f t="shared" si="93"/>
        <v>58.018888888888881</v>
      </c>
      <c r="DH56" s="194">
        <f t="shared" si="93"/>
        <v>59.116388888888885</v>
      </c>
      <c r="DI56" s="194">
        <f t="shared" si="93"/>
        <v>55.065555555555555</v>
      </c>
      <c r="DJ56" s="194">
        <f t="shared" si="93"/>
        <v>52.341388888888893</v>
      </c>
      <c r="DK56" s="194">
        <f t="shared" si="93"/>
        <v>51.247500000000002</v>
      </c>
      <c r="DL56" s="194">
        <f t="shared" si="93"/>
        <v>47.976666666666667</v>
      </c>
      <c r="DM56" s="194">
        <f t="shared" si="93"/>
        <v>47.009166666666665</v>
      </c>
      <c r="DN56" s="194">
        <f t="shared" si="93"/>
        <v>48.93</v>
      </c>
      <c r="DO56" s="194">
        <f t="shared" si="93"/>
        <v>48.007499999999993</v>
      </c>
      <c r="DP56" s="194">
        <f t="shared" si="93"/>
        <v>49.868333333333332</v>
      </c>
      <c r="DQ56" s="194">
        <f t="shared" si="93"/>
        <v>50.845833333333324</v>
      </c>
      <c r="DR56" s="194">
        <f t="shared" si="93"/>
        <v>50.189166666666658</v>
      </c>
      <c r="DS56" s="194">
        <f t="shared" si="93"/>
        <v>49.516666666666659</v>
      </c>
      <c r="DT56" s="194">
        <f t="shared" si="93"/>
        <v>47.366666666666667</v>
      </c>
      <c r="DU56" s="194">
        <f t="shared" si="93"/>
        <v>47.670000000000009</v>
      </c>
      <c r="DV56" s="194">
        <f t="shared" si="93"/>
        <v>51.040833333333332</v>
      </c>
      <c r="DW56" s="194">
        <f t="shared" si="93"/>
        <v>54.69083333333333</v>
      </c>
      <c r="DX56" s="194">
        <f t="shared" si="93"/>
        <v>58.914166666666667</v>
      </c>
      <c r="DY56" s="194">
        <f t="shared" si="93"/>
        <v>63.080833333333324</v>
      </c>
      <c r="DZ56" s="194">
        <f t="shared" si="93"/>
        <v>66.063333333333333</v>
      </c>
      <c r="EA56" s="194">
        <f t="shared" si="93"/>
        <v>68.313333333333347</v>
      </c>
      <c r="EB56" s="194">
        <f t="shared" si="93"/>
        <v>67.777500000000003</v>
      </c>
      <c r="EC56" s="194">
        <f t="shared" si="93"/>
        <v>66.155000000000001</v>
      </c>
      <c r="ED56" s="194">
        <f t="shared" si="93"/>
        <v>62.688333333333333</v>
      </c>
      <c r="EE56" s="194">
        <f t="shared" si="93"/>
        <v>59.430000000000007</v>
      </c>
      <c r="EF56" s="194">
        <f t="shared" si="93"/>
        <v>57.555</v>
      </c>
      <c r="EG56" s="194">
        <f t="shared" si="93"/>
        <v>55.791666666666657</v>
      </c>
      <c r="EH56" s="194">
        <f t="shared" si="93"/>
        <v>50.366666666666653</v>
      </c>
      <c r="EI56" s="194">
        <f t="shared" si="93"/>
        <v>48.538333333333327</v>
      </c>
      <c r="EJ56" s="129">
        <f t="shared" ref="EJ56:EM56" si="94">SUM(DY51:EJ51)/12</f>
        <v>45.064166666666665</v>
      </c>
      <c r="EK56" s="129">
        <f t="shared" si="94"/>
        <v>40.510833333333331</v>
      </c>
      <c r="EL56" s="129">
        <f t="shared" si="94"/>
        <v>35.614999999999995</v>
      </c>
      <c r="EM56" s="129">
        <f t="shared" si="94"/>
        <v>33.630833333333328</v>
      </c>
      <c r="EN56" s="129">
        <f>SUM(EC51:EN51)/SUM(EC50:EN50)*200000</f>
        <v>564145.98540145974</v>
      </c>
      <c r="EO56" s="129">
        <f t="shared" si="90"/>
        <v>544892.08633093524</v>
      </c>
      <c r="EP56" s="129">
        <f t="shared" si="90"/>
        <v>582992.48120300751</v>
      </c>
      <c r="EQ56" s="129">
        <f t="shared" si="90"/>
        <v>617776.11940298497</v>
      </c>
      <c r="ER56" s="129">
        <f t="shared" si="90"/>
        <v>589037.59398496232</v>
      </c>
    </row>
    <row r="57" spans="1:148" x14ac:dyDescent="0.2">
      <c r="A57" s="234" t="s">
        <v>236</v>
      </c>
      <c r="BU57" s="194">
        <f t="shared" ref="BU57:CZ57" si="95">SUM(BJ51:BU51)/SUM(BJ53:BU53)</f>
        <v>7.0486111111111107</v>
      </c>
      <c r="BV57" s="194">
        <f t="shared" si="95"/>
        <v>8.2855072463768114</v>
      </c>
      <c r="BW57" s="194">
        <f t="shared" si="95"/>
        <v>7.9212121212121218</v>
      </c>
      <c r="BX57" s="194">
        <f t="shared" si="95"/>
        <v>7.7212121212121216</v>
      </c>
      <c r="BY57" s="194">
        <f t="shared" si="95"/>
        <v>8.5481481481481492</v>
      </c>
      <c r="BZ57" s="194">
        <f t="shared" si="95"/>
        <v>8.1614035087719294</v>
      </c>
      <c r="CA57" s="194">
        <f t="shared" si="95"/>
        <v>8.3283333333333331</v>
      </c>
      <c r="CB57" s="194">
        <f t="shared" si="95"/>
        <v>7.5666666666666655</v>
      </c>
      <c r="CC57" s="194">
        <f t="shared" si="95"/>
        <v>7.1986111111111102</v>
      </c>
      <c r="CD57" s="194">
        <f t="shared" si="95"/>
        <v>6.979166666666667</v>
      </c>
      <c r="CE57" s="194">
        <f t="shared" si="95"/>
        <v>6.9571428571428573</v>
      </c>
      <c r="CF57" s="194">
        <f t="shared" si="95"/>
        <v>5.1958333333333337</v>
      </c>
      <c r="CG57" s="194">
        <f t="shared" si="95"/>
        <v>6.6028571428571441</v>
      </c>
      <c r="CH57" s="194">
        <f t="shared" si="95"/>
        <v>6.3649999999999993</v>
      </c>
      <c r="CI57" s="194">
        <f t="shared" si="95"/>
        <v>8.3243478260869548</v>
      </c>
      <c r="CJ57" s="194">
        <f t="shared" si="95"/>
        <v>9.385217391304348</v>
      </c>
      <c r="CK57" s="194">
        <f t="shared" si="95"/>
        <v>9.3792307692307695</v>
      </c>
      <c r="CL57" s="194">
        <f t="shared" si="95"/>
        <v>10.108965517241378</v>
      </c>
      <c r="CM57" s="194">
        <f t="shared" si="95"/>
        <v>11.349999999999998</v>
      </c>
      <c r="CN57" s="194">
        <f t="shared" si="95"/>
        <v>12.899999999999999</v>
      </c>
      <c r="CO57" s="194">
        <f t="shared" si="95"/>
        <v>14.871999999999998</v>
      </c>
      <c r="CP57" s="194">
        <f t="shared" si="95"/>
        <v>16.591999999999995</v>
      </c>
      <c r="CQ57" s="194">
        <f t="shared" si="95"/>
        <v>16.876923076923074</v>
      </c>
      <c r="CR57" s="194">
        <f t="shared" si="95"/>
        <v>17.861538461538462</v>
      </c>
      <c r="CS57" s="194">
        <f t="shared" si="95"/>
        <v>15.565714285714284</v>
      </c>
      <c r="CT57" s="194">
        <f t="shared" si="95"/>
        <v>15.840000000000002</v>
      </c>
      <c r="CU57" s="194">
        <f t="shared" si="95"/>
        <v>14.906538461538464</v>
      </c>
      <c r="CV57" s="194">
        <f t="shared" si="95"/>
        <v>14.334482758620689</v>
      </c>
      <c r="CW57" s="194">
        <f t="shared" si="95"/>
        <v>17.286296296296296</v>
      </c>
      <c r="CX57" s="194">
        <f t="shared" si="95"/>
        <v>18.614230769230769</v>
      </c>
      <c r="CY57" s="194">
        <f t="shared" si="95"/>
        <v>17.108850574712644</v>
      </c>
      <c r="CZ57" s="194">
        <f t="shared" si="95"/>
        <v>19.561666666666667</v>
      </c>
      <c r="DA57" s="194">
        <f t="shared" ref="DA57:EF57" si="96">SUM(CP51:DA51)/SUM(CP53:DA53)</f>
        <v>18.381827956989245</v>
      </c>
      <c r="DB57" s="194">
        <f t="shared" si="96"/>
        <v>17.322473118279571</v>
      </c>
      <c r="DC57" s="194">
        <f t="shared" si="96"/>
        <v>15.896078431372546</v>
      </c>
      <c r="DD57" s="194">
        <f t="shared" si="96"/>
        <v>16.917708333333334</v>
      </c>
      <c r="DE57" s="194">
        <f t="shared" si="96"/>
        <v>18.559583333333332</v>
      </c>
      <c r="DF57" s="194">
        <f t="shared" si="96"/>
        <v>21.064086021505378</v>
      </c>
      <c r="DG57" s="194">
        <f t="shared" si="96"/>
        <v>21.75708333333333</v>
      </c>
      <c r="DH57" s="194">
        <f t="shared" si="96"/>
        <v>22.168645833333333</v>
      </c>
      <c r="DI57" s="194">
        <f t="shared" si="96"/>
        <v>20.023838383838381</v>
      </c>
      <c r="DJ57" s="194">
        <f t="shared" si="96"/>
        <v>20.936555555555557</v>
      </c>
      <c r="DK57" s="194">
        <f t="shared" si="96"/>
        <v>21.205862068965519</v>
      </c>
      <c r="DL57" s="194">
        <f t="shared" si="96"/>
        <v>17.446060606060605</v>
      </c>
      <c r="DM57" s="194">
        <f t="shared" si="96"/>
        <v>18.803666666666668</v>
      </c>
      <c r="DN57" s="194">
        <f t="shared" si="96"/>
        <v>19.571999999999999</v>
      </c>
      <c r="DO57" s="194">
        <f t="shared" si="96"/>
        <v>22.15730769230769</v>
      </c>
      <c r="DP57" s="194">
        <f t="shared" si="96"/>
        <v>19.303870967741933</v>
      </c>
      <c r="DQ57" s="194">
        <f t="shared" si="96"/>
        <v>19.682258064516123</v>
      </c>
      <c r="DR57" s="194">
        <f t="shared" si="96"/>
        <v>19.428064516129027</v>
      </c>
      <c r="DS57" s="194">
        <f t="shared" si="96"/>
        <v>18.006060606060604</v>
      </c>
      <c r="DT57" s="194">
        <f t="shared" si="96"/>
        <v>17.762499999999999</v>
      </c>
      <c r="DU57" s="194">
        <f t="shared" si="96"/>
        <v>18.452903225806455</v>
      </c>
      <c r="DV57" s="194">
        <f t="shared" si="96"/>
        <v>18.014411764705883</v>
      </c>
      <c r="DW57" s="194">
        <f t="shared" si="96"/>
        <v>20.509062499999999</v>
      </c>
      <c r="DX57" s="194">
        <f t="shared" si="96"/>
        <v>25.248928571428571</v>
      </c>
      <c r="DY57" s="194">
        <f t="shared" si="96"/>
        <v>26.102413793103445</v>
      </c>
      <c r="DZ57" s="194">
        <f t="shared" si="96"/>
        <v>25.572903225806453</v>
      </c>
      <c r="EA57" s="194">
        <f t="shared" si="96"/>
        <v>26.44387096774194</v>
      </c>
      <c r="EB57" s="194">
        <f t="shared" si="96"/>
        <v>29.047500000000003</v>
      </c>
      <c r="EC57" s="194">
        <f t="shared" si="96"/>
        <v>28.352142857142859</v>
      </c>
      <c r="ED57" s="194">
        <f t="shared" si="96"/>
        <v>25.94</v>
      </c>
      <c r="EE57" s="194">
        <f t="shared" si="96"/>
        <v>26.413333333333338</v>
      </c>
      <c r="EF57" s="194">
        <f t="shared" si="96"/>
        <v>26.563846153846153</v>
      </c>
      <c r="EG57" s="194">
        <f t="shared" ref="EG57:EN57" si="97">SUM(DV51:EG51)/SUM(DV53:EG53)</f>
        <v>23.086206896551719</v>
      </c>
      <c r="EH57" s="194">
        <f t="shared" si="97"/>
        <v>22.385185185185179</v>
      </c>
      <c r="EI57" s="194">
        <f t="shared" si="97"/>
        <v>19.415333333333329</v>
      </c>
      <c r="EJ57" s="129">
        <f t="shared" si="97"/>
        <v>16.386969696969697</v>
      </c>
      <c r="EK57" s="129">
        <f t="shared" si="97"/>
        <v>14.297941176470587</v>
      </c>
      <c r="EL57" s="129">
        <f t="shared" si="97"/>
        <v>13.355624999999998</v>
      </c>
      <c r="EM57" s="129">
        <f t="shared" si="97"/>
        <v>11.530571428571427</v>
      </c>
      <c r="EN57" s="129">
        <f t="shared" si="97"/>
        <v>9.6609999999999978</v>
      </c>
      <c r="EO57" s="129">
        <f>SUM(ED51:EO51)/SUM(ED53:EO53)</f>
        <v>8.2326086956521731</v>
      </c>
      <c r="EP57" s="129">
        <f>SUM(EE51:EP51)/SUM(EE53:EP53)</f>
        <v>7.912040816326531</v>
      </c>
      <c r="EQ57" s="129">
        <f>SUM(EF51:EQ51)/SUM(EF53:EQ53)</f>
        <v>8.2782</v>
      </c>
      <c r="ER57" s="129">
        <f>SUM(EG51:ER51)/SUM(EG53:ER53)</f>
        <v>8.1606249999999978</v>
      </c>
    </row>
    <row r="58" spans="1:148" x14ac:dyDescent="0.2">
      <c r="A58" s="234" t="s">
        <v>237</v>
      </c>
      <c r="BU58" s="194">
        <v>7.0486111111111107</v>
      </c>
      <c r="BV58" s="194">
        <v>7.0486111111111107</v>
      </c>
      <c r="BW58" s="194">
        <v>7.0486111111111107</v>
      </c>
      <c r="BX58" s="194">
        <v>7.0486111111111107</v>
      </c>
      <c r="BY58" s="194">
        <v>7.0486111111111107</v>
      </c>
      <c r="BZ58" s="194">
        <v>7.0486111111111107</v>
      </c>
      <c r="CA58" s="194">
        <v>7.0486111111111107</v>
      </c>
      <c r="CB58" s="194">
        <v>7.0486111111111107</v>
      </c>
      <c r="CC58" s="194">
        <v>7.0486111111111107</v>
      </c>
      <c r="CD58" s="194">
        <v>7.0486111111111107</v>
      </c>
      <c r="CE58" s="194">
        <v>7.0486111111111107</v>
      </c>
      <c r="CF58" s="194">
        <v>7.0486111111111107</v>
      </c>
      <c r="CG58" s="194">
        <v>7.0486111111111107</v>
      </c>
      <c r="CH58" s="194">
        <v>7.0486111111111107</v>
      </c>
      <c r="CI58" s="194">
        <f t="shared" ref="CI58:EN58" si="98">SUM(BX52:CI52)/SUM(BX53:CI53)</f>
        <v>5.5443478260869554</v>
      </c>
      <c r="CJ58" s="194">
        <f t="shared" si="98"/>
        <v>5.7791304347826085</v>
      </c>
      <c r="CK58" s="194">
        <f t="shared" si="98"/>
        <v>5.4930769230769227</v>
      </c>
      <c r="CL58" s="194">
        <f t="shared" si="98"/>
        <v>6.0006896551724145</v>
      </c>
      <c r="CM58" s="194">
        <f t="shared" si="98"/>
        <v>6.415</v>
      </c>
      <c r="CN58" s="194">
        <f t="shared" si="98"/>
        <v>7.0451851851851854</v>
      </c>
      <c r="CO58" s="194">
        <f t="shared" si="98"/>
        <v>7.7527999999999997</v>
      </c>
      <c r="CP58" s="194">
        <f t="shared" si="98"/>
        <v>7.8688000000000002</v>
      </c>
      <c r="CQ58" s="194">
        <f t="shared" si="98"/>
        <v>8.0892307692307686</v>
      </c>
      <c r="CR58" s="194">
        <f t="shared" si="98"/>
        <v>9.2430769230769236</v>
      </c>
      <c r="CS58" s="194">
        <f t="shared" si="98"/>
        <v>8.242857142857142</v>
      </c>
      <c r="CT58" s="194">
        <f t="shared" si="98"/>
        <v>8.7076923076923087</v>
      </c>
      <c r="CU58" s="194">
        <f t="shared" si="98"/>
        <v>8.5780769230769245</v>
      </c>
      <c r="CV58" s="194">
        <f t="shared" si="98"/>
        <v>9.3158620689655187</v>
      </c>
      <c r="CW58" s="194">
        <f t="shared" si="98"/>
        <v>12.566296296296295</v>
      </c>
      <c r="CX58" s="194">
        <f t="shared" si="98"/>
        <v>14.408846153846154</v>
      </c>
      <c r="CY58" s="194">
        <f t="shared" si="98"/>
        <v>13.995057471264367</v>
      </c>
      <c r="CZ58" s="194">
        <f t="shared" si="98"/>
        <v>17.047380952380951</v>
      </c>
      <c r="DA58" s="194">
        <f t="shared" si="98"/>
        <v>16.752795698924729</v>
      </c>
      <c r="DB58" s="194">
        <f t="shared" si="98"/>
        <v>16.986989247311829</v>
      </c>
      <c r="DC58" s="194">
        <f t="shared" si="98"/>
        <v>15.896078431372546</v>
      </c>
      <c r="DD58" s="194">
        <f t="shared" si="98"/>
        <v>16.917708333333334</v>
      </c>
      <c r="DE58" s="194">
        <f t="shared" si="98"/>
        <v>18.559583333333332</v>
      </c>
      <c r="DF58" s="194">
        <f t="shared" si="98"/>
        <v>21.064086021505378</v>
      </c>
      <c r="DG58" s="194">
        <f t="shared" si="98"/>
        <v>21.75708333333333</v>
      </c>
      <c r="DH58" s="194">
        <f t="shared" si="98"/>
        <v>22.168645833333333</v>
      </c>
      <c r="DI58" s="194">
        <f t="shared" si="98"/>
        <v>20.023838383838381</v>
      </c>
      <c r="DJ58" s="194">
        <f t="shared" si="98"/>
        <v>20.936555555555557</v>
      </c>
      <c r="DK58" s="194">
        <f t="shared" si="98"/>
        <v>21.205862068965519</v>
      </c>
      <c r="DL58" s="194">
        <f t="shared" si="98"/>
        <v>17.446060606060605</v>
      </c>
      <c r="DM58" s="194">
        <f t="shared" si="98"/>
        <v>18.803666666666668</v>
      </c>
      <c r="DN58" s="194">
        <f t="shared" si="98"/>
        <v>19.571999999999999</v>
      </c>
      <c r="DO58" s="194">
        <f t="shared" si="98"/>
        <v>22.15730769230769</v>
      </c>
      <c r="DP58" s="194">
        <f t="shared" si="98"/>
        <v>19.303870967741933</v>
      </c>
      <c r="DQ58" s="194">
        <f t="shared" si="98"/>
        <v>19.682258064516123</v>
      </c>
      <c r="DR58" s="194">
        <f t="shared" si="98"/>
        <v>19.428064516129027</v>
      </c>
      <c r="DS58" s="194">
        <f t="shared" si="98"/>
        <v>18.006060606060604</v>
      </c>
      <c r="DT58" s="194">
        <f t="shared" si="98"/>
        <v>17.762499999999999</v>
      </c>
      <c r="DU58" s="194">
        <f t="shared" si="98"/>
        <v>18.452903225806455</v>
      </c>
      <c r="DV58" s="194">
        <f t="shared" si="98"/>
        <v>18.014411764705883</v>
      </c>
      <c r="DW58" s="194">
        <f t="shared" si="98"/>
        <v>20.509062499999999</v>
      </c>
      <c r="DX58" s="194">
        <f t="shared" si="98"/>
        <v>25.248928571428571</v>
      </c>
      <c r="DY58" s="194">
        <f t="shared" si="98"/>
        <v>26.102413793103445</v>
      </c>
      <c r="DZ58" s="194">
        <f t="shared" si="98"/>
        <v>25.572903225806453</v>
      </c>
      <c r="EA58" s="194">
        <f t="shared" si="98"/>
        <v>26.44387096774194</v>
      </c>
      <c r="EB58" s="194">
        <f t="shared" si="98"/>
        <v>29.047500000000003</v>
      </c>
      <c r="EC58" s="194">
        <f t="shared" si="98"/>
        <v>28.352142857142859</v>
      </c>
      <c r="ED58" s="194">
        <f t="shared" si="98"/>
        <v>25.94</v>
      </c>
      <c r="EE58" s="194">
        <f t="shared" si="98"/>
        <v>26.413333333333338</v>
      </c>
      <c r="EF58" s="194">
        <f t="shared" si="98"/>
        <v>26.563846153846153</v>
      </c>
      <c r="EG58" s="194">
        <f t="shared" si="98"/>
        <v>23.086206896551719</v>
      </c>
      <c r="EH58" s="194">
        <f t="shared" si="98"/>
        <v>22.385185185185179</v>
      </c>
      <c r="EI58" s="194">
        <f t="shared" si="98"/>
        <v>19.415333333333329</v>
      </c>
      <c r="EJ58" s="129">
        <f t="shared" si="98"/>
        <v>16.386969696969697</v>
      </c>
      <c r="EK58" s="129">
        <f t="shared" si="98"/>
        <v>14.297941176470587</v>
      </c>
      <c r="EL58" s="129">
        <f t="shared" si="98"/>
        <v>13.355624999999998</v>
      </c>
      <c r="EM58" s="129">
        <f t="shared" si="98"/>
        <v>11.530571428571427</v>
      </c>
      <c r="EN58" s="129">
        <f t="shared" si="98"/>
        <v>9.6609999999999978</v>
      </c>
      <c r="EO58" s="129">
        <f>SUM(ED52:EO52)/SUM(ED53:EO53)</f>
        <v>8.2326086956521731</v>
      </c>
      <c r="EP58" s="129">
        <f>SUM(EE52:EP52)/SUM(EE53:EP53)</f>
        <v>7.912040816326531</v>
      </c>
      <c r="EQ58" s="129">
        <f>SUM(EF52:EQ52)/SUM(EF53:EQ53)</f>
        <v>8.2782</v>
      </c>
      <c r="ER58" s="129">
        <f>SUM(EG52:ER52)/SUM(EG53:ER53)</f>
        <v>8.1606249999999978</v>
      </c>
    </row>
    <row r="59" spans="1:148" x14ac:dyDescent="0.2">
      <c r="A59" s="235" t="s">
        <v>238</v>
      </c>
      <c r="B59" s="203"/>
      <c r="C59" s="203"/>
      <c r="D59" s="203"/>
      <c r="E59" s="203"/>
      <c r="F59" s="203"/>
      <c r="G59" s="203"/>
      <c r="H59" s="203"/>
      <c r="I59" s="203"/>
      <c r="J59" s="203"/>
      <c r="K59" s="203"/>
      <c r="L59" s="203"/>
      <c r="M59" s="203"/>
      <c r="N59" s="203"/>
      <c r="O59" s="203"/>
      <c r="P59" s="203"/>
      <c r="Q59" s="203"/>
      <c r="R59" s="203"/>
      <c r="S59" s="203"/>
      <c r="T59" s="203"/>
      <c r="U59" s="203"/>
      <c r="V59" s="203"/>
      <c r="W59" s="203"/>
      <c r="X59" s="203"/>
      <c r="Y59" s="203"/>
      <c r="Z59" s="203"/>
      <c r="AA59" s="203"/>
      <c r="AB59" s="203"/>
      <c r="AC59" s="203"/>
      <c r="AD59" s="203"/>
      <c r="AE59" s="203"/>
      <c r="AF59" s="203"/>
      <c r="AG59" s="203"/>
      <c r="AH59" s="203"/>
      <c r="AI59" s="203"/>
      <c r="AJ59" s="203"/>
      <c r="AK59" s="203"/>
      <c r="AL59" s="203"/>
      <c r="AM59" s="203"/>
      <c r="AN59" s="203"/>
      <c r="AO59" s="203"/>
      <c r="AP59" s="203"/>
      <c r="AQ59" s="203"/>
      <c r="AR59" s="203"/>
      <c r="AS59" s="203"/>
      <c r="AT59" s="203"/>
      <c r="AU59" s="203"/>
      <c r="AV59" s="203"/>
      <c r="AW59" s="203"/>
      <c r="AX59" s="203"/>
      <c r="AY59" s="203"/>
      <c r="AZ59" s="203"/>
      <c r="BA59" s="203"/>
      <c r="BB59" s="203"/>
      <c r="BC59" s="203"/>
      <c r="BD59" s="203"/>
      <c r="BE59" s="203"/>
      <c r="BF59" s="203"/>
      <c r="BG59" s="203"/>
      <c r="BH59" s="203"/>
      <c r="BI59" s="203"/>
      <c r="BJ59" s="203"/>
      <c r="BK59" s="203"/>
      <c r="BL59" s="203"/>
      <c r="BM59" s="203"/>
      <c r="BN59" s="203"/>
      <c r="BO59" s="203"/>
      <c r="BP59" s="203"/>
      <c r="BQ59" s="203"/>
      <c r="BR59" s="203"/>
      <c r="BS59" s="203"/>
      <c r="BT59" s="203"/>
      <c r="BU59" s="203"/>
      <c r="BV59" s="203"/>
      <c r="BW59" s="203"/>
      <c r="BX59" s="203"/>
      <c r="BY59" s="203"/>
      <c r="BZ59" s="203"/>
      <c r="CA59" s="203"/>
      <c r="CB59" s="203"/>
      <c r="CC59" s="203"/>
      <c r="CD59" s="203"/>
      <c r="CE59" s="203"/>
      <c r="CF59" s="203"/>
      <c r="CG59" s="203"/>
      <c r="CH59" s="203"/>
      <c r="CI59" s="203"/>
      <c r="CJ59" s="203"/>
      <c r="CK59" s="203"/>
      <c r="CL59" s="203"/>
      <c r="CM59" s="203"/>
      <c r="CN59" s="203"/>
      <c r="CO59" s="203"/>
      <c r="CP59" s="203"/>
      <c r="CQ59" s="203"/>
      <c r="CR59" s="203"/>
      <c r="CS59" s="203"/>
      <c r="CT59" s="203"/>
      <c r="CU59" s="203"/>
      <c r="CV59" s="203"/>
      <c r="CW59" s="203"/>
      <c r="CX59" s="203"/>
      <c r="CY59" s="203"/>
      <c r="CZ59" s="203"/>
      <c r="DA59" s="203"/>
      <c r="DB59" s="203"/>
      <c r="DC59" s="203"/>
      <c r="DD59" s="203"/>
      <c r="DE59" s="203"/>
      <c r="DF59" s="203"/>
      <c r="DG59" s="203"/>
      <c r="DH59" s="203"/>
      <c r="DI59" s="203"/>
      <c r="DJ59" s="203"/>
      <c r="DK59" s="203"/>
      <c r="DL59" s="203"/>
      <c r="DM59" s="203"/>
      <c r="DN59" s="203"/>
      <c r="DO59" s="203"/>
      <c r="DP59" s="203"/>
      <c r="DQ59" s="203"/>
      <c r="DR59" s="203"/>
      <c r="DS59" s="203"/>
      <c r="DT59" s="203"/>
      <c r="DU59" s="203"/>
      <c r="DV59" s="203"/>
      <c r="DW59" s="203"/>
      <c r="DX59" s="203"/>
      <c r="DY59" s="203"/>
      <c r="DZ59" s="203"/>
      <c r="EA59" s="203"/>
      <c r="EB59" s="203"/>
      <c r="EC59" s="203"/>
      <c r="ED59" s="203"/>
      <c r="EE59" s="203"/>
      <c r="EF59" s="203"/>
      <c r="EG59" s="203"/>
      <c r="EH59" s="203"/>
      <c r="EI59" s="203"/>
      <c r="EJ59" s="173"/>
      <c r="EK59" s="173"/>
      <c r="EL59" s="173"/>
      <c r="EM59" s="173"/>
      <c r="EN59" s="173"/>
      <c r="EO59" s="173"/>
      <c r="EP59" s="173"/>
      <c r="EQ59" s="173"/>
      <c r="ER59" s="173"/>
    </row>
    <row r="60" spans="1:148" x14ac:dyDescent="0.2">
      <c r="A60" s="236" t="s">
        <v>239</v>
      </c>
      <c r="DX60" s="237"/>
      <c r="DY60" s="237"/>
      <c r="DZ60" s="237"/>
      <c r="EA60" s="237"/>
      <c r="EB60" s="237"/>
      <c r="EC60" s="237">
        <v>33</v>
      </c>
      <c r="ED60" s="237">
        <v>28</v>
      </c>
      <c r="EE60" s="237">
        <v>19</v>
      </c>
      <c r="EF60" s="237">
        <v>29</v>
      </c>
      <c r="EG60" s="237">
        <v>29</v>
      </c>
      <c r="EH60" s="237">
        <v>36</v>
      </c>
      <c r="EI60" s="237">
        <v>32</v>
      </c>
      <c r="EJ60" s="237">
        <v>23</v>
      </c>
      <c r="EK60" s="237">
        <v>44</v>
      </c>
      <c r="EL60" s="237">
        <v>27</v>
      </c>
      <c r="EM60" s="237">
        <v>36</v>
      </c>
      <c r="EN60" s="237">
        <v>50</v>
      </c>
      <c r="EO60" s="237">
        <v>52</v>
      </c>
      <c r="EP60" s="237">
        <v>34</v>
      </c>
      <c r="EQ60" s="237">
        <v>41</v>
      </c>
      <c r="ER60" s="237">
        <v>47</v>
      </c>
    </row>
    <row r="61" spans="1:148" x14ac:dyDescent="0.2">
      <c r="A61" s="238" t="s">
        <v>240</v>
      </c>
      <c r="DX61" s="237"/>
      <c r="DY61" s="237"/>
      <c r="DZ61" s="237"/>
      <c r="EA61" s="237"/>
      <c r="EB61" s="237"/>
      <c r="EC61" s="237">
        <v>17</v>
      </c>
      <c r="ED61" s="237">
        <v>11</v>
      </c>
      <c r="EE61" s="237">
        <v>18</v>
      </c>
      <c r="EF61" s="237">
        <v>24</v>
      </c>
      <c r="EG61" s="237">
        <v>18</v>
      </c>
      <c r="EH61" s="237">
        <v>23</v>
      </c>
      <c r="EI61" s="237">
        <v>26</v>
      </c>
      <c r="EJ61" s="237">
        <v>16</v>
      </c>
      <c r="EK61" s="237">
        <v>90</v>
      </c>
      <c r="EL61" s="237">
        <v>56</v>
      </c>
      <c r="EM61" s="237">
        <v>80</v>
      </c>
      <c r="EN61" s="237">
        <v>111</v>
      </c>
      <c r="EO61" s="237">
        <v>48</v>
      </c>
      <c r="EP61" s="237">
        <v>42</v>
      </c>
      <c r="EQ61" s="237">
        <v>32</v>
      </c>
      <c r="ER61" s="237">
        <v>25</v>
      </c>
    </row>
    <row r="62" spans="1:148" x14ac:dyDescent="0.2">
      <c r="A62" s="239" t="s">
        <v>241</v>
      </c>
      <c r="BZ62" s="160"/>
      <c r="CA62" s="160"/>
      <c r="CB62" s="160"/>
      <c r="CC62" s="160"/>
      <c r="CD62" s="160"/>
      <c r="CE62" s="160"/>
      <c r="CF62" s="160"/>
      <c r="CG62" s="160"/>
      <c r="CH62" s="160"/>
      <c r="CI62" s="160"/>
      <c r="CJ62" s="160"/>
      <c r="CK62" s="160"/>
      <c r="CL62" s="160"/>
      <c r="CM62" s="160"/>
      <c r="CN62" s="160"/>
      <c r="CO62" s="160"/>
      <c r="CP62" s="160"/>
      <c r="CQ62" s="160"/>
      <c r="CR62" s="160"/>
      <c r="CS62" s="160"/>
      <c r="CT62" s="160"/>
      <c r="CU62" s="160"/>
      <c r="CV62" s="160"/>
      <c r="CW62" s="160"/>
      <c r="CX62" s="160"/>
      <c r="CY62" s="160"/>
      <c r="CZ62" s="160"/>
      <c r="DA62" s="160"/>
      <c r="DB62" s="160"/>
      <c r="DC62" s="160"/>
      <c r="DD62" s="160"/>
      <c r="DE62" s="160"/>
      <c r="DF62" s="160"/>
      <c r="DG62" s="160"/>
      <c r="DH62" s="160"/>
      <c r="EC62" s="129">
        <f>SUM(EC60:EC61)</f>
        <v>50</v>
      </c>
      <c r="ED62" s="129">
        <f>SUM(ED60:ED61)</f>
        <v>39</v>
      </c>
      <c r="EE62" s="129">
        <f>SUM(EE60:EE61)</f>
        <v>37</v>
      </c>
      <c r="EF62" s="129">
        <f>SUM(EF60:EF61)</f>
        <v>53</v>
      </c>
      <c r="EG62" s="129">
        <f>SUM(EG60:EG61)</f>
        <v>47</v>
      </c>
      <c r="EH62" s="129">
        <v>50</v>
      </c>
      <c r="EI62" s="129">
        <f t="shared" ref="EI62:EN62" si="99">SUM(EI60:EI61)</f>
        <v>58</v>
      </c>
      <c r="EJ62" s="129">
        <f t="shared" si="99"/>
        <v>39</v>
      </c>
      <c r="EK62" s="129">
        <f t="shared" si="99"/>
        <v>134</v>
      </c>
      <c r="EL62" s="129">
        <f t="shared" si="99"/>
        <v>83</v>
      </c>
      <c r="EM62" s="129">
        <f t="shared" si="99"/>
        <v>116</v>
      </c>
      <c r="EN62" s="129">
        <f t="shared" si="99"/>
        <v>161</v>
      </c>
      <c r="EO62" s="129">
        <f>SUM(EO60:EO61)</f>
        <v>100</v>
      </c>
      <c r="EP62" s="129">
        <f>SUM(EP60:EP61)</f>
        <v>76</v>
      </c>
      <c r="EQ62" s="129">
        <f>SUM(EQ60:EQ61)</f>
        <v>73</v>
      </c>
      <c r="ER62" s="129">
        <f>SUM(ER60:ER61)</f>
        <v>72</v>
      </c>
    </row>
    <row r="63" spans="1:148" x14ac:dyDescent="0.2">
      <c r="A63" s="240" t="s">
        <v>242</v>
      </c>
      <c r="B63" s="241"/>
      <c r="C63" s="241"/>
      <c r="D63" s="241"/>
      <c r="E63" s="241"/>
      <c r="F63" s="241"/>
      <c r="G63" s="241"/>
      <c r="H63" s="241"/>
      <c r="I63" s="241"/>
      <c r="J63" s="241"/>
      <c r="K63" s="241"/>
      <c r="L63" s="241"/>
      <c r="M63" s="241"/>
      <c r="N63" s="241"/>
      <c r="O63" s="241"/>
      <c r="P63" s="241"/>
      <c r="Q63" s="241"/>
      <c r="R63" s="241"/>
      <c r="S63" s="241"/>
      <c r="T63" s="241"/>
      <c r="U63" s="241"/>
      <c r="V63" s="241"/>
      <c r="W63" s="241"/>
      <c r="X63" s="241"/>
      <c r="Y63" s="241"/>
      <c r="Z63" s="241"/>
      <c r="AA63" s="241"/>
      <c r="AB63" s="241"/>
      <c r="AC63" s="241"/>
      <c r="AD63" s="241"/>
      <c r="AE63" s="241"/>
      <c r="AF63" s="241"/>
      <c r="AG63" s="241"/>
      <c r="AH63" s="241"/>
      <c r="AI63" s="241"/>
      <c r="AJ63" s="241"/>
      <c r="AK63" s="241"/>
      <c r="AL63" s="241"/>
      <c r="AM63" s="241"/>
      <c r="AN63" s="241"/>
      <c r="AO63" s="241"/>
      <c r="AP63" s="241"/>
      <c r="AQ63" s="241"/>
      <c r="AR63" s="241"/>
      <c r="AS63" s="241"/>
      <c r="AT63" s="241"/>
      <c r="AU63" s="241"/>
      <c r="AV63" s="241"/>
      <c r="AW63" s="241"/>
      <c r="AX63" s="241"/>
      <c r="AY63" s="241"/>
      <c r="AZ63" s="241"/>
      <c r="BA63" s="241"/>
      <c r="BB63" s="241"/>
      <c r="BC63" s="241"/>
      <c r="BD63" s="241"/>
      <c r="BE63" s="241"/>
      <c r="BF63" s="241"/>
      <c r="BG63" s="241"/>
      <c r="BH63" s="241"/>
      <c r="BI63" s="241"/>
      <c r="BJ63" s="241"/>
      <c r="BK63" s="241"/>
      <c r="BL63" s="241"/>
      <c r="BM63" s="241"/>
      <c r="BN63" s="241"/>
      <c r="BO63" s="241"/>
      <c r="BP63" s="241"/>
      <c r="BQ63" s="241"/>
      <c r="BR63" s="241"/>
      <c r="BS63" s="241"/>
      <c r="BT63" s="241"/>
      <c r="BU63" s="241"/>
      <c r="BV63" s="241"/>
      <c r="BW63" s="241"/>
      <c r="BX63" s="241"/>
      <c r="BY63" s="241"/>
      <c r="BZ63" s="242"/>
      <c r="CA63" s="242"/>
      <c r="CB63" s="242"/>
      <c r="CC63" s="242"/>
      <c r="CD63" s="242"/>
      <c r="CE63" s="242"/>
      <c r="CF63" s="242"/>
      <c r="CG63" s="242"/>
      <c r="CH63" s="242"/>
      <c r="CI63" s="242"/>
      <c r="CJ63" s="242"/>
      <c r="CK63" s="242"/>
      <c r="CL63" s="242"/>
      <c r="CM63" s="242"/>
      <c r="CN63" s="242"/>
      <c r="CO63" s="242"/>
      <c r="CP63" s="242"/>
      <c r="CQ63" s="242"/>
      <c r="CR63" s="242"/>
      <c r="CS63" s="242"/>
      <c r="CT63" s="242"/>
      <c r="CU63" s="242"/>
      <c r="CV63" s="242"/>
      <c r="CW63" s="242"/>
      <c r="CX63" s="242"/>
      <c r="CY63" s="242"/>
      <c r="CZ63" s="242"/>
      <c r="DA63" s="242"/>
      <c r="DB63" s="242"/>
      <c r="DC63" s="242"/>
      <c r="DD63" s="242"/>
      <c r="DE63" s="242"/>
      <c r="DF63" s="242"/>
      <c r="DG63" s="242"/>
      <c r="DH63" s="242"/>
      <c r="DI63" s="241"/>
      <c r="DJ63" s="241"/>
      <c r="DK63" s="241"/>
      <c r="DL63" s="241"/>
      <c r="DM63" s="241"/>
      <c r="DN63" s="241"/>
      <c r="DO63" s="241"/>
      <c r="DP63" s="241"/>
      <c r="DQ63" s="241"/>
      <c r="DR63" s="241"/>
      <c r="DS63" s="241"/>
      <c r="DT63" s="241"/>
      <c r="DU63" s="241"/>
      <c r="DV63" s="241"/>
      <c r="DW63" s="241"/>
      <c r="DX63" s="241"/>
      <c r="DY63" s="241"/>
      <c r="DZ63" s="241"/>
      <c r="EA63" s="241"/>
      <c r="EB63" s="241"/>
      <c r="EC63" s="241"/>
      <c r="ED63" s="241"/>
      <c r="EE63" s="241"/>
      <c r="EF63" s="241"/>
      <c r="EG63" s="241"/>
      <c r="EH63" s="241"/>
      <c r="EI63" s="241"/>
      <c r="EJ63" s="241"/>
      <c r="EK63" s="241"/>
      <c r="EL63" s="241"/>
      <c r="EM63" s="241"/>
      <c r="EN63" s="241"/>
      <c r="EO63" s="241"/>
      <c r="EP63" s="241"/>
      <c r="EQ63" s="241"/>
      <c r="ER63" s="241"/>
    </row>
    <row r="64" spans="1:148" ht="15" x14ac:dyDescent="0.25">
      <c r="A64" s="243" t="s">
        <v>243</v>
      </c>
      <c r="BZ64" s="160"/>
      <c r="CA64" s="160"/>
      <c r="CB64" s="160"/>
      <c r="CC64" s="160"/>
      <c r="CD64" s="160"/>
      <c r="CE64" s="160"/>
      <c r="CF64" s="160"/>
      <c r="CG64" s="160"/>
      <c r="CH64" s="160"/>
      <c r="CI64" s="160"/>
      <c r="CJ64" s="160"/>
      <c r="CK64" s="160"/>
      <c r="CL64" s="160"/>
      <c r="CM64" s="160"/>
      <c r="CN64" s="160"/>
      <c r="CO64" s="160"/>
      <c r="CP64" s="160"/>
      <c r="CQ64" s="160"/>
      <c r="CR64" s="160"/>
      <c r="CS64" s="160"/>
      <c r="CT64" s="160"/>
      <c r="CU64" s="160"/>
      <c r="CV64" s="160"/>
      <c r="CW64" s="160"/>
      <c r="CX64" s="160"/>
      <c r="CY64" s="160"/>
      <c r="CZ64" s="160"/>
      <c r="DA64" s="160"/>
      <c r="DB64" s="160"/>
      <c r="DC64" s="160"/>
      <c r="DD64" s="160"/>
      <c r="DE64" s="160"/>
      <c r="DF64" s="160"/>
      <c r="DG64" s="160"/>
      <c r="DH64" s="160"/>
      <c r="EC64" s="90">
        <f>(1082.3+52.5+52+83.6)/173.33</f>
        <v>7.3293717186868967</v>
      </c>
      <c r="ED64" s="90">
        <f>(20+1226.8+18+80-156.5)/173.33</f>
        <v>6.8557087636300693</v>
      </c>
      <c r="EE64" s="90">
        <f>(20+913.3+70+69.2)/173.3</f>
        <v>6.1886901327178299</v>
      </c>
      <c r="EF64" s="90">
        <f>(853.3+10+103+75)/173.33</f>
        <v>6.0076155310679047</v>
      </c>
      <c r="EG64" s="90">
        <f>(1014+77.3+94+247.2-44)/173.33</f>
        <v>8.0107309755956848</v>
      </c>
      <c r="EH64" s="90">
        <f>(1118+43.5+143+130.1)/173.33</f>
        <v>8.2766976288005534</v>
      </c>
      <c r="EI64" s="90">
        <f>(878.5+72+203.6+192)/173.33</f>
        <v>7.7661108867478212</v>
      </c>
      <c r="EJ64" s="90">
        <f>(695.5+127.5+127+18.1)/173.33</f>
        <v>5.5852997173022558</v>
      </c>
      <c r="EK64" s="90">
        <f>(780+132.5+133+22)/173.33</f>
        <v>6.158772284082386</v>
      </c>
      <c r="EL64" s="90">
        <f>(639+231+78+15)/173.33</f>
        <v>5.5558760745398947</v>
      </c>
      <c r="EM64" s="90">
        <f>(873.8+84+0+135)/173.33</f>
        <v>6.3047366295505674</v>
      </c>
      <c r="EN64" s="90">
        <f>(836+281.3+0)/173.33</f>
        <v>6.4460855016442613</v>
      </c>
      <c r="EO64" s="90">
        <f>(747+494.3+15)/173.33</f>
        <v>7.2480240004615464</v>
      </c>
      <c r="EP64" s="90">
        <f>(289.5+893.8+37.5)/173.33</f>
        <v>7.0432123694686428</v>
      </c>
      <c r="EQ64" s="90">
        <f>(134.5+1017+147)/173.33</f>
        <v>7.4914902209657876</v>
      </c>
      <c r="ER64" s="90">
        <f>(253.5+830+105)/173.33</f>
        <v>6.8568626319736916</v>
      </c>
    </row>
    <row r="65" spans="1:148" ht="15" x14ac:dyDescent="0.25">
      <c r="CD65" s="194"/>
      <c r="CE65" s="194"/>
      <c r="CF65" s="194"/>
      <c r="CG65" s="194"/>
      <c r="CH65" s="194"/>
      <c r="CI65" s="194"/>
      <c r="CJ65" s="194"/>
      <c r="CK65" s="194"/>
      <c r="CL65" s="194"/>
      <c r="CM65" s="194"/>
      <c r="CN65" s="194"/>
      <c r="CO65" s="194"/>
      <c r="CP65" s="194"/>
      <c r="CQ65" s="194"/>
      <c r="CR65" s="194"/>
      <c r="CS65" s="194"/>
      <c r="CT65" s="194"/>
      <c r="CU65" s="194"/>
      <c r="CV65" s="194"/>
      <c r="CW65" s="194"/>
      <c r="CX65" s="194"/>
      <c r="CY65" s="194"/>
      <c r="CZ65" s="194"/>
      <c r="DA65" s="194"/>
      <c r="DB65" s="194"/>
      <c r="DC65" s="194"/>
      <c r="DD65" s="194"/>
      <c r="DE65" s="194"/>
      <c r="DF65" s="194"/>
      <c r="DG65" s="194"/>
      <c r="DH65" s="194"/>
      <c r="DI65" s="194"/>
      <c r="DJ65" s="194"/>
      <c r="DK65" s="194"/>
      <c r="DL65" s="163"/>
      <c r="DM65" s="194"/>
      <c r="DN65" s="194"/>
      <c r="DO65" s="194"/>
      <c r="EA65" s="1"/>
      <c r="ED65" s="244"/>
    </row>
    <row r="66" spans="1:148" ht="15" x14ac:dyDescent="0.25">
      <c r="A66" s="245" t="s">
        <v>155</v>
      </c>
      <c r="BZ66" s="160"/>
      <c r="DB66" s="194"/>
      <c r="DF66" s="246">
        <v>87138.12</v>
      </c>
      <c r="DG66" s="246">
        <v>90569.89</v>
      </c>
      <c r="DH66" s="246">
        <v>74661.38</v>
      </c>
      <c r="DI66" s="246">
        <v>87988.79</v>
      </c>
      <c r="DJ66" s="246">
        <v>131055.22000000002</v>
      </c>
      <c r="DK66" s="246">
        <v>84704.3</v>
      </c>
      <c r="DL66" s="246">
        <v>92162.5</v>
      </c>
      <c r="DM66" s="246">
        <v>88236.5</v>
      </c>
      <c r="DN66" s="246">
        <v>87836.86</v>
      </c>
      <c r="DO66" s="246">
        <v>130362.39</v>
      </c>
      <c r="DP66" s="247">
        <v>87340.789999999979</v>
      </c>
      <c r="DQ66" s="247">
        <v>90279.08</v>
      </c>
      <c r="DR66" s="247">
        <v>91258.65</v>
      </c>
      <c r="DS66" s="247">
        <v>95536.709999999992</v>
      </c>
      <c r="DT66" s="247">
        <v>125995.29</v>
      </c>
      <c r="DU66" s="247">
        <v>91469.01999999999</v>
      </c>
      <c r="DV66" s="247">
        <v>94518.15</v>
      </c>
      <c r="DW66" s="247">
        <v>92018.83</v>
      </c>
      <c r="DX66" s="247">
        <v>93256.94</v>
      </c>
      <c r="DY66" s="247">
        <v>91908.54</v>
      </c>
      <c r="DZ66" s="247">
        <v>89787.260000000009</v>
      </c>
      <c r="EA66" s="241">
        <v>136762.82</v>
      </c>
      <c r="EB66" s="241">
        <v>92754.689999999988</v>
      </c>
      <c r="EC66" s="241">
        <v>94504.969999999987</v>
      </c>
      <c r="ED66" s="241">
        <v>95538.349999999991</v>
      </c>
      <c r="EE66" s="241">
        <v>99960.21</v>
      </c>
      <c r="EF66" s="241">
        <v>139071.39000000001</v>
      </c>
      <c r="EG66" s="241">
        <v>101035.99</v>
      </c>
      <c r="EH66" s="241">
        <v>103593.84</v>
      </c>
      <c r="EI66" s="241">
        <v>98233.039999999979</v>
      </c>
      <c r="EJ66" s="246">
        <v>106947.36</v>
      </c>
      <c r="EK66" s="241">
        <v>102634.6</v>
      </c>
      <c r="EL66" s="241">
        <v>194237.03</v>
      </c>
      <c r="EM66" s="241">
        <v>116900.5</v>
      </c>
      <c r="EN66" s="241">
        <v>160266.66</v>
      </c>
      <c r="EO66" s="241">
        <v>162272.4</v>
      </c>
      <c r="EP66" s="241">
        <v>200496.50649999999</v>
      </c>
      <c r="EQ66" s="241">
        <v>345072.05499999999</v>
      </c>
      <c r="ER66" s="250">
        <v>310996.94300000003</v>
      </c>
    </row>
    <row r="67" spans="1:148" ht="15" x14ac:dyDescent="0.25">
      <c r="A67" s="245" t="s">
        <v>158</v>
      </c>
      <c r="BZ67" s="160"/>
      <c r="CD67" s="194"/>
      <c r="DB67" s="194"/>
      <c r="DF67" s="241"/>
      <c r="DG67" s="241"/>
      <c r="DH67" s="241"/>
      <c r="DI67" s="241"/>
      <c r="DJ67" s="241"/>
      <c r="DK67" s="241">
        <v>82206.25</v>
      </c>
      <c r="DL67" s="241">
        <v>83995.31</v>
      </c>
      <c r="DM67" s="241">
        <v>78584.53</v>
      </c>
      <c r="DN67" s="241">
        <v>81534.16</v>
      </c>
      <c r="DO67" s="241">
        <v>75978.14</v>
      </c>
      <c r="DP67" s="242">
        <v>74479.63</v>
      </c>
      <c r="DQ67" s="241">
        <v>82129.960000000006</v>
      </c>
      <c r="DR67" s="241">
        <v>74571.540000000008</v>
      </c>
      <c r="DS67" s="241">
        <v>71271</v>
      </c>
      <c r="DT67" s="241">
        <v>90643.15</v>
      </c>
      <c r="DU67" s="241">
        <v>68001</v>
      </c>
      <c r="DV67" s="241">
        <v>76001</v>
      </c>
      <c r="DW67" s="241">
        <v>73195</v>
      </c>
      <c r="DX67" s="241">
        <v>74634</v>
      </c>
      <c r="DY67" s="241">
        <v>73312.869999999966</v>
      </c>
      <c r="DZ67" s="241">
        <v>75858</v>
      </c>
      <c r="EA67" s="248">
        <v>70215</v>
      </c>
      <c r="EB67" s="241">
        <v>70987</v>
      </c>
      <c r="EC67" s="241">
        <v>76488</v>
      </c>
      <c r="ED67" s="241">
        <v>66512</v>
      </c>
      <c r="EE67" s="241">
        <v>66108</v>
      </c>
      <c r="EF67" s="241">
        <v>65646</v>
      </c>
      <c r="EG67" s="241">
        <v>59754</v>
      </c>
      <c r="EH67" s="241">
        <v>68300</v>
      </c>
      <c r="EI67" s="241">
        <v>59483</v>
      </c>
      <c r="EJ67" s="241">
        <v>63411</v>
      </c>
      <c r="EK67" s="241">
        <v>64617</v>
      </c>
      <c r="EL67" s="241">
        <v>62504</v>
      </c>
      <c r="EM67" s="241">
        <v>59226</v>
      </c>
      <c r="EN67" s="241">
        <v>58846</v>
      </c>
      <c r="EO67" s="241">
        <v>59531</v>
      </c>
      <c r="EP67" s="241">
        <v>63817</v>
      </c>
      <c r="EQ67" s="241">
        <v>69265</v>
      </c>
      <c r="ER67" s="241">
        <v>69265</v>
      </c>
    </row>
    <row r="68" spans="1:148" x14ac:dyDescent="0.2">
      <c r="BZ68" s="160"/>
      <c r="CD68" s="194"/>
      <c r="DA68" s="160"/>
      <c r="DB68" s="194"/>
      <c r="EM68" s="130"/>
      <c r="EN68" s="130"/>
      <c r="EO68" s="130"/>
      <c r="EP68" s="130"/>
      <c r="EQ68" s="130"/>
      <c r="ER68" s="130"/>
    </row>
    <row r="69" spans="1:148" x14ac:dyDescent="0.2">
      <c r="A69" s="249" t="s">
        <v>164</v>
      </c>
      <c r="BZ69" s="160"/>
      <c r="CD69" s="194"/>
      <c r="DB69" s="194"/>
      <c r="DR69" s="129">
        <v>225996.03000000003</v>
      </c>
      <c r="DS69" s="129">
        <v>234277.37</v>
      </c>
      <c r="DT69" s="241">
        <v>311097.57</v>
      </c>
      <c r="DU69" s="241">
        <v>234523.87</v>
      </c>
      <c r="DV69" s="241">
        <v>227953.26</v>
      </c>
      <c r="DW69" s="241">
        <v>238015.49</v>
      </c>
      <c r="DX69" s="241">
        <v>230064.3</v>
      </c>
      <c r="DY69" s="241">
        <v>231116.6</v>
      </c>
      <c r="DZ69" s="241">
        <v>229248.77000000002</v>
      </c>
      <c r="EA69" s="241">
        <v>349522.02</v>
      </c>
      <c r="EB69" s="241">
        <v>234517.84999999995</v>
      </c>
      <c r="EC69" s="241">
        <v>250178.9</v>
      </c>
      <c r="ED69" s="241">
        <v>245225</v>
      </c>
      <c r="EE69" s="241">
        <v>252859.47</v>
      </c>
      <c r="EF69" s="241">
        <v>362995.89999999997</v>
      </c>
      <c r="EG69" s="241">
        <v>271021.71999999997</v>
      </c>
      <c r="EH69" s="241">
        <v>263043.00000000006</v>
      </c>
      <c r="EI69" s="241">
        <v>265216.99999999994</v>
      </c>
      <c r="EJ69" s="241">
        <v>280349.32</v>
      </c>
      <c r="EK69" s="241">
        <v>269135.90000000002</v>
      </c>
      <c r="EL69" s="241">
        <v>473254.53</v>
      </c>
      <c r="EM69" s="241">
        <v>269824.59999999998</v>
      </c>
      <c r="EN69" s="241">
        <v>272687.57</v>
      </c>
      <c r="EO69" s="241">
        <v>291500.21999999997</v>
      </c>
      <c r="EP69" s="241">
        <v>327986.31660000002</v>
      </c>
      <c r="EQ69" s="241">
        <v>572698.07499999995</v>
      </c>
      <c r="ER69" s="250">
        <v>522571.21399999998</v>
      </c>
    </row>
    <row r="70" spans="1:148" x14ac:dyDescent="0.2">
      <c r="A70" s="249" t="s">
        <v>168</v>
      </c>
      <c r="BZ70" s="160"/>
      <c r="CD70" s="194"/>
      <c r="DB70" s="194"/>
      <c r="DR70" s="129">
        <v>189442.43</v>
      </c>
      <c r="DS70" s="129">
        <v>189442.43</v>
      </c>
      <c r="DT70" s="241">
        <v>195885.26</v>
      </c>
      <c r="DU70" s="241">
        <v>171335.38999999996</v>
      </c>
      <c r="DV70" s="241">
        <v>183324.77999999997</v>
      </c>
      <c r="DW70" s="241">
        <v>195579.36999999988</v>
      </c>
      <c r="DX70" s="241">
        <v>217013.65</v>
      </c>
      <c r="DY70" s="241">
        <v>182841.25999999995</v>
      </c>
      <c r="DZ70" s="241">
        <v>213679.61000000002</v>
      </c>
      <c r="EA70" s="241">
        <v>181943.05</v>
      </c>
      <c r="EB70" s="241">
        <v>186687.56000000006</v>
      </c>
      <c r="EC70" s="241">
        <v>187337.45000000016</v>
      </c>
      <c r="ED70" s="241">
        <v>168239.35000000006</v>
      </c>
      <c r="EE70" s="241">
        <v>189581.2</v>
      </c>
      <c r="EF70" s="250">
        <v>169260.02009999994</v>
      </c>
      <c r="EG70" s="250">
        <v>147122.60000000006</v>
      </c>
      <c r="EH70" s="250">
        <v>162917.79999999984</v>
      </c>
      <c r="EI70" s="241">
        <v>156823.61999999994</v>
      </c>
      <c r="EJ70" s="241">
        <v>155033.65999999997</v>
      </c>
      <c r="EK70" s="250">
        <v>163258</v>
      </c>
      <c r="EL70" s="250">
        <v>167358.14000000001</v>
      </c>
      <c r="EM70" s="250">
        <v>154596.5</v>
      </c>
      <c r="EN70" s="250">
        <v>157517.14000000001</v>
      </c>
      <c r="EO70" s="250">
        <v>154022.76</v>
      </c>
      <c r="EP70" s="250">
        <v>154022.76</v>
      </c>
      <c r="EQ70" s="250">
        <v>154022.76</v>
      </c>
      <c r="ER70" s="250">
        <v>149142.48000000001</v>
      </c>
    </row>
    <row r="71" spans="1:148" x14ac:dyDescent="0.2">
      <c r="BZ71" s="160"/>
      <c r="CD71" s="194"/>
      <c r="DB71" s="194"/>
      <c r="EL71" s="182"/>
    </row>
    <row r="72" spans="1:148" x14ac:dyDescent="0.2">
      <c r="BZ72" s="160"/>
      <c r="CD72" s="194"/>
      <c r="DB72" s="194"/>
    </row>
    <row r="73" spans="1:148" x14ac:dyDescent="0.2">
      <c r="BZ73" s="160"/>
      <c r="CD73" s="194"/>
      <c r="DB73" s="194"/>
    </row>
    <row r="74" spans="1:148" x14ac:dyDescent="0.2">
      <c r="BZ74" s="160"/>
      <c r="CD74" s="194"/>
      <c r="DB74" s="194"/>
    </row>
    <row r="75" spans="1:148" x14ac:dyDescent="0.2">
      <c r="BZ75" s="160"/>
      <c r="CD75" s="194"/>
      <c r="DB75" s="194"/>
    </row>
    <row r="76" spans="1:148" x14ac:dyDescent="0.2">
      <c r="BZ76" s="160"/>
      <c r="CD76" s="194"/>
      <c r="DB76" s="194"/>
    </row>
    <row r="77" spans="1:148" ht="15" x14ac:dyDescent="0.25">
      <c r="BZ77" s="160"/>
      <c r="CD77" s="194"/>
      <c r="DB77" s="194"/>
      <c r="DT77" s="1"/>
      <c r="DU77" s="1"/>
      <c r="DV77" s="1"/>
      <c r="DW77" s="1"/>
      <c r="DX77" s="1"/>
      <c r="DY77" s="1"/>
    </row>
    <row r="78" spans="1:148" ht="15" x14ac:dyDescent="0.25">
      <c r="BZ78" s="160"/>
      <c r="CD78" s="194"/>
      <c r="DB78" s="194"/>
      <c r="DT78" s="1"/>
      <c r="DU78" s="1"/>
      <c r="DV78" s="1"/>
      <c r="DW78" s="1"/>
      <c r="DX78" s="1"/>
      <c r="DY78" s="1"/>
    </row>
    <row r="79" spans="1:148" ht="15" x14ac:dyDescent="0.25">
      <c r="BZ79" s="160"/>
      <c r="CD79" s="194"/>
      <c r="DB79" s="194"/>
      <c r="DT79" s="1"/>
      <c r="DU79" s="1"/>
      <c r="DV79" s="1"/>
      <c r="DW79" s="1"/>
      <c r="DX79" s="1"/>
      <c r="DY79" s="1"/>
    </row>
    <row r="80" spans="1:148" ht="15" x14ac:dyDescent="0.25">
      <c r="BZ80" s="160"/>
      <c r="CD80" s="194"/>
      <c r="DB80" s="194"/>
      <c r="DT80" s="1"/>
      <c r="DU80" s="1"/>
      <c r="DV80" s="1"/>
      <c r="DW80" s="1"/>
      <c r="DX80" s="1"/>
      <c r="DY80" s="1"/>
    </row>
    <row r="81" spans="78:129" ht="15" x14ac:dyDescent="0.25">
      <c r="BZ81" s="160"/>
      <c r="CD81" s="194"/>
      <c r="DB81" s="194"/>
      <c r="DT81" s="1"/>
      <c r="DU81" s="1"/>
      <c r="DV81" s="1"/>
      <c r="DW81" s="1"/>
      <c r="DX81" s="1"/>
      <c r="DY81" s="1"/>
    </row>
    <row r="82" spans="78:129" ht="15" x14ac:dyDescent="0.25">
      <c r="BZ82" s="160"/>
      <c r="CD82" s="194"/>
      <c r="DB82" s="194"/>
      <c r="DT82" s="1"/>
      <c r="DU82" s="1"/>
      <c r="DV82" s="1"/>
      <c r="DW82" s="1"/>
      <c r="DX82" s="1"/>
      <c r="DY82" s="1"/>
    </row>
    <row r="83" spans="78:129" ht="15" x14ac:dyDescent="0.25">
      <c r="BZ83" s="160"/>
      <c r="CD83" s="194"/>
      <c r="DB83" s="194"/>
      <c r="DT83" s="1"/>
      <c r="DU83" s="1"/>
      <c r="DV83" s="1"/>
      <c r="DW83" s="1"/>
      <c r="DX83" s="1"/>
      <c r="DY83" s="1"/>
    </row>
    <row r="84" spans="78:129" ht="15" x14ac:dyDescent="0.25">
      <c r="BZ84" s="160"/>
      <c r="CD84" s="194"/>
      <c r="DB84" s="194"/>
      <c r="DT84" s="1"/>
      <c r="DU84" s="1"/>
      <c r="DV84" s="1"/>
      <c r="DW84" s="1"/>
      <c r="DX84" s="1"/>
      <c r="DY84" s="1"/>
    </row>
    <row r="85" spans="78:129" ht="15" x14ac:dyDescent="0.25">
      <c r="BZ85" s="160"/>
      <c r="CD85" s="194"/>
      <c r="DB85" s="194"/>
      <c r="DT85" s="1"/>
      <c r="DU85" s="1"/>
      <c r="DV85" s="1"/>
      <c r="DW85" s="1"/>
      <c r="DX85" s="1"/>
      <c r="DY85" s="1"/>
    </row>
    <row r="86" spans="78:129" ht="15" x14ac:dyDescent="0.25">
      <c r="BZ86" s="160"/>
      <c r="CD86" s="194"/>
      <c r="DB86" s="194"/>
      <c r="DT86" s="1"/>
      <c r="DU86" s="1"/>
      <c r="DV86" s="1"/>
      <c r="DW86" s="1"/>
      <c r="DX86" s="1"/>
      <c r="DY86" s="1"/>
    </row>
    <row r="87" spans="78:129" ht="15" x14ac:dyDescent="0.25">
      <c r="BZ87" s="160"/>
      <c r="CD87" s="194"/>
      <c r="DB87" s="194"/>
      <c r="DT87" s="1"/>
      <c r="DU87" s="1"/>
      <c r="DV87" s="1"/>
      <c r="DW87" s="1"/>
      <c r="DX87" s="1"/>
      <c r="DY87" s="1"/>
    </row>
    <row r="88" spans="78:129" ht="15" x14ac:dyDescent="0.25">
      <c r="BZ88" s="160"/>
      <c r="CD88" s="194"/>
      <c r="DB88" s="194"/>
      <c r="DT88" s="1"/>
      <c r="DU88" s="1"/>
      <c r="DV88" s="1"/>
      <c r="DW88" s="1"/>
      <c r="DX88" s="1"/>
      <c r="DY88" s="1"/>
    </row>
    <row r="89" spans="78:129" ht="15" x14ac:dyDescent="0.25">
      <c r="BZ89" s="160"/>
      <c r="CD89" s="194"/>
      <c r="DB89" s="194"/>
      <c r="DT89" s="1"/>
      <c r="DU89" s="1"/>
      <c r="DV89" s="1"/>
      <c r="DW89" s="1"/>
      <c r="DX89" s="1"/>
      <c r="DY89" s="1"/>
    </row>
    <row r="90" spans="78:129" ht="15" x14ac:dyDescent="0.25">
      <c r="BZ90" s="160"/>
      <c r="CD90" s="194"/>
      <c r="DT90" s="1"/>
      <c r="DU90" s="1"/>
      <c r="DV90" s="1"/>
      <c r="DW90" s="1"/>
      <c r="DX90" s="1"/>
      <c r="DY90" s="1"/>
    </row>
    <row r="91" spans="78:129" ht="15" x14ac:dyDescent="0.25">
      <c r="BZ91" s="160"/>
      <c r="CD91" s="194"/>
      <c r="DT91" s="1"/>
      <c r="DU91" s="1"/>
      <c r="DV91" s="1"/>
      <c r="DW91" s="1"/>
      <c r="DX91" s="1"/>
      <c r="DY91" s="1"/>
    </row>
    <row r="92" spans="78:129" ht="15" x14ac:dyDescent="0.25">
      <c r="BZ92" s="160"/>
      <c r="CD92" s="194"/>
      <c r="DT92" s="1"/>
      <c r="DU92" s="1"/>
      <c r="DV92" s="1"/>
      <c r="DW92" s="1"/>
      <c r="DX92" s="1"/>
      <c r="DY92" s="1"/>
    </row>
    <row r="93" spans="78:129" ht="15" x14ac:dyDescent="0.25">
      <c r="BZ93" s="160"/>
      <c r="CD93" s="194"/>
      <c r="DT93" s="1"/>
      <c r="DU93" s="1"/>
      <c r="DV93" s="1"/>
      <c r="DW93" s="1"/>
      <c r="DX93" s="1"/>
      <c r="DY93" s="1"/>
    </row>
    <row r="94" spans="78:129" ht="15" x14ac:dyDescent="0.25">
      <c r="BZ94" s="160"/>
      <c r="CD94" s="194"/>
      <c r="DT94" s="1"/>
      <c r="DU94" s="1"/>
      <c r="DV94" s="1"/>
      <c r="DW94" s="1"/>
      <c r="DX94" s="1"/>
      <c r="DY94" s="1"/>
    </row>
    <row r="95" spans="78:129" x14ac:dyDescent="0.2">
      <c r="BZ95" s="160"/>
      <c r="CD95" s="194"/>
    </row>
    <row r="96" spans="78:129" x14ac:dyDescent="0.2">
      <c r="BZ96" s="160"/>
      <c r="CD96" s="194"/>
    </row>
    <row r="97" spans="78:82" x14ac:dyDescent="0.2">
      <c r="BZ97" s="160"/>
      <c r="CD97" s="194"/>
    </row>
    <row r="98" spans="78:82" x14ac:dyDescent="0.2">
      <c r="BZ98" s="160"/>
      <c r="CD98" s="194"/>
    </row>
    <row r="99" spans="78:82" x14ac:dyDescent="0.2">
      <c r="BZ99" s="160"/>
      <c r="CD99" s="194"/>
    </row>
    <row r="100" spans="78:82" x14ac:dyDescent="0.2">
      <c r="BZ100" s="160"/>
      <c r="CD100" s="194"/>
    </row>
    <row r="101" spans="78:82" x14ac:dyDescent="0.2">
      <c r="CD101" s="194"/>
    </row>
    <row r="102" spans="78:82" x14ac:dyDescent="0.2">
      <c r="CD102" s="194"/>
    </row>
    <row r="103" spans="78:82" x14ac:dyDescent="0.2">
      <c r="CD103" s="194"/>
    </row>
    <row r="104" spans="78:82" x14ac:dyDescent="0.2">
      <c r="CD104" s="194"/>
    </row>
  </sheetData>
  <pageMargins left="0.25" right="0.22" top="1" bottom="1" header="0.5" footer="0.5"/>
  <pageSetup paperSize="3" scale="22" orientation="landscape"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outlinePr summaryRight="0"/>
  </sheetPr>
  <dimension ref="A1:XFA115"/>
  <sheetViews>
    <sheetView zoomScale="90" zoomScaleNormal="90" workbookViewId="0">
      <pane xSplit="2" ySplit="2" topLeftCell="BA3" activePane="bottomRight" state="frozen"/>
      <selection activeCell="BT30" sqref="BT30"/>
      <selection pane="topRight" activeCell="BT30" sqref="BT30"/>
      <selection pane="bottomLeft" activeCell="BT30" sqref="BT30"/>
      <selection pane="bottomRight" activeCell="BU20" sqref="BU20"/>
    </sheetView>
  </sheetViews>
  <sheetFormatPr defaultRowHeight="15" outlineLevelRow="1" x14ac:dyDescent="0.25"/>
  <cols>
    <col min="1" max="1" width="12.7109375" style="1" bestFit="1" customWidth="1"/>
    <col min="2" max="2" width="34.85546875" style="1" bestFit="1" customWidth="1"/>
    <col min="3" max="4" width="12.5703125" style="1" customWidth="1"/>
    <col min="5" max="5" width="11.42578125" style="1" customWidth="1"/>
    <col min="6" max="6" width="10.85546875" style="1" customWidth="1"/>
    <col min="7" max="7" width="10" style="1" customWidth="1"/>
    <col min="8" max="8" width="9.7109375" style="1" bestFit="1" customWidth="1"/>
    <col min="9" max="39" width="12" style="1" bestFit="1" customWidth="1"/>
    <col min="40" max="40" width="13" style="1" customWidth="1"/>
    <col min="41" max="45" width="12" style="1" bestFit="1" customWidth="1"/>
    <col min="46" max="46" width="10.7109375" style="1" customWidth="1"/>
    <col min="47" max="47" width="11.140625" style="1" customWidth="1"/>
    <col min="48" max="48" width="12" style="1" customWidth="1"/>
    <col min="49" max="49" width="16.140625" style="1" customWidth="1"/>
    <col min="50" max="50" width="15.5703125" style="1" customWidth="1"/>
    <col min="51" max="51" width="16.42578125" style="1" customWidth="1"/>
    <col min="52" max="52" width="16.28515625" style="1" customWidth="1"/>
    <col min="53" max="53" width="19.140625" style="1" customWidth="1"/>
    <col min="54" max="54" width="14.7109375" style="1" customWidth="1"/>
    <col min="55" max="55" width="17" style="1" customWidth="1"/>
    <col min="56" max="56" width="16.140625" style="1" customWidth="1"/>
    <col min="57" max="57" width="15" style="1" customWidth="1"/>
    <col min="58" max="60" width="15.85546875" style="1" customWidth="1"/>
    <col min="61" max="61" width="12" style="1" bestFit="1" customWidth="1"/>
    <col min="62" max="62" width="10.42578125" style="1" bestFit="1" customWidth="1"/>
    <col min="63" max="68" width="12.7109375" style="1" customWidth="1"/>
    <col min="69" max="16384" width="9.140625" style="1"/>
  </cols>
  <sheetData>
    <row r="1" spans="1:68 16322:16381" x14ac:dyDescent="0.25">
      <c r="C1" s="119">
        <v>2010</v>
      </c>
      <c r="D1" s="119">
        <v>2010</v>
      </c>
      <c r="E1" s="119">
        <v>2010</v>
      </c>
      <c r="F1" s="119">
        <v>2010</v>
      </c>
      <c r="G1" s="119">
        <v>2010</v>
      </c>
      <c r="H1" s="119">
        <v>2011</v>
      </c>
      <c r="I1" s="120">
        <v>2011</v>
      </c>
      <c r="J1" s="120">
        <v>2011</v>
      </c>
      <c r="K1" s="120">
        <v>2011</v>
      </c>
      <c r="L1" s="120">
        <v>2011</v>
      </c>
      <c r="M1" s="120">
        <v>2011</v>
      </c>
      <c r="N1" s="120">
        <v>2011</v>
      </c>
      <c r="O1" s="120">
        <v>2011</v>
      </c>
      <c r="P1" s="120">
        <v>2011</v>
      </c>
      <c r="Q1" s="120">
        <v>2011</v>
      </c>
      <c r="R1" s="120">
        <v>2011</v>
      </c>
      <c r="S1" s="120">
        <v>2011</v>
      </c>
      <c r="T1" s="120">
        <v>2012</v>
      </c>
      <c r="U1" s="120">
        <v>2012</v>
      </c>
      <c r="V1" s="120">
        <v>2012</v>
      </c>
      <c r="W1" s="120">
        <v>2012</v>
      </c>
      <c r="X1" s="120">
        <v>2012</v>
      </c>
      <c r="Y1" s="120">
        <v>2012</v>
      </c>
      <c r="Z1" s="120">
        <v>2012</v>
      </c>
      <c r="AA1" s="120">
        <v>2012</v>
      </c>
      <c r="AB1" s="120">
        <v>2012</v>
      </c>
      <c r="AC1" s="120">
        <v>2012</v>
      </c>
      <c r="AD1" s="120">
        <v>2012</v>
      </c>
      <c r="AE1" s="120">
        <v>2012</v>
      </c>
      <c r="AF1" s="120">
        <v>2013</v>
      </c>
      <c r="AG1" s="120">
        <v>2013</v>
      </c>
      <c r="AH1" s="120">
        <v>2013</v>
      </c>
      <c r="AI1" s="120">
        <v>2013</v>
      </c>
      <c r="AJ1" s="120">
        <v>2013</v>
      </c>
      <c r="AK1" s="120">
        <v>2013</v>
      </c>
      <c r="AL1" s="120">
        <v>2013</v>
      </c>
      <c r="AM1" s="120">
        <v>2013</v>
      </c>
      <c r="AN1" s="120">
        <v>2013</v>
      </c>
      <c r="AO1" s="120">
        <v>2013</v>
      </c>
      <c r="AP1" s="120">
        <v>2013</v>
      </c>
      <c r="AQ1" s="120">
        <v>2013</v>
      </c>
      <c r="AR1" s="121">
        <v>2014</v>
      </c>
      <c r="AS1" s="121">
        <v>2014</v>
      </c>
      <c r="AT1" s="121">
        <v>2014</v>
      </c>
      <c r="AU1" s="121">
        <v>2014</v>
      </c>
      <c r="AV1" s="121">
        <v>2014</v>
      </c>
      <c r="AW1" s="121">
        <v>2014</v>
      </c>
      <c r="AX1" s="121">
        <v>2014</v>
      </c>
      <c r="AY1" s="121">
        <v>2014</v>
      </c>
      <c r="AZ1" s="121">
        <v>2014</v>
      </c>
      <c r="BA1" s="121">
        <v>2014</v>
      </c>
      <c r="BB1" s="121">
        <v>2014</v>
      </c>
      <c r="BC1" s="121">
        <v>2014</v>
      </c>
      <c r="BD1" s="121">
        <v>2015</v>
      </c>
      <c r="BE1" s="121">
        <v>2015</v>
      </c>
      <c r="BF1" s="121">
        <v>2015</v>
      </c>
      <c r="BG1" s="121">
        <v>2015</v>
      </c>
      <c r="BH1" s="109">
        <v>2015</v>
      </c>
      <c r="BI1" s="109">
        <v>2015</v>
      </c>
      <c r="BJ1" s="109">
        <v>2015</v>
      </c>
      <c r="BK1" s="109">
        <v>2015</v>
      </c>
      <c r="BL1" s="109">
        <v>2015</v>
      </c>
      <c r="BM1" s="109">
        <v>2015</v>
      </c>
      <c r="BN1" s="109">
        <v>2015</v>
      </c>
      <c r="BO1" s="109">
        <v>2015</v>
      </c>
      <c r="BP1" s="109">
        <v>2016</v>
      </c>
    </row>
    <row r="2" spans="1:68 16322:16381" x14ac:dyDescent="0.25">
      <c r="A2" s="118" t="s">
        <v>244</v>
      </c>
      <c r="C2" s="119" t="s">
        <v>180</v>
      </c>
      <c r="D2" s="119" t="s">
        <v>181</v>
      </c>
      <c r="E2" s="119" t="s">
        <v>182</v>
      </c>
      <c r="F2" s="119" t="s">
        <v>171</v>
      </c>
      <c r="G2" s="119" t="s">
        <v>172</v>
      </c>
      <c r="H2" s="119" t="s">
        <v>173</v>
      </c>
      <c r="I2" s="120" t="s">
        <v>174</v>
      </c>
      <c r="J2" s="120" t="s">
        <v>175</v>
      </c>
      <c r="K2" s="120" t="s">
        <v>176</v>
      </c>
      <c r="L2" s="120" t="s">
        <v>177</v>
      </c>
      <c r="M2" s="120" t="s">
        <v>183</v>
      </c>
      <c r="N2" s="120" t="s">
        <v>184</v>
      </c>
      <c r="O2" s="120" t="s">
        <v>180</v>
      </c>
      <c r="P2" s="120" t="s">
        <v>185</v>
      </c>
      <c r="Q2" s="120" t="s">
        <v>182</v>
      </c>
      <c r="R2" s="120" t="s">
        <v>171</v>
      </c>
      <c r="S2" s="120" t="s">
        <v>172</v>
      </c>
      <c r="T2" s="120" t="s">
        <v>245</v>
      </c>
      <c r="U2" s="120" t="s">
        <v>246</v>
      </c>
      <c r="V2" s="120" t="s">
        <v>247</v>
      </c>
      <c r="W2" s="120" t="s">
        <v>248</v>
      </c>
      <c r="X2" s="120" t="s">
        <v>249</v>
      </c>
      <c r="Y2" s="120" t="s">
        <v>250</v>
      </c>
      <c r="Z2" s="120" t="s">
        <v>251</v>
      </c>
      <c r="AA2" s="120" t="s">
        <v>252</v>
      </c>
      <c r="AB2" s="120" t="s">
        <v>253</v>
      </c>
      <c r="AC2" s="120" t="s">
        <v>254</v>
      </c>
      <c r="AD2" s="120" t="s">
        <v>255</v>
      </c>
      <c r="AE2" s="120" t="s">
        <v>256</v>
      </c>
      <c r="AF2" s="120" t="s">
        <v>245</v>
      </c>
      <c r="AG2" s="120" t="s">
        <v>246</v>
      </c>
      <c r="AH2" s="120" t="s">
        <v>247</v>
      </c>
      <c r="AI2" s="120" t="s">
        <v>248</v>
      </c>
      <c r="AJ2" s="120" t="s">
        <v>249</v>
      </c>
      <c r="AK2" s="120" t="s">
        <v>250</v>
      </c>
      <c r="AL2" s="120" t="s">
        <v>251</v>
      </c>
      <c r="AM2" s="120" t="s">
        <v>252</v>
      </c>
      <c r="AN2" s="120" t="s">
        <v>253</v>
      </c>
      <c r="AO2" s="120" t="s">
        <v>254</v>
      </c>
      <c r="AP2" s="120" t="s">
        <v>255</v>
      </c>
      <c r="AQ2" s="120" t="s">
        <v>256</v>
      </c>
      <c r="AR2" s="121" t="s">
        <v>245</v>
      </c>
      <c r="AS2" s="120" t="s">
        <v>246</v>
      </c>
      <c r="AT2" s="120" t="s">
        <v>247</v>
      </c>
      <c r="AU2" s="121" t="s">
        <v>248</v>
      </c>
      <c r="AV2" s="121" t="s">
        <v>249</v>
      </c>
      <c r="AW2" s="121" t="s">
        <v>257</v>
      </c>
      <c r="AX2" s="120" t="s">
        <v>251</v>
      </c>
      <c r="AY2" s="120" t="s">
        <v>252</v>
      </c>
      <c r="AZ2" s="120" t="s">
        <v>253</v>
      </c>
      <c r="BA2" s="120" t="s">
        <v>254</v>
      </c>
      <c r="BB2" s="120" t="s">
        <v>255</v>
      </c>
      <c r="BC2" s="120" t="s">
        <v>256</v>
      </c>
      <c r="BD2" s="120" t="s">
        <v>245</v>
      </c>
      <c r="BE2" s="120" t="s">
        <v>246</v>
      </c>
      <c r="BF2" s="120" t="s">
        <v>247</v>
      </c>
      <c r="BG2" s="120" t="s">
        <v>248</v>
      </c>
      <c r="BH2" s="109" t="s">
        <v>249</v>
      </c>
      <c r="BI2" s="109" t="s">
        <v>257</v>
      </c>
      <c r="BJ2" s="109" t="s">
        <v>258</v>
      </c>
      <c r="BK2" s="109" t="s">
        <v>259</v>
      </c>
      <c r="BL2" s="109" t="s">
        <v>260</v>
      </c>
      <c r="BM2" s="109" t="s">
        <v>261</v>
      </c>
      <c r="BN2" s="109" t="s">
        <v>336</v>
      </c>
      <c r="BO2" s="109" t="s">
        <v>337</v>
      </c>
      <c r="BP2" s="109" t="s">
        <v>334</v>
      </c>
    </row>
    <row r="3" spans="1:68 16322:16381" ht="12.75" customHeight="1" x14ac:dyDescent="0.25">
      <c r="A3" s="352" t="s">
        <v>262</v>
      </c>
      <c r="B3" s="118" t="s">
        <v>263</v>
      </c>
      <c r="C3" s="118"/>
      <c r="D3" s="118"/>
      <c r="E3" s="118"/>
      <c r="F3" s="118"/>
      <c r="G3" s="110"/>
      <c r="H3" s="110"/>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row>
    <row r="4" spans="1:68 16322:16381" x14ac:dyDescent="0.25">
      <c r="A4" s="353"/>
      <c r="B4" s="1" t="s">
        <v>264</v>
      </c>
      <c r="C4" s="1">
        <v>113972.76000000001</v>
      </c>
      <c r="D4" s="1">
        <v>119679.98999999999</v>
      </c>
      <c r="E4" s="1">
        <v>165908.22999999995</v>
      </c>
      <c r="F4" s="1">
        <v>112209.01999999999</v>
      </c>
      <c r="G4" s="1">
        <v>112321.4</v>
      </c>
      <c r="H4" s="1">
        <v>92380.569999999992</v>
      </c>
      <c r="I4" s="1">
        <v>111113.69</v>
      </c>
      <c r="J4" s="1">
        <v>106406.36999999998</v>
      </c>
      <c r="K4" s="1">
        <v>165028.26999999996</v>
      </c>
      <c r="L4" s="1">
        <v>106616.66000000002</v>
      </c>
      <c r="M4" s="1">
        <v>111057.69000000002</v>
      </c>
      <c r="N4" s="1">
        <v>111283.56999999998</v>
      </c>
      <c r="O4" s="1">
        <v>109820.52000000002</v>
      </c>
      <c r="P4" s="1">
        <v>168619.5</v>
      </c>
      <c r="Q4" s="1">
        <v>114157.38</v>
      </c>
      <c r="R4" s="1">
        <v>120337</v>
      </c>
      <c r="S4" s="1">
        <v>120721.91999999998</v>
      </c>
      <c r="T4" s="1">
        <v>99998.720000000016</v>
      </c>
      <c r="U4" s="1">
        <v>120305.8</v>
      </c>
      <c r="V4" s="1">
        <v>173930.55</v>
      </c>
      <c r="W4" s="1">
        <v>115696.37000000001</v>
      </c>
      <c r="X4" s="1">
        <v>122090.29999999999</v>
      </c>
      <c r="Y4" s="1">
        <v>116836.32</v>
      </c>
      <c r="Z4" s="1">
        <v>113936.65</v>
      </c>
      <c r="AA4" s="1">
        <v>171446.16999999998</v>
      </c>
      <c r="AB4" s="1">
        <v>113128.26999999999</v>
      </c>
      <c r="AC4" s="1">
        <v>115861.69</v>
      </c>
      <c r="AD4" s="1">
        <v>121009.64999999998</v>
      </c>
      <c r="AE4" s="1">
        <v>120788.09</v>
      </c>
      <c r="AF4" s="1">
        <v>96410.35000000002</v>
      </c>
      <c r="AG4" s="1">
        <v>119867.66999999998</v>
      </c>
      <c r="AH4" s="1">
        <v>171849.74</v>
      </c>
      <c r="AI4" s="1">
        <v>114151.24999999999</v>
      </c>
      <c r="AJ4" s="1">
        <v>120213.51000000001</v>
      </c>
      <c r="AK4" s="1">
        <v>113589.04999999999</v>
      </c>
      <c r="AL4" s="1">
        <v>112714.04999999999</v>
      </c>
      <c r="AM4" s="1">
        <v>168016.19999999995</v>
      </c>
      <c r="AN4" s="1">
        <v>110871.93</v>
      </c>
      <c r="AO4" s="1">
        <v>120453.28000000001</v>
      </c>
      <c r="AP4" s="1">
        <v>115183.18</v>
      </c>
      <c r="AQ4" s="1">
        <v>119222.62</v>
      </c>
      <c r="AR4" s="1">
        <f>IF(AR89=0,AR94,SUM(AR89,AR94))</f>
        <v>250740.45000000004</v>
      </c>
      <c r="AS4" s="1">
        <f>IF(AS89=0,AS94,SUM(AS89,AS94))</f>
        <v>201278.63999999996</v>
      </c>
      <c r="AT4" s="1">
        <f>IF(AT89=0,AT94,SUM(AT89,AT94))</f>
        <v>204974.14999999997</v>
      </c>
      <c r="AU4" s="1">
        <f>IF(AU89=0,AU94,SUM(AU89,AU94))</f>
        <v>214331.11</v>
      </c>
      <c r="AV4" s="1">
        <f>IF(AV89=0,AV94,SUM(AV89,AV94))</f>
        <v>217365.7</v>
      </c>
      <c r="AW4" s="1">
        <f>IF(AW89=0,AW94,SUM(AW89,AW94))</f>
        <v>212916.41999999998</v>
      </c>
      <c r="AX4" s="1">
        <f>IF(AX89=0,AX94,SUM(AX89,AX94))</f>
        <v>218054.59</v>
      </c>
      <c r="AY4" s="1">
        <f>IF(AY89=0,AY94,SUM(AY89,AY94))</f>
        <v>267031.54000000004</v>
      </c>
      <c r="AZ4" s="1">
        <f>IF(AZ89=0,AZ94,SUM(AZ89,AZ94))</f>
        <v>214656.92000000004</v>
      </c>
      <c r="BA4" s="1">
        <f>IF(BA89=0,BA94,SUM(BA89,BA94))</f>
        <v>223502.38000000012</v>
      </c>
      <c r="BB4" s="1">
        <f>IF(BB89=0,BB94,SUM(BB89,BB94))</f>
        <v>210757.02000000002</v>
      </c>
      <c r="BC4" s="1">
        <f>IF(BC89=0,BC94,SUM(BC89,BC94))</f>
        <v>226269.83000000002</v>
      </c>
      <c r="BD4" s="1">
        <f>IF(BD89=0,BD94,SUM(BD89,BD94))</f>
        <v>265206.40009999991</v>
      </c>
      <c r="BE4" s="1">
        <f>IF(BE89=0,BE94,SUM(BE89,BE94))</f>
        <v>211391.32</v>
      </c>
      <c r="BF4" s="1">
        <f>IF(BF89=0,BF94,SUM(BF89,BF94))</f>
        <v>219883.96999999986</v>
      </c>
      <c r="BG4" s="1">
        <f>IF(BG89=0,BG94,SUM(BG89,BG94))</f>
        <v>217317.32</v>
      </c>
      <c r="BH4" s="1">
        <f>IF(BH89=0,BH94,SUM(BH89,BH94))</f>
        <v>225540.63</v>
      </c>
      <c r="BI4" s="1">
        <f>IF(BI89=0,BI94,SUM(BI89,BI94))</f>
        <v>227272.87</v>
      </c>
      <c r="BJ4" s="1">
        <f>IF(BJ89=0,BJ94,SUM(BJ89,BJ94))</f>
        <v>327116.56</v>
      </c>
      <c r="BK4" s="1">
        <f>IF(BK89=0,BK94,SUM(BK89,BK94))</f>
        <v>219302.13</v>
      </c>
      <c r="BL4" s="1">
        <f>IF(BL89=0,BL94,SUM(BL89,BL94))</f>
        <v>221983.99999999991</v>
      </c>
      <c r="BM4" s="1">
        <f>IF(BM89=0,BM94,SUM(BM89,BM94))</f>
        <v>227399.75</v>
      </c>
      <c r="BN4" s="1">
        <f>IF(BN89=0,BN94,SUM(BN89,BN94))</f>
        <v>239139.86979999999</v>
      </c>
      <c r="BO4" s="1">
        <f>IF(BO89=0,BO94,SUM(BO89,BO94))</f>
        <v>338660.266</v>
      </c>
      <c r="BP4" s="1">
        <f>IF(BP89=0,BP94,SUM(BP89,BP94))</f>
        <v>334393.717</v>
      </c>
    </row>
    <row r="5" spans="1:68 16322:16381" x14ac:dyDescent="0.25">
      <c r="A5" s="353"/>
      <c r="B5" s="1" t="s">
        <v>265</v>
      </c>
      <c r="C5" s="1">
        <v>4</v>
      </c>
      <c r="D5" s="1">
        <v>2</v>
      </c>
      <c r="E5" s="1">
        <v>3</v>
      </c>
      <c r="F5" s="1">
        <v>5</v>
      </c>
      <c r="G5" s="1">
        <v>4</v>
      </c>
      <c r="H5" s="1">
        <v>2</v>
      </c>
      <c r="I5" s="1">
        <v>5</v>
      </c>
      <c r="J5" s="1">
        <v>1</v>
      </c>
      <c r="K5" s="1">
        <v>2</v>
      </c>
      <c r="L5" s="1">
        <v>6</v>
      </c>
      <c r="M5" s="1">
        <v>5</v>
      </c>
      <c r="N5" s="1">
        <v>5</v>
      </c>
      <c r="O5" s="1">
        <v>4</v>
      </c>
      <c r="P5" s="1">
        <v>2</v>
      </c>
      <c r="Q5" s="1">
        <v>3</v>
      </c>
      <c r="R5" s="1">
        <v>1</v>
      </c>
      <c r="S5" s="1">
        <v>4</v>
      </c>
      <c r="T5" s="1">
        <v>2</v>
      </c>
      <c r="U5" s="1">
        <v>5</v>
      </c>
      <c r="V5" s="1">
        <v>3</v>
      </c>
      <c r="W5" s="1">
        <v>3</v>
      </c>
      <c r="X5" s="1">
        <v>3</v>
      </c>
      <c r="Y5" s="1">
        <v>3</v>
      </c>
      <c r="Z5" s="1">
        <v>4</v>
      </c>
      <c r="AA5" s="1">
        <v>6</v>
      </c>
      <c r="AB5" s="1">
        <v>1</v>
      </c>
      <c r="AC5" s="1">
        <v>5</v>
      </c>
      <c r="AD5" s="1">
        <v>4</v>
      </c>
      <c r="AE5" s="1">
        <v>2</v>
      </c>
      <c r="AF5" s="1">
        <v>8</v>
      </c>
      <c r="AG5" s="1">
        <v>2</v>
      </c>
      <c r="AH5" s="1">
        <v>2</v>
      </c>
      <c r="AI5" s="1">
        <v>7</v>
      </c>
      <c r="AJ5" s="1">
        <v>3</v>
      </c>
      <c r="AK5" s="1">
        <v>2</v>
      </c>
      <c r="AL5" s="1">
        <v>2</v>
      </c>
      <c r="AM5" s="1">
        <v>0</v>
      </c>
      <c r="AN5" s="1">
        <v>7</v>
      </c>
      <c r="AO5" s="1">
        <v>4</v>
      </c>
      <c r="AP5" s="1">
        <v>2</v>
      </c>
      <c r="AQ5" s="1">
        <v>9</v>
      </c>
      <c r="AR5" s="1">
        <v>5</v>
      </c>
      <c r="AS5" s="1">
        <v>8</v>
      </c>
      <c r="AT5" s="1">
        <v>3</v>
      </c>
      <c r="AU5" s="1">
        <v>5</v>
      </c>
      <c r="AV5" s="1">
        <v>3</v>
      </c>
      <c r="AW5" s="1">
        <v>5</v>
      </c>
      <c r="AX5" s="1">
        <v>2</v>
      </c>
      <c r="AY5" s="1">
        <v>4</v>
      </c>
      <c r="AZ5" s="111">
        <v>5</v>
      </c>
      <c r="BA5" s="111">
        <v>4</v>
      </c>
      <c r="BB5" s="111">
        <v>3</v>
      </c>
      <c r="BC5" s="111">
        <v>2</v>
      </c>
      <c r="BD5" s="111">
        <v>5</v>
      </c>
      <c r="BE5" s="111">
        <v>5</v>
      </c>
      <c r="BF5" s="111">
        <v>4</v>
      </c>
      <c r="BG5" s="111">
        <v>6</v>
      </c>
      <c r="BH5" s="111">
        <v>5</v>
      </c>
      <c r="BI5" s="111">
        <v>4</v>
      </c>
      <c r="BJ5" s="111">
        <v>6</v>
      </c>
      <c r="BK5" s="111">
        <v>3</v>
      </c>
      <c r="BL5" s="111">
        <v>4</v>
      </c>
      <c r="BM5" s="111">
        <v>5</v>
      </c>
      <c r="BN5" s="111">
        <v>1</v>
      </c>
      <c r="BO5" s="111">
        <v>3</v>
      </c>
      <c r="BP5" s="111">
        <v>3</v>
      </c>
    </row>
    <row r="6" spans="1:68 16322:16381" x14ac:dyDescent="0.25">
      <c r="A6" s="353"/>
      <c r="B6" s="1" t="s">
        <v>266</v>
      </c>
      <c r="C6" s="8">
        <f>C5/C4*200000</f>
        <v>7.0192210840555225</v>
      </c>
      <c r="D6" s="8">
        <f>D5/D4*200000</f>
        <v>3.3422462685700429</v>
      </c>
      <c r="E6" s="8">
        <f>E5/E4*200000</f>
        <v>3.6164571221090123</v>
      </c>
      <c r="F6" s="8">
        <f>F5/F4*200000</f>
        <v>8.9119395214395425</v>
      </c>
      <c r="G6" s="8">
        <f>G5/G4*200000</f>
        <v>7.1224183459251762</v>
      </c>
      <c r="H6" s="8">
        <f>H5/H4*200000</f>
        <v>4.329914829492826</v>
      </c>
      <c r="I6" s="8">
        <f>I5/I4*200000</f>
        <v>8.9997911148482235</v>
      </c>
      <c r="J6" s="8">
        <f>J5/J4*200000</f>
        <v>1.8795867202311292</v>
      </c>
      <c r="K6" s="8">
        <f>K5/K4*200000</f>
        <v>2.4238271418587862</v>
      </c>
      <c r="L6" s="8">
        <f>L5/L4*200000</f>
        <v>11.255276614367771</v>
      </c>
      <c r="M6" s="8">
        <f>M5/M4*200000</f>
        <v>9.0043291914319479</v>
      </c>
      <c r="N6" s="8">
        <f>N5/N4*200000</f>
        <v>8.9860524783667532</v>
      </c>
      <c r="O6" s="8">
        <f>O5/O4*200000</f>
        <v>7.2846131123764479</v>
      </c>
      <c r="P6" s="8">
        <f>P5/P4*200000</f>
        <v>2.3722048754740706</v>
      </c>
      <c r="Q6" s="8">
        <f>Q5/Q4*200000</f>
        <v>5.2559019837350851</v>
      </c>
      <c r="R6" s="8">
        <f>R5/R4*200000</f>
        <v>1.6619992188603672</v>
      </c>
      <c r="S6" s="8">
        <f>S5/S4*200000</f>
        <v>6.626799838836229</v>
      </c>
      <c r="T6" s="8">
        <f>T5/T4*200000</f>
        <v>4.0000512006553679</v>
      </c>
      <c r="U6" s="8">
        <f>U5/U4*200000</f>
        <v>8.3121512013552135</v>
      </c>
      <c r="V6" s="8">
        <f>V5/V4*200000</f>
        <v>3.4496527493301206</v>
      </c>
      <c r="W6" s="8">
        <f>W5/W4*200000</f>
        <v>5.1859881169996944</v>
      </c>
      <c r="X6" s="8">
        <f>X5/X4*200000</f>
        <v>4.914395328703427</v>
      </c>
      <c r="Y6" s="8">
        <f>Y5/Y4*200000</f>
        <v>5.1353894063079011</v>
      </c>
      <c r="Z6" s="8">
        <f>Z5/Z4*200000</f>
        <v>7.0214456893370132</v>
      </c>
      <c r="AA6" s="8">
        <f>AA5/AA4*200000</f>
        <v>6.9992814654302284</v>
      </c>
      <c r="AB6" s="8">
        <f>AB5/AB4*200000</f>
        <v>1.7679046979150308</v>
      </c>
      <c r="AC6" s="8">
        <f>AC5/AC4*200000</f>
        <v>8.6309806114514629</v>
      </c>
      <c r="AD6" s="8">
        <f>AD5/AD4*200000</f>
        <v>6.6110430035951691</v>
      </c>
      <c r="AE6" s="8">
        <f>AE5/AE4*200000</f>
        <v>3.3115847762805091</v>
      </c>
      <c r="AF6" s="8">
        <f>AF5/AF4*200000</f>
        <v>16.595728570635824</v>
      </c>
      <c r="AG6" s="8">
        <f>AG5/AG4*200000</f>
        <v>3.3370132246668347</v>
      </c>
      <c r="AH6" s="8">
        <f>AH5/AH4*200000</f>
        <v>2.3276148104733823</v>
      </c>
      <c r="AI6" s="8">
        <f>AI5/AI4*200000</f>
        <v>12.264429868266884</v>
      </c>
      <c r="AJ6" s="8">
        <f>AJ5/AJ4*200000</f>
        <v>4.9911195505397021</v>
      </c>
      <c r="AK6" s="8">
        <f>AK5/AK4*200000</f>
        <v>3.5214661976660606</v>
      </c>
      <c r="AL6" s="8">
        <f>AL5/AL4*200000</f>
        <v>3.5488033656851128</v>
      </c>
      <c r="AM6" s="8">
        <f>AM5/AM4*200000</f>
        <v>0</v>
      </c>
      <c r="AN6" s="8">
        <f>AN5/AN4*200000</f>
        <v>12.627181650035315</v>
      </c>
      <c r="AO6" s="8">
        <f>AO5/AO4*200000</f>
        <v>6.6415792081377942</v>
      </c>
      <c r="AP6" s="8">
        <f>AP5/AP4*200000</f>
        <v>3.4727292648110599</v>
      </c>
      <c r="AQ6" s="8">
        <f>AQ5/AQ4*200000</f>
        <v>15.097806104244311</v>
      </c>
      <c r="AR6" s="8">
        <f>AR5/AR4*200000</f>
        <v>3.9881877854171508</v>
      </c>
      <c r="AS6" s="8">
        <f>AS5/AS4*200000</f>
        <v>7.9491793068554131</v>
      </c>
      <c r="AT6" s="8">
        <f>AT5/AT4*200000</f>
        <v>2.9271983808690027</v>
      </c>
      <c r="AU6" s="8">
        <f>AU5/AU4*200000</f>
        <v>4.665678258279911</v>
      </c>
      <c r="AV6" s="8">
        <f>AV5/AV4*200000</f>
        <v>2.7603251110915843</v>
      </c>
      <c r="AW6" s="8">
        <f>AW5/AW4*200000</f>
        <v>4.6966786309858115</v>
      </c>
      <c r="AX6" s="8">
        <f>AX5/AX4*200000</f>
        <v>1.8344030272419396</v>
      </c>
      <c r="AY6" s="8">
        <f>AY5/AY4*200000</f>
        <v>2.9959007838549705</v>
      </c>
      <c r="AZ6" s="8">
        <f>AZ5/AZ4*200000</f>
        <v>4.6585966108150618</v>
      </c>
      <c r="BA6" s="8">
        <f>BA5/BA4*200000</f>
        <v>3.579380228523739</v>
      </c>
      <c r="BB6" s="8">
        <f>BB5/BB4*200000</f>
        <v>2.8468802605009311</v>
      </c>
      <c r="BC6" s="8">
        <f>BC5/BC4*200000</f>
        <v>1.767800859708075</v>
      </c>
      <c r="BD6" s="8">
        <f>BD5/BD4*200000</f>
        <v>3.7706480674031075</v>
      </c>
      <c r="BE6" s="8">
        <f>BE5/BE4*200000</f>
        <v>4.7305632038250192</v>
      </c>
      <c r="BF6" s="8">
        <f>BF5/BF4*200000</f>
        <v>3.6382824996292391</v>
      </c>
      <c r="BG6" s="8">
        <f>BG5/BG4*200000</f>
        <v>5.5218792501214349</v>
      </c>
      <c r="BH6" s="1">
        <f>BH5/BH4*200000</f>
        <v>4.4337909315940101</v>
      </c>
      <c r="BI6" s="1">
        <f>BI5/BI4*200000</f>
        <v>3.5199977894413883</v>
      </c>
      <c r="BJ6" s="1">
        <f>BJ5/BJ4*200000</f>
        <v>3.6684171538120847</v>
      </c>
      <c r="BK6" s="1">
        <f>BK5/BK4*200000</f>
        <v>2.7359515386375861</v>
      </c>
      <c r="BL6" s="1">
        <f>BL5/BL4*200000</f>
        <v>3.6038633415020915</v>
      </c>
      <c r="BM6" s="1">
        <f>BM5/BM4*200000</f>
        <v>4.397542213656787</v>
      </c>
      <c r="BN6" s="1">
        <f>BN5/BN4*200000</f>
        <v>0.83633063849732014</v>
      </c>
      <c r="BO6" s="1">
        <f>BO5/BO4*200000</f>
        <v>1.7716870274943917</v>
      </c>
      <c r="BP6" s="1">
        <f>BP5/BP4*200000</f>
        <v>1.7942920859365308</v>
      </c>
    </row>
    <row r="7" spans="1:68 16322:16381" s="112" customFormat="1" x14ac:dyDescent="0.25">
      <c r="A7" s="353"/>
      <c r="B7" s="112" t="s">
        <v>267</v>
      </c>
      <c r="F7" s="122"/>
      <c r="G7" s="122"/>
      <c r="H7" s="122"/>
      <c r="I7" s="122"/>
      <c r="J7" s="122"/>
      <c r="K7" s="122"/>
      <c r="L7" s="122">
        <f>SUM(C5:L5)/SUM(C4:L4)*200000</f>
        <v>5.6401721460164937</v>
      </c>
      <c r="M7" s="122">
        <f>SUM(C5:M5)/SUM(C4:M4)*200000</f>
        <v>5.9239247307642682</v>
      </c>
      <c r="N7" s="122">
        <f>SUM(C5:N5)/SUM(C4:N4)*200000</f>
        <v>6.1625589779653653</v>
      </c>
      <c r="O7" s="122">
        <f>SUM(D5:O5)/SUM(D4:O4)*200000</f>
        <v>6.1805305729847699</v>
      </c>
      <c r="P7" s="122">
        <f>SUM(E5:P5)/SUM(E4:P4)*200000</f>
        <v>5.975153586739733</v>
      </c>
      <c r="Q7" s="122">
        <f>SUM(F5:Q5)/SUM(F4:Q4)*200000</f>
        <v>6.1927581548350563</v>
      </c>
      <c r="R7" s="122">
        <f>SUM(G5:R5)/SUM(G4:R4)*200000</f>
        <v>5.5977618244986624</v>
      </c>
      <c r="S7" s="122">
        <f>SUM(H5:S5)/SUM(H4:S4)*200000</f>
        <v>5.5650503817228065</v>
      </c>
      <c r="T7" s="122">
        <f>SUM(I5:T5)/SUM(I4:T4)*200000</f>
        <v>5.5357142869499372</v>
      </c>
      <c r="U7" s="122">
        <f>SUM(J5:U5)/SUM(J4:U4)*200000</f>
        <v>5.5007263021491202</v>
      </c>
      <c r="V7" s="122">
        <f>SUM(K5:V5)/SUM(K4:V4)*200000</f>
        <v>5.519497829779449</v>
      </c>
      <c r="W7" s="122">
        <f>SUM(L5:W5)/SUM(L4:W4)*200000</f>
        <v>5.8402262943720693</v>
      </c>
      <c r="X7" s="122">
        <f>SUM(M5:X5)/SUM(M4:X4)*200000</f>
        <v>5.37627428116995</v>
      </c>
      <c r="Y7" s="122">
        <f>SUM(N5:Y5)/SUM(N4:Y4)*200000</f>
        <v>5.08770279139826</v>
      </c>
      <c r="Z7" s="122">
        <f>SUM(O5:Z5)/SUM(O4:Z4)*200000</f>
        <v>4.9450331829435132</v>
      </c>
      <c r="AA7" s="122">
        <f>SUM(P5:AA5)/SUM(P4:AA4)*200000</f>
        <v>5.0061720967417349</v>
      </c>
      <c r="AB7" s="122">
        <f>SUM(Q5:AB5)/SUM(Q4:AB4)*200000</f>
        <v>5.0579486178306867</v>
      </c>
      <c r="AC7" s="122">
        <f>SUM(R5:AC5)/SUM(R4:AC4)*200000</f>
        <v>5.3181243485962453</v>
      </c>
      <c r="AD7" s="122">
        <f>SUM(S5:AD5)/SUM(S4:AD4)*200000</f>
        <v>5.714428442103082</v>
      </c>
      <c r="AE7" s="122">
        <f>SUM(T5:AE5)/SUM(T4:AE4)*200000</f>
        <v>5.448401518062866</v>
      </c>
      <c r="AF7" s="122">
        <f>SUM(U5:AF5)/SUM(U4:AF4)*200000</f>
        <v>6.2606555608364847</v>
      </c>
      <c r="AG7" s="122">
        <f>SUM(V5:AG5)/SUM(V4:AG4)*200000</f>
        <v>5.8627500369619741</v>
      </c>
      <c r="AH7" s="122">
        <f>SUM(W5:AH5)/SUM(W4:AH4)*200000</f>
        <v>5.7374594464190904</v>
      </c>
      <c r="AI7" s="122">
        <f>SUM(X5:AI5)/SUM(X4:AI4)*200000</f>
        <v>6.2776477373437531</v>
      </c>
      <c r="AJ7" s="122">
        <f>SUM(Y5:AJ5)/SUM(Y4:AJ4)*200000</f>
        <v>6.2855259262698704</v>
      </c>
      <c r="AK7" s="122">
        <f>SUM(Z5:AK5)/SUM(Z4:AK4)*200000</f>
        <v>6.1651781636975302</v>
      </c>
      <c r="AL7" s="122">
        <f>SUM(AA5:AL5)/SUM(AA4:AL4)*200000</f>
        <v>5.9019624085369369</v>
      </c>
      <c r="AM7" s="122">
        <f>SUM(AB5:AM5)/SUM(AB4:AM4)*200000</f>
        <v>5.1089018904765444</v>
      </c>
      <c r="AN7" s="122">
        <f>SUM(AC5:AN5)/SUM(AC4:AN4)*200000</f>
        <v>5.9245567748188668</v>
      </c>
      <c r="AO7" s="122">
        <f>SUM(AD5:AO5)/SUM(AD4:AO4)*200000</f>
        <v>5.7720647730101637</v>
      </c>
      <c r="AP7" s="122">
        <f>SUM(AE5:AP5)/SUM(AE4:AP4)*200000</f>
        <v>5.5252032483074185</v>
      </c>
      <c r="AQ7" s="122">
        <f>SUM(AF5:AQ5)/SUM(AF4:AQ4)*200000</f>
        <v>6.4753609850178826</v>
      </c>
      <c r="AR7" s="122">
        <f>SUM(AG5:AR5)/SUM(AG4:AR4)*200000</f>
        <v>5.4982887401039742</v>
      </c>
      <c r="AS7" s="122">
        <f>SUM(AH5:AS5)/SUM(AH4:AS4)*200000</f>
        <v>5.9361552535061293</v>
      </c>
      <c r="AT7" s="122">
        <f>SUM(AI5:AT5)/SUM(AI4:AT4)*200000</f>
        <v>5.9380784826811759</v>
      </c>
      <c r="AU7" s="122">
        <f>SUM(AJ5:AU5)/SUM(AJ4:AU4)*200000</f>
        <v>5.4007690057773488</v>
      </c>
      <c r="AV7" s="122">
        <f>SUM(AK5:AV5)/SUM(AK4:AV4)*200000</f>
        <v>5.131519932188402</v>
      </c>
      <c r="AW7" s="122">
        <f>SUM(AL5:AW5)/SUM(AL4:AW4)*200000</f>
        <v>5.1756100859027754</v>
      </c>
      <c r="AX7" s="122">
        <f>SUM(AM5:AX5)/SUM(AM4:AX4)*200000</f>
        <v>4.9224293171308382</v>
      </c>
      <c r="AY7" s="122">
        <f>SUM(AN5:AY5)/SUM(AN4:AY4)*200000</f>
        <v>5.0612149283943975</v>
      </c>
      <c r="AZ7" s="122">
        <f>SUM(AO5:AZ5)/SUM(AO4:AZ4)*200000</f>
        <v>4.668517040469168</v>
      </c>
      <c r="BA7" s="122">
        <f>SUM(AP5:BA5)/SUM(AP4:BA4)*200000</f>
        <v>4.4728944022417814</v>
      </c>
      <c r="BB7" s="122">
        <f>SUM(AQ5:BB5)/SUM(AQ4:BB4)*200000</f>
        <v>4.3838506862961291</v>
      </c>
      <c r="BC7" s="122">
        <f>SUM(AR5:BC5)/SUM(AR4:BC4)*200000</f>
        <v>3.6816102160926745</v>
      </c>
      <c r="BD7" s="122">
        <f>SUM(AS5:BD5)/SUM(AS4:BD4)*200000</f>
        <v>3.6617106905675607</v>
      </c>
      <c r="BE7" s="122">
        <f>SUM(AT5:BE5)/SUM(AT4:BE4)*200000</f>
        <v>3.4245843869138706</v>
      </c>
      <c r="BF7" s="122">
        <f>SUM(AU5:BF5)/SUM(AU4:BF4)*200000</f>
        <v>3.4797194545236318</v>
      </c>
      <c r="BG7" s="122">
        <f>SUM(AV5:BG5)/SUM(AV4:BG4)*200000</f>
        <v>3.5498318985036121</v>
      </c>
      <c r="BH7" s="112">
        <f>SUM(AW5:BH5)/SUM(AW4:BH4)*200000</f>
        <v>3.6865974272664523</v>
      </c>
      <c r="BI7" s="112">
        <f>SUM(AX5:BI5)/SUM(AX4:BI4)*200000</f>
        <v>3.5938445348256227</v>
      </c>
      <c r="BJ7" s="112">
        <f>SUM(AY5:BJ5)/SUM(AY4:BJ4)*200000</f>
        <v>3.7377288421402612</v>
      </c>
      <c r="BK7" s="112">
        <f>SUM(AZ5:BK5)/SUM(AZ4:BK4)*200000</f>
        <v>3.7299818106457878</v>
      </c>
      <c r="BL7" s="112">
        <f>SUM(BA5:BL5)/SUM(BA4:BL4)*200000</f>
        <v>3.6486631692114195</v>
      </c>
      <c r="BM7" s="112">
        <f>SUM(BB5:BM5)/SUM(BB4:BM4)*200000</f>
        <v>3.7150263311880596</v>
      </c>
      <c r="BN7" s="112">
        <f>SUM(BC5:BN5)/SUM(BC4:BN4)*200000</f>
        <v>3.5362871599388703</v>
      </c>
      <c r="BO7" s="112">
        <f>SUM(BD5:BO5)/SUM(BD4:BO4)*200000</f>
        <v>3.4691339585715304</v>
      </c>
      <c r="BP7" s="112">
        <f>SUM(BE5:BP5)/SUM(BE4:BP4)*200000</f>
        <v>3.2564604822811036</v>
      </c>
      <c r="XCT7" s="1"/>
      <c r="XCU7" s="1"/>
      <c r="XCV7" s="1"/>
      <c r="XCW7" s="1"/>
      <c r="XCX7" s="1"/>
      <c r="XCY7" s="1"/>
      <c r="XCZ7" s="1"/>
      <c r="XDA7" s="1"/>
      <c r="XDB7" s="1"/>
      <c r="XDC7" s="1"/>
      <c r="XDD7" s="1"/>
      <c r="XDE7" s="1"/>
      <c r="XDF7" s="1"/>
      <c r="XDG7" s="1"/>
      <c r="XDH7" s="1"/>
      <c r="XDI7" s="1"/>
      <c r="XDJ7" s="1"/>
      <c r="XDK7" s="1"/>
      <c r="XDL7" s="1"/>
      <c r="XDM7" s="1"/>
      <c r="XDN7" s="1"/>
      <c r="XDO7" s="1"/>
      <c r="XDP7" s="1"/>
      <c r="XDQ7" s="1"/>
      <c r="XDR7" s="1"/>
      <c r="XDS7" s="1"/>
      <c r="XDT7" s="1"/>
      <c r="XDU7" s="1"/>
      <c r="XDV7" s="1"/>
      <c r="XDW7" s="1"/>
      <c r="XDX7" s="1"/>
      <c r="XDY7" s="1"/>
      <c r="XDZ7" s="1"/>
      <c r="XEA7" s="1"/>
      <c r="XEB7" s="1"/>
      <c r="XEC7" s="1"/>
      <c r="XED7" s="1"/>
      <c r="XEE7" s="1"/>
      <c r="XEF7" s="1"/>
      <c r="XEG7" s="1"/>
      <c r="XEH7" s="1"/>
      <c r="XEI7" s="1"/>
      <c r="XEJ7" s="1"/>
      <c r="XEK7" s="1"/>
      <c r="XEL7" s="1"/>
      <c r="XEM7" s="1"/>
      <c r="XEN7" s="1"/>
      <c r="XEO7" s="1"/>
      <c r="XEP7" s="1"/>
      <c r="XEQ7" s="1"/>
      <c r="XER7" s="1"/>
      <c r="XES7" s="1"/>
      <c r="XET7" s="1"/>
      <c r="XEU7" s="1"/>
      <c r="XEV7" s="1"/>
      <c r="XEW7" s="1"/>
      <c r="XEX7" s="1"/>
      <c r="XEY7" s="1"/>
      <c r="XEZ7" s="1"/>
      <c r="XFA7" s="1"/>
    </row>
    <row r="8" spans="1:68 16322:16381" x14ac:dyDescent="0.25">
      <c r="A8" s="353"/>
      <c r="B8" s="118" t="s">
        <v>268</v>
      </c>
      <c r="C8" s="118"/>
      <c r="D8" s="118"/>
      <c r="E8" s="118"/>
      <c r="F8" s="123"/>
      <c r="G8" s="115"/>
      <c r="H8" s="115"/>
      <c r="I8" s="115"/>
      <c r="J8" s="115"/>
      <c r="K8" s="115"/>
      <c r="L8" s="115"/>
      <c r="M8" s="115"/>
      <c r="N8" s="115"/>
      <c r="O8" s="115"/>
      <c r="P8" s="115"/>
      <c r="Q8" s="115"/>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row>
    <row r="9" spans="1:68 16322:16381" x14ac:dyDescent="0.25">
      <c r="A9" s="353"/>
      <c r="B9" s="1" t="s">
        <v>264</v>
      </c>
      <c r="C9" s="1">
        <v>42618.299999999996</v>
      </c>
      <c r="D9" s="1">
        <v>42452.5</v>
      </c>
      <c r="E9" s="1">
        <v>65518.41</v>
      </c>
      <c r="F9" s="8">
        <v>42996.95</v>
      </c>
      <c r="G9" s="7">
        <v>43058.05</v>
      </c>
      <c r="H9" s="8">
        <v>34677.550000000003</v>
      </c>
      <c r="I9" s="7">
        <v>43634.25</v>
      </c>
      <c r="J9" s="7">
        <v>42824.71</v>
      </c>
      <c r="K9" s="7">
        <v>62358.37</v>
      </c>
      <c r="L9" s="7">
        <v>41667.599999999999</v>
      </c>
      <c r="M9" s="7">
        <v>41733</v>
      </c>
      <c r="N9" s="7">
        <v>41486.35</v>
      </c>
      <c r="O9" s="7">
        <v>40447.1</v>
      </c>
      <c r="P9" s="7">
        <v>64439.54</v>
      </c>
      <c r="Q9" s="8">
        <v>42903.47</v>
      </c>
      <c r="R9" s="1">
        <v>43623.7</v>
      </c>
      <c r="S9" s="1">
        <v>45047.460000000006</v>
      </c>
      <c r="T9" s="1">
        <v>37075.97</v>
      </c>
      <c r="U9" s="1">
        <v>44896.36</v>
      </c>
      <c r="V9" s="1">
        <v>68215.81</v>
      </c>
      <c r="W9" s="1">
        <v>42449.89</v>
      </c>
      <c r="X9" s="1">
        <v>47388.03</v>
      </c>
      <c r="Y9" s="1">
        <v>45321.17</v>
      </c>
      <c r="Z9" s="1">
        <v>44879.600000000006</v>
      </c>
      <c r="AA9" s="1">
        <v>66641.72</v>
      </c>
      <c r="AB9" s="1">
        <v>43664.05</v>
      </c>
      <c r="AC9" s="1">
        <v>44181.85</v>
      </c>
      <c r="AD9" s="1">
        <f>IF(AD79="",AD84,SUM(AD79,AD84))</f>
        <v>44230.47</v>
      </c>
      <c r="AE9" s="1">
        <f>IF(AE79="",AE84,SUM(AE79,AE84))</f>
        <v>46371.35</v>
      </c>
      <c r="AF9" s="1">
        <f>IF(AF79="",AF84,SUM(AF79,AF84))</f>
        <v>37830.119999999995</v>
      </c>
      <c r="AG9" s="1">
        <f>IF(AG79="",AG84,SUM(AG79,AG84))</f>
        <v>44690.15</v>
      </c>
      <c r="AH9" s="1">
        <f>IF(AH79="",AH84,SUM(AH79,AH84))</f>
        <v>67201.850000000006</v>
      </c>
      <c r="AI9" s="1">
        <f>IF(AI79="",AI84,SUM(AI79,AI84))</f>
        <v>86593.53</v>
      </c>
      <c r="AJ9" s="1">
        <f>IF(AJ79="",AJ84,SUM(AJ79,AJ84))</f>
        <v>90879.580000000016</v>
      </c>
      <c r="AK9" s="1">
        <f>IF(AK79="",AK84,SUM(AK79,AK84))</f>
        <v>86230.859999999957</v>
      </c>
      <c r="AL9" s="1">
        <f>IF(AL79="",AL84,SUM(AL79,AL84))</f>
        <v>88157.279999999941</v>
      </c>
      <c r="AM9" s="1">
        <f>IF(AM79="",AM84,SUM(AM79,AM84))</f>
        <v>107199.49999999997</v>
      </c>
      <c r="AN9" s="1">
        <f>IF(AN79="",AN84,SUM(AN79,AN84))</f>
        <v>87273.98000000001</v>
      </c>
      <c r="AO9" s="1">
        <f>IF(AO79="",AO84,SUM(AO79,AO84))</f>
        <v>92512.38</v>
      </c>
      <c r="AP9" s="1">
        <f>IF(AP79="",AP84,SUM(AP79,AP84))</f>
        <v>86237.91</v>
      </c>
      <c r="AQ9" s="1">
        <f>IF(AQ79="",AQ84,SUM(AQ79,AQ84))</f>
        <v>90168.19</v>
      </c>
      <c r="AR9" s="1">
        <f>IF(AR79="",AR84,SUM(AR79,AR84))</f>
        <v>117859.78</v>
      </c>
      <c r="AS9" s="1">
        <f>IF(AS79="",AS84,SUM(AS79,AS84))</f>
        <v>85732.22</v>
      </c>
      <c r="AT9" s="1">
        <f>IF(AT79="",AT84,SUM(AT79,AT84))</f>
        <v>92412.800000000003</v>
      </c>
      <c r="AU9" s="1">
        <f>IF(AU79="",AU84,SUM(AU79,AU84))</f>
        <v>88842.25</v>
      </c>
      <c r="AV9" s="1">
        <f>IF(AV79="",AV84,SUM(AV79,AV84))</f>
        <v>90205.2</v>
      </c>
      <c r="AW9" s="1">
        <f>IF(AW79="",AW84,SUM(AW79,AW84))</f>
        <v>88044.08</v>
      </c>
      <c r="AX9" s="1">
        <f>IF(AX79="",AX84,SUM(AX79,AX84))</f>
        <v>88763.88</v>
      </c>
      <c r="AY9" s="1">
        <f>IF(AY79="",AY84,SUM(AY79,AY84))</f>
        <v>109633.79000000001</v>
      </c>
      <c r="AZ9" s="1">
        <f>IF(AZ79="",AZ84,SUM(AZ79,AZ84))</f>
        <v>86797.040000000008</v>
      </c>
      <c r="BA9" s="1">
        <f>IF(BA79="",BA84,SUM(BA79,BA84))</f>
        <v>90958.09</v>
      </c>
      <c r="BB9" s="1">
        <f>IF(BB79="",BB84,SUM(BB79,BB84))</f>
        <v>87013.349999999991</v>
      </c>
      <c r="BC9" s="1">
        <f>IF(BC79="",BC84,SUM(BC79,BC84))</f>
        <v>89250.040000000008</v>
      </c>
      <c r="BD9" s="1">
        <f>IF(BD79="",BD84,SUM(BD79,BD84))</f>
        <v>108066.33</v>
      </c>
      <c r="BE9" s="1">
        <f>IF(BE79="",BE84,SUM(BE79,BE84))</f>
        <v>87113.110000000015</v>
      </c>
      <c r="BF9" s="1">
        <f>IF(BF79="",BF84,SUM(BF79,BF84))</f>
        <v>94284.5</v>
      </c>
      <c r="BG9" s="1">
        <f>IF(BG79="",BG84,SUM(BG79,BG84))</f>
        <v>84748.18</v>
      </c>
      <c r="BH9" s="1">
        <f>IF(BH79="",BH84,SUM(BH79,BH84))</f>
        <v>92261.1</v>
      </c>
      <c r="BI9" s="1">
        <f>IF(BI79="",BI84,SUM(BI79,BI84))</f>
        <v>90073.37</v>
      </c>
      <c r="BJ9" s="1">
        <f>IF(BJ79="",BJ84,SUM(BJ79,BJ84))</f>
        <v>136043.81</v>
      </c>
      <c r="BK9" s="1">
        <f>IF(BK79="",BK84,SUM(BK79,BK84))</f>
        <v>95097.63</v>
      </c>
      <c r="BL9" s="1">
        <f>IF(BL79="",BL84,SUM(BL79,BL84))</f>
        <v>119226.04000000004</v>
      </c>
      <c r="BM9" s="1">
        <f>IF(BM79="",BM84,SUM(BM79,BM84))</f>
        <v>121261.98</v>
      </c>
      <c r="BN9" s="1">
        <f>IF(BN79="",BN84,SUM(BN79,BN84))</f>
        <v>145850.00709999999</v>
      </c>
      <c r="BO9" s="1">
        <f>IF(BO79="",BO84,SUM(BO79,BO84))</f>
        <v>210758.587</v>
      </c>
      <c r="BP9" s="1">
        <f>IF(BP79="",BP84,SUM(BP79,BP84))</f>
        <v>184272.101</v>
      </c>
    </row>
    <row r="10" spans="1:68 16322:16381" x14ac:dyDescent="0.25">
      <c r="A10" s="353"/>
      <c r="B10" s="1" t="s">
        <v>265</v>
      </c>
      <c r="C10" s="1">
        <v>2</v>
      </c>
      <c r="D10" s="1">
        <v>0</v>
      </c>
      <c r="E10" s="1">
        <v>0</v>
      </c>
      <c r="F10" s="8">
        <v>0</v>
      </c>
      <c r="G10" s="8">
        <v>0</v>
      </c>
      <c r="H10" s="8">
        <v>1</v>
      </c>
      <c r="I10" s="8">
        <v>0</v>
      </c>
      <c r="J10" s="8">
        <v>2</v>
      </c>
      <c r="K10" s="8">
        <v>0</v>
      </c>
      <c r="L10" s="7">
        <v>0</v>
      </c>
      <c r="M10" s="7">
        <v>0</v>
      </c>
      <c r="N10" s="8">
        <v>1</v>
      </c>
      <c r="O10" s="8">
        <v>1</v>
      </c>
      <c r="P10" s="7">
        <v>0</v>
      </c>
      <c r="Q10" s="8">
        <v>0</v>
      </c>
      <c r="R10" s="7">
        <v>1</v>
      </c>
      <c r="S10" s="1">
        <v>2</v>
      </c>
      <c r="T10" s="1">
        <v>6</v>
      </c>
      <c r="U10" s="1">
        <v>1</v>
      </c>
      <c r="V10" s="1">
        <v>3</v>
      </c>
      <c r="W10" s="1">
        <v>3</v>
      </c>
      <c r="X10" s="1">
        <v>3</v>
      </c>
      <c r="Y10" s="1">
        <v>4</v>
      </c>
      <c r="Z10" s="1">
        <v>0</v>
      </c>
      <c r="AA10" s="1">
        <v>2</v>
      </c>
      <c r="AB10" s="1">
        <v>3</v>
      </c>
      <c r="AC10" s="1">
        <v>3</v>
      </c>
      <c r="AD10" s="1">
        <v>1</v>
      </c>
      <c r="AE10" s="1">
        <v>2</v>
      </c>
      <c r="AF10" s="1">
        <v>5</v>
      </c>
      <c r="AG10" s="1">
        <v>2</v>
      </c>
      <c r="AH10" s="1">
        <v>1</v>
      </c>
      <c r="AI10" s="1">
        <v>5</v>
      </c>
      <c r="AJ10" s="1">
        <v>2</v>
      </c>
      <c r="AK10" s="1">
        <v>0</v>
      </c>
      <c r="AL10" s="1">
        <v>2</v>
      </c>
      <c r="AM10" s="1">
        <v>3</v>
      </c>
      <c r="AN10" s="1">
        <v>5</v>
      </c>
      <c r="AO10" s="1">
        <v>5</v>
      </c>
      <c r="AP10" s="1">
        <v>1</v>
      </c>
      <c r="AQ10" s="1">
        <v>3</v>
      </c>
      <c r="AR10" s="1">
        <v>3</v>
      </c>
      <c r="AS10" s="1">
        <v>2</v>
      </c>
      <c r="AT10" s="1">
        <v>2</v>
      </c>
      <c r="AU10" s="1">
        <v>3</v>
      </c>
      <c r="AV10" s="1">
        <v>3</v>
      </c>
      <c r="AW10" s="1">
        <v>1</v>
      </c>
      <c r="AX10" s="1">
        <v>1</v>
      </c>
      <c r="AY10" s="1">
        <v>0</v>
      </c>
      <c r="AZ10" s="111">
        <v>5</v>
      </c>
      <c r="BA10" s="111">
        <v>7</v>
      </c>
      <c r="BB10" s="111">
        <v>5</v>
      </c>
      <c r="BC10" s="111">
        <v>5</v>
      </c>
      <c r="BD10" s="111">
        <v>3</v>
      </c>
      <c r="BE10" s="111">
        <v>5</v>
      </c>
      <c r="BF10" s="111">
        <v>1</v>
      </c>
      <c r="BG10" s="111">
        <v>4</v>
      </c>
      <c r="BH10" s="111">
        <v>3</v>
      </c>
      <c r="BI10" s="111">
        <v>4</v>
      </c>
      <c r="BJ10" s="111">
        <v>11</v>
      </c>
      <c r="BK10" s="111">
        <v>4</v>
      </c>
      <c r="BL10" s="111">
        <v>7</v>
      </c>
      <c r="BM10" s="111">
        <v>8</v>
      </c>
      <c r="BN10" s="111">
        <v>1</v>
      </c>
      <c r="BO10" s="111">
        <v>5</v>
      </c>
      <c r="BP10" s="111">
        <v>3</v>
      </c>
    </row>
    <row r="11" spans="1:68 16322:16381" x14ac:dyDescent="0.25">
      <c r="A11" s="353"/>
      <c r="B11" s="1" t="s">
        <v>269</v>
      </c>
      <c r="C11" s="8">
        <f>C10/C9*200000</f>
        <v>9.3856395022795382</v>
      </c>
      <c r="D11" s="8">
        <f>D10/D9*200000</f>
        <v>0</v>
      </c>
      <c r="E11" s="8">
        <f>E10/E9*200000</f>
        <v>0</v>
      </c>
      <c r="F11" s="8">
        <f>F10/F9*200000</f>
        <v>0</v>
      </c>
      <c r="G11" s="8">
        <f>G10/G9*200000</f>
        <v>0</v>
      </c>
      <c r="H11" s="8">
        <f>H10/H9*200000</f>
        <v>5.7674201320450829</v>
      </c>
      <c r="I11" s="8">
        <f>I10/I9*200000</f>
        <v>0</v>
      </c>
      <c r="J11" s="8">
        <f>J10/J9*200000</f>
        <v>9.3404018380976783</v>
      </c>
      <c r="K11" s="8">
        <f>K10/K9*200000</f>
        <v>0</v>
      </c>
      <c r="L11" s="8">
        <f>L10/L9*200000</f>
        <v>0</v>
      </c>
      <c r="M11" s="8">
        <f>M10/M9*200000</f>
        <v>0</v>
      </c>
      <c r="N11" s="8">
        <f>N10/N9*200000</f>
        <v>4.8208627657048648</v>
      </c>
      <c r="O11" s="8">
        <f>O10/O9*200000</f>
        <v>4.9447302773251973</v>
      </c>
      <c r="P11" s="8">
        <f>P10/P9*200000</f>
        <v>0</v>
      </c>
      <c r="Q11" s="8">
        <f>Q10/Q9*200000</f>
        <v>0</v>
      </c>
      <c r="R11" s="8">
        <f>R10/R9*200000</f>
        <v>4.5846638409855194</v>
      </c>
      <c r="S11" s="8">
        <f>S10/S9*200000</f>
        <v>8.8795239509619392</v>
      </c>
      <c r="T11" s="8">
        <f>T10/T9*200000</f>
        <v>32.365977208418286</v>
      </c>
      <c r="U11" s="8">
        <f>U10/U9*200000</f>
        <v>4.454704123006854</v>
      </c>
      <c r="V11" s="8">
        <f>V10/V9*200000</f>
        <v>8.7956149754726951</v>
      </c>
      <c r="W11" s="8">
        <f>W10/W9*200000</f>
        <v>14.134312244389797</v>
      </c>
      <c r="X11" s="8">
        <f>X10/X9*200000</f>
        <v>12.661425258657093</v>
      </c>
      <c r="Y11" s="8">
        <f>Y10/Y9*200000</f>
        <v>17.651794955867203</v>
      </c>
      <c r="Z11" s="8">
        <f>Z10/Z9*200000</f>
        <v>0</v>
      </c>
      <c r="AA11" s="8">
        <f>AA10/AA9*200000</f>
        <v>6.0022460404683429</v>
      </c>
      <c r="AB11" s="8">
        <f>AB10/AB9*200000</f>
        <v>13.741281443200984</v>
      </c>
      <c r="AC11" s="8">
        <f>AC10/AC9*200000</f>
        <v>13.58023713357408</v>
      </c>
      <c r="AD11" s="8">
        <f>AD10/AD9*200000</f>
        <v>4.5217697211899397</v>
      </c>
      <c r="AE11" s="8">
        <f>AE10/AE9*200000</f>
        <v>8.6260158481476168</v>
      </c>
      <c r="AF11" s="8">
        <f>AF10/AF9*200000</f>
        <v>26.43396320180851</v>
      </c>
      <c r="AG11" s="8">
        <f>AG10/AG9*200000</f>
        <v>8.9505181790618291</v>
      </c>
      <c r="AH11" s="8">
        <f>AH10/AH9*200000</f>
        <v>2.9761085446308395</v>
      </c>
      <c r="AI11" s="8">
        <f>AI10/AI9*200000</f>
        <v>11.548206892593477</v>
      </c>
      <c r="AJ11" s="8">
        <f>AJ10/AJ9*200000</f>
        <v>4.4014287918143982</v>
      </c>
      <c r="AK11" s="8">
        <f>AK10/AK9*200000</f>
        <v>0</v>
      </c>
      <c r="AL11" s="8">
        <f>AL10/AL9*200000</f>
        <v>4.5373450723525073</v>
      </c>
      <c r="AM11" s="8">
        <f>AM10/AM9*200000</f>
        <v>5.5970410309749594</v>
      </c>
      <c r="AN11" s="8">
        <f>AN10/AN9*200000</f>
        <v>11.45816886086781</v>
      </c>
      <c r="AO11" s="8">
        <f>AO10/AO9*200000</f>
        <v>10.809364108890074</v>
      </c>
      <c r="AP11" s="8">
        <f>AP10/AP9*200000</f>
        <v>2.3191656662365774</v>
      </c>
      <c r="AQ11" s="8">
        <f>AQ10/AQ9*200000</f>
        <v>6.6542313869225937</v>
      </c>
      <c r="AR11" s="8">
        <f>AR10/AR9*200000</f>
        <v>5.0907951805102645</v>
      </c>
      <c r="AS11" s="8">
        <f>AS10/AS9*200000</f>
        <v>4.665690448701783</v>
      </c>
      <c r="AT11" s="8">
        <f>AT10/AT9*200000</f>
        <v>4.3284047231552334</v>
      </c>
      <c r="AU11" s="8">
        <f>AU10/AU9*200000</f>
        <v>6.7535434998550805</v>
      </c>
      <c r="AV11" s="8">
        <f>AV10/AV9*200000</f>
        <v>6.6515012438307322</v>
      </c>
      <c r="AW11" s="8">
        <f>AW10/AW9*200000</f>
        <v>2.2715894129395182</v>
      </c>
      <c r="AX11" s="8">
        <f>AX10/AX9*200000</f>
        <v>2.2531687438629313</v>
      </c>
      <c r="AY11" s="8">
        <f>AY10/AY9*200000</f>
        <v>0</v>
      </c>
      <c r="AZ11" s="8">
        <f>AZ10/AZ9*200000</f>
        <v>11.521130213657054</v>
      </c>
      <c r="BA11" s="8">
        <f>BA10/BA9*200000</f>
        <v>15.391704025447325</v>
      </c>
      <c r="BB11" s="8">
        <f>BB10/BB9*200000</f>
        <v>11.492489370883895</v>
      </c>
      <c r="BC11" s="8">
        <f>BC10/BC9*200000</f>
        <v>11.204476771102847</v>
      </c>
      <c r="BD11" s="8">
        <f>BD10/BD9*200000</f>
        <v>5.5521456127916995</v>
      </c>
      <c r="BE11" s="8">
        <f>BE10/BE9*200000</f>
        <v>11.479328427144891</v>
      </c>
      <c r="BF11" s="8">
        <f>BF10/BF9*200000</f>
        <v>2.1212394402049117</v>
      </c>
      <c r="BG11" s="8">
        <f>BG10/BG9*200000</f>
        <v>9.4397307411203411</v>
      </c>
      <c r="BH11" s="1">
        <f>BH10/BH9*200000</f>
        <v>6.5032825318579546</v>
      </c>
      <c r="BI11" s="1">
        <f>BI10/BI9*200000</f>
        <v>8.8816483717662624</v>
      </c>
      <c r="BJ11" s="1">
        <f>BJ10/BJ9*200000</f>
        <v>16.171261301782124</v>
      </c>
      <c r="BK11" s="1">
        <f>BK10/BK9*200000</f>
        <v>8.4124073333899059</v>
      </c>
      <c r="BL11" s="1">
        <f>BL10/BL9*200000</f>
        <v>11.742401240534363</v>
      </c>
      <c r="BM11" s="1">
        <f>BM10/BM9*200000</f>
        <v>13.194572610475269</v>
      </c>
      <c r="BN11" s="1">
        <f>BN10/BN9*200000</f>
        <v>1.371271787891466</v>
      </c>
      <c r="BO11" s="1">
        <f>BO10/BO9*200000</f>
        <v>4.744765156353985</v>
      </c>
      <c r="BP11" s="1">
        <f>BP10/BP9*200000</f>
        <v>3.2560544799996611</v>
      </c>
    </row>
    <row r="12" spans="1:68 16322:16381" s="112" customFormat="1" x14ac:dyDescent="0.25">
      <c r="A12" s="353"/>
      <c r="B12" s="112" t="s">
        <v>267</v>
      </c>
      <c r="F12" s="8"/>
      <c r="G12" s="122"/>
      <c r="H12" s="122"/>
      <c r="I12" s="122"/>
      <c r="J12" s="122"/>
      <c r="K12" s="122"/>
      <c r="L12" s="122">
        <f>SUM(C10:L10)/SUM(C9:L9)*200000</f>
        <v>2.1654082144197608</v>
      </c>
      <c r="M12" s="122">
        <f>SUM(C10:M10)/SUM(C9:M9)*200000</f>
        <v>1.9859407706272372</v>
      </c>
      <c r="N12" s="122">
        <f>SUM(C10:N10)/SUM(C9:N9)*200000</f>
        <v>2.2017296641459558</v>
      </c>
      <c r="O12" s="122">
        <f>SUM(D10:O10)/SUM(D9:O9)*200000</f>
        <v>1.8421130775954768</v>
      </c>
      <c r="P12" s="122">
        <f>SUM(E10:P10)/SUM(E9:P9)*200000</f>
        <v>1.7704069676986416</v>
      </c>
      <c r="Q12" s="122">
        <f>SUM(F10:Q10)/SUM(F9:Q9)*200000</f>
        <v>1.8442462486279272</v>
      </c>
      <c r="R12" s="122">
        <f>SUM(G10:R10)/SUM(G9:R9)*200000</f>
        <v>2.2105403759897082</v>
      </c>
      <c r="S12" s="122">
        <f>SUM(H10:S10)/SUM(H9:S9)*200000</f>
        <v>2.9366252412850602</v>
      </c>
      <c r="T12" s="122">
        <f>SUM(I10:T10)/SUM(I9:T9)*200000</f>
        <v>4.7511014880596054</v>
      </c>
      <c r="U12" s="122">
        <f>SUM(J10:U10)/SUM(J9:U9)*200000</f>
        <v>5.1047975744481393</v>
      </c>
      <c r="V12" s="122">
        <f>SUM(K10:V10)/SUM(K9:V9)*200000</f>
        <v>5.2274395340762236</v>
      </c>
      <c r="W12" s="122">
        <f>SUM(L10:W10)/SUM(L9:W9)*200000</f>
        <v>6.4983562317656807</v>
      </c>
      <c r="X12" s="122">
        <f>SUM(M10:X10)/SUM(M9:X9)*200000</f>
        <v>7.5039304515715255</v>
      </c>
      <c r="Y12" s="122">
        <f>SUM(N10:Y10)/SUM(N9:Y9)*200000</f>
        <v>8.8763460202059363</v>
      </c>
      <c r="Z12" s="122">
        <f>SUM(O10:Z10)/SUM(O9:Z9)*200000</f>
        <v>8.4702678598685939</v>
      </c>
      <c r="AA12" s="122">
        <f>SUM(P10:AA10)/SUM(P9:AA9)*200000</f>
        <v>8.4333711058402905</v>
      </c>
      <c r="AB12" s="122">
        <f>SUM(Q10:AB10)/SUM(Q9:AB9)*200000</f>
        <v>9.7883748121833705</v>
      </c>
      <c r="AC12" s="122">
        <f>SUM(R10:AC10)/SUM(R9:AC9)*200000</f>
        <v>10.812967559475377</v>
      </c>
      <c r="AD12" s="122">
        <f>SUM(S10:AD10)/SUM(S9:AD9)*200000</f>
        <v>10.801537121450984</v>
      </c>
      <c r="AE12" s="122">
        <f>SUM(T10:AE10)/SUM(T9:AE9)*200000</f>
        <v>10.776681146180691</v>
      </c>
      <c r="AF12" s="122">
        <f>SUM(U10:AF10)/SUM(U9:AF9)*200000</f>
        <v>10.415393312505095</v>
      </c>
      <c r="AG12" s="122">
        <f>SUM(V10:AG10)/SUM(V9:AG9)*200000</f>
        <v>10.76642703667936</v>
      </c>
      <c r="AH12" s="122">
        <f>SUM(W10:AH10)/SUM(W9:AH9)*200000</f>
        <v>10.089584200406975</v>
      </c>
      <c r="AI12" s="122">
        <f>SUM(X10:AI10)/SUM(X9:AI9)*200000</f>
        <v>10.016253956884777</v>
      </c>
      <c r="AJ12" s="122">
        <f>SUM(Y10:AJ10)/SUM(Y9:AJ9)*200000</f>
        <v>9.0568028181872204</v>
      </c>
      <c r="AK12" s="122">
        <f>SUM(Z10:AK10)/SUM(Z9:AK9)*200000</f>
        <v>7.3927153860163921</v>
      </c>
      <c r="AL12" s="122">
        <f>SUM(AA10:AL10)/SUM(AA9:AL9)*200000</f>
        <v>7.4999382929184204</v>
      </c>
      <c r="AM12" s="122">
        <f>SUM(AB10:AM10)/SUM(AB9:AM9)*200000</f>
        <v>7.3675998794711486</v>
      </c>
      <c r="AN12" s="122">
        <f>SUM(AC10:AN10)/SUM(AC9:AN9)*200000</f>
        <v>7.4623226127680935</v>
      </c>
      <c r="AO12" s="122">
        <f>SUM(AD10:AO10)/SUM(AD9:AO9)*200000</f>
        <v>7.5070715761170721</v>
      </c>
      <c r="AP12" s="122">
        <f>SUM(AE10:AP10)/SUM(AE9:AP9)*200000</f>
        <v>7.1647352512540765</v>
      </c>
      <c r="AQ12" s="122">
        <f>SUM(AF10:AQ10)/SUM(AF9:AQ9)*200000</f>
        <v>7.0468122744650898</v>
      </c>
      <c r="AR12" s="122">
        <f>SUM(AG10:AR10)/SUM(AG9:AR9)*200000</f>
        <v>6.1243726692635221</v>
      </c>
      <c r="AS12" s="122">
        <f>SUM(AH10:AS10)/SUM(AH9:AS9)*200000</f>
        <v>5.8929306433553634</v>
      </c>
      <c r="AT12" s="122">
        <f>SUM(AI10:AT10)/SUM(AI9:AT9)*200000</f>
        <v>5.9392147823528401</v>
      </c>
      <c r="AU12" s="122">
        <f>SUM(AJ10:AU10)/SUM(AJ9:AU9)*200000</f>
        <v>5.5679950852205442</v>
      </c>
      <c r="AV12" s="122">
        <f>SUM(AK10:AV10)/SUM(AK9:AV9)*200000</f>
        <v>5.7510908988222713</v>
      </c>
      <c r="AW12" s="122">
        <f>SUM(AL10:AW10)/SUM(AL9:AW9)*200000</f>
        <v>5.9211646981201387</v>
      </c>
      <c r="AX12" s="122">
        <f>SUM(AM10:AX10)/SUM(AM9:AX9)*200000</f>
        <v>5.7386124610723694</v>
      </c>
      <c r="AY12" s="122">
        <f>SUM(AN10:AY10)/SUM(AN9:AY9)*200000</f>
        <v>5.1892907425934105</v>
      </c>
      <c r="AZ12" s="122">
        <f>SUM(AO10:AZ10)/SUM(AO9:AZ9)*200000</f>
        <v>5.1915060659347043</v>
      </c>
      <c r="BA12" s="122">
        <f>SUM(AP10:BA10)/SUM(AP9:BA9)*200000</f>
        <v>5.5572723842293108</v>
      </c>
      <c r="BB12" s="122">
        <f>SUM(AQ10:BB10)/SUM(AQ9:BB9)*200000</f>
        <v>6.2699818162465926</v>
      </c>
      <c r="BC12" s="122">
        <f>SUM(AR10:BC10)/SUM(AR9:BC9)*200000</f>
        <v>6.6337220491259021</v>
      </c>
      <c r="BD12" s="122">
        <f>SUM(AS10:BD10)/SUM(AS9:BD9)*200000</f>
        <v>6.6924775024455352</v>
      </c>
      <c r="BE12" s="122">
        <f>SUM(AT10:BE10)/SUM(AT9:BE9)*200000</f>
        <v>7.2260864321592067</v>
      </c>
      <c r="BF12" s="122">
        <f>SUM(AU10:BF10)/SUM(AU9:BF9)*200000</f>
        <v>7.0335431294971045</v>
      </c>
      <c r="BG12" s="122">
        <f>SUM(AV10:BG10)/SUM(AV9:BG9)*200000</f>
        <v>7.2406211080813021</v>
      </c>
      <c r="BH12" s="112">
        <f>SUM(AW10:BH10)/SUM(AW9:BH9)*200000</f>
        <v>7.2271731520201818</v>
      </c>
      <c r="BI12" s="112">
        <f>SUM(AX10:BI10)/SUM(AX9:BI9)*200000</f>
        <v>7.7549942659031341</v>
      </c>
      <c r="BJ12" s="112">
        <f>SUM(AY10:BJ10)/SUM(AY9:BJ9)*200000</f>
        <v>9.1676253682066466</v>
      </c>
      <c r="BK12" s="112">
        <f>SUM(AZ10:BK10)/SUM(AZ9:BK9)*200000</f>
        <v>9.985052638964012</v>
      </c>
      <c r="BL12" s="112">
        <f>SUM(BA10:BL10)/SUM(BA9:BL9)*200000</f>
        <v>10.049946958849851</v>
      </c>
      <c r="BM12" s="112">
        <f>SUM(BB10:BM10)/SUM(BB9:BM9)*200000</f>
        <v>9.9631410276634593</v>
      </c>
      <c r="BN12" s="112">
        <f>SUM(BC10:BN10)/SUM(BC9:BN9)*200000</f>
        <v>8.8658370293801383</v>
      </c>
      <c r="BO12" s="112">
        <f>SUM(BD10:BO10)/SUM(BD9:BO9)*200000</f>
        <v>8.0879002000192681</v>
      </c>
      <c r="BP12" s="112">
        <f>SUM(BE10:BP10)/SUM(BE9:BP9)*200000</f>
        <v>7.6660324970259284</v>
      </c>
      <c r="XCT12" s="1"/>
      <c r="XCU12" s="1"/>
      <c r="XCV12" s="1"/>
      <c r="XCW12" s="1"/>
      <c r="XCX12" s="1"/>
      <c r="XCY12" s="1"/>
      <c r="XCZ12" s="1"/>
      <c r="XDA12" s="1"/>
      <c r="XDB12" s="1"/>
      <c r="XDC12" s="1"/>
      <c r="XDD12" s="1"/>
      <c r="XDE12" s="1"/>
      <c r="XDF12" s="1"/>
      <c r="XDG12" s="1"/>
      <c r="XDH12" s="1"/>
      <c r="XDI12" s="1"/>
      <c r="XDJ12" s="1"/>
      <c r="XDK12" s="1"/>
      <c r="XDL12" s="1"/>
      <c r="XDM12" s="1"/>
      <c r="XDN12" s="1"/>
      <c r="XDO12" s="1"/>
      <c r="XDP12" s="1"/>
      <c r="XDQ12" s="1"/>
      <c r="XDR12" s="1"/>
      <c r="XDS12" s="1"/>
      <c r="XDT12" s="1"/>
      <c r="XDU12" s="1"/>
      <c r="XDV12" s="1"/>
      <c r="XDW12" s="1"/>
      <c r="XDX12" s="1"/>
      <c r="XDY12" s="1"/>
      <c r="XDZ12" s="1"/>
      <c r="XEA12" s="1"/>
      <c r="XEB12" s="1"/>
      <c r="XEC12" s="1"/>
      <c r="XED12" s="1"/>
      <c r="XEE12" s="1"/>
      <c r="XEF12" s="1"/>
      <c r="XEG12" s="1"/>
      <c r="XEH12" s="1"/>
      <c r="XEI12" s="1"/>
      <c r="XEJ12" s="1"/>
      <c r="XEK12" s="1"/>
      <c r="XEL12" s="1"/>
      <c r="XEM12" s="1"/>
      <c r="XEN12" s="1"/>
      <c r="XEO12" s="1"/>
      <c r="XEP12" s="1"/>
      <c r="XEQ12" s="1"/>
      <c r="XER12" s="1"/>
      <c r="XES12" s="1"/>
      <c r="XET12" s="1"/>
      <c r="XEU12" s="1"/>
      <c r="XEV12" s="1"/>
      <c r="XEW12" s="1"/>
      <c r="XEX12" s="1"/>
      <c r="XEY12" s="1"/>
      <c r="XEZ12" s="1"/>
      <c r="XFA12" s="1"/>
    </row>
    <row r="13" spans="1:68 16322:16381" x14ac:dyDescent="0.25">
      <c r="A13" s="353"/>
      <c r="B13" s="118" t="s">
        <v>270</v>
      </c>
      <c r="C13" s="118"/>
      <c r="D13" s="118"/>
      <c r="E13" s="118"/>
      <c r="F13" s="115"/>
      <c r="G13" s="115"/>
      <c r="H13" s="115"/>
      <c r="I13" s="115"/>
      <c r="J13" s="115"/>
      <c r="K13" s="115"/>
      <c r="L13" s="115"/>
      <c r="M13" s="115"/>
      <c r="N13" s="115"/>
      <c r="O13" s="115"/>
      <c r="P13" s="115"/>
      <c r="Q13" s="115"/>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row>
    <row r="14" spans="1:68 16322:16381" x14ac:dyDescent="0.25">
      <c r="A14" s="353"/>
      <c r="B14" s="1" t="s">
        <v>264</v>
      </c>
      <c r="F14" s="8">
        <v>2276</v>
      </c>
      <c r="G14" s="8">
        <v>2426</v>
      </c>
      <c r="H14" s="8">
        <v>1988.75</v>
      </c>
      <c r="I14" s="8">
        <v>2279.25</v>
      </c>
      <c r="J14" s="8">
        <v>2368.5</v>
      </c>
      <c r="K14" s="8">
        <v>3395.25</v>
      </c>
      <c r="L14" s="8">
        <v>1955.25</v>
      </c>
      <c r="M14" s="8">
        <v>2091.75</v>
      </c>
      <c r="N14" s="8">
        <v>1945</v>
      </c>
      <c r="O14" s="8">
        <v>2093</v>
      </c>
      <c r="P14" s="8">
        <v>3020.95</v>
      </c>
      <c r="Q14" s="8">
        <v>1987.75</v>
      </c>
      <c r="R14" s="7">
        <v>2206.5</v>
      </c>
      <c r="S14" s="1">
        <v>2139.75</v>
      </c>
      <c r="T14" s="1">
        <v>1762.5</v>
      </c>
      <c r="U14" s="1">
        <v>2074.75</v>
      </c>
      <c r="V14" s="1">
        <v>3074</v>
      </c>
      <c r="W14" s="1">
        <v>2210</v>
      </c>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row>
    <row r="15" spans="1:68 16322:16381" x14ac:dyDescent="0.25">
      <c r="A15" s="353"/>
      <c r="B15" s="1" t="s">
        <v>265</v>
      </c>
      <c r="F15" s="8">
        <v>0</v>
      </c>
      <c r="G15" s="8">
        <v>0</v>
      </c>
      <c r="H15" s="8">
        <v>0</v>
      </c>
      <c r="I15" s="8">
        <v>0</v>
      </c>
      <c r="J15" s="8">
        <v>0</v>
      </c>
      <c r="K15" s="8">
        <v>0</v>
      </c>
      <c r="L15" s="8">
        <v>0</v>
      </c>
      <c r="M15" s="8">
        <v>0</v>
      </c>
      <c r="N15" s="8">
        <v>0</v>
      </c>
      <c r="O15" s="8">
        <v>0</v>
      </c>
      <c r="P15" s="8">
        <v>0</v>
      </c>
      <c r="Q15" s="8">
        <v>0</v>
      </c>
      <c r="R15" s="1">
        <v>0</v>
      </c>
      <c r="S15" s="1">
        <v>0</v>
      </c>
      <c r="T15" s="1">
        <v>0</v>
      </c>
      <c r="U15" s="1">
        <v>0</v>
      </c>
      <c r="V15" s="1">
        <v>0</v>
      </c>
      <c r="W15" s="1">
        <v>0</v>
      </c>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row>
    <row r="16" spans="1:68 16322:16381" x14ac:dyDescent="0.25">
      <c r="A16" s="353"/>
      <c r="B16" s="1" t="s">
        <v>269</v>
      </c>
      <c r="F16" s="8">
        <f t="shared" ref="F16:W16" si="0">F15/F14*200000</f>
        <v>0</v>
      </c>
      <c r="G16" s="8">
        <f t="shared" si="0"/>
        <v>0</v>
      </c>
      <c r="H16" s="8">
        <f t="shared" si="0"/>
        <v>0</v>
      </c>
      <c r="I16" s="8">
        <f t="shared" si="0"/>
        <v>0</v>
      </c>
      <c r="J16" s="8">
        <f t="shared" si="0"/>
        <v>0</v>
      </c>
      <c r="K16" s="8">
        <f t="shared" si="0"/>
        <v>0</v>
      </c>
      <c r="L16" s="8">
        <f t="shared" si="0"/>
        <v>0</v>
      </c>
      <c r="M16" s="8">
        <f t="shared" si="0"/>
        <v>0</v>
      </c>
      <c r="N16" s="8">
        <f t="shared" si="0"/>
        <v>0</v>
      </c>
      <c r="O16" s="8">
        <f t="shared" si="0"/>
        <v>0</v>
      </c>
      <c r="P16" s="8">
        <f t="shared" si="0"/>
        <v>0</v>
      </c>
      <c r="Q16" s="8">
        <f t="shared" si="0"/>
        <v>0</v>
      </c>
      <c r="R16" s="8">
        <f t="shared" si="0"/>
        <v>0</v>
      </c>
      <c r="S16" s="8">
        <f t="shared" si="0"/>
        <v>0</v>
      </c>
      <c r="T16" s="8">
        <f t="shared" si="0"/>
        <v>0</v>
      </c>
      <c r="U16" s="8">
        <f t="shared" si="0"/>
        <v>0</v>
      </c>
      <c r="V16" s="8">
        <f t="shared" si="0"/>
        <v>0</v>
      </c>
      <c r="W16" s="8">
        <f t="shared" si="0"/>
        <v>0</v>
      </c>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row>
    <row r="17" spans="1:68 16322:16381" s="112" customFormat="1" x14ac:dyDescent="0.25">
      <c r="A17" s="353"/>
      <c r="B17" s="112" t="s">
        <v>267</v>
      </c>
      <c r="F17" s="122"/>
      <c r="G17" s="122"/>
      <c r="H17" s="122"/>
      <c r="I17" s="122"/>
      <c r="J17" s="122"/>
      <c r="K17" s="122"/>
      <c r="L17" s="122"/>
      <c r="M17" s="122"/>
      <c r="N17" s="122"/>
      <c r="O17" s="122"/>
      <c r="P17" s="122"/>
      <c r="Q17" s="122">
        <f t="shared" ref="Q17:W17" si="1">SUM(F15:Q15)/SUM(F14:Q14)*200000</f>
        <v>0</v>
      </c>
      <c r="R17" s="122">
        <f t="shared" si="1"/>
        <v>0</v>
      </c>
      <c r="S17" s="122">
        <f t="shared" si="1"/>
        <v>0</v>
      </c>
      <c r="T17" s="122">
        <f t="shared" si="1"/>
        <v>0</v>
      </c>
      <c r="U17" s="122">
        <f t="shared" si="1"/>
        <v>0</v>
      </c>
      <c r="V17" s="122">
        <f t="shared" si="1"/>
        <v>0</v>
      </c>
      <c r="W17" s="122">
        <f t="shared" si="1"/>
        <v>0</v>
      </c>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XCT17" s="1"/>
      <c r="XCU17" s="1"/>
      <c r="XCV17" s="1"/>
      <c r="XCW17" s="1"/>
      <c r="XCX17" s="1"/>
      <c r="XCY17" s="1"/>
      <c r="XCZ17" s="1"/>
      <c r="XDA17" s="1"/>
      <c r="XDB17" s="1"/>
      <c r="XDC17" s="1"/>
      <c r="XDD17" s="1"/>
      <c r="XDE17" s="1"/>
      <c r="XDF17" s="1"/>
      <c r="XDG17" s="1"/>
      <c r="XDH17" s="1"/>
      <c r="XDI17" s="1"/>
      <c r="XDJ17" s="1"/>
      <c r="XDK17" s="1"/>
      <c r="XDL17" s="1"/>
      <c r="XDM17" s="1"/>
      <c r="XDN17" s="1"/>
      <c r="XDO17" s="1"/>
      <c r="XDP17" s="1"/>
      <c r="XDQ17" s="1"/>
      <c r="XDR17" s="1"/>
      <c r="XDS17" s="1"/>
      <c r="XDT17" s="1"/>
      <c r="XDU17" s="1"/>
      <c r="XDV17" s="1"/>
      <c r="XDW17" s="1"/>
      <c r="XDX17" s="1"/>
      <c r="XDY17" s="1"/>
      <c r="XDZ17" s="1"/>
      <c r="XEA17" s="1"/>
      <c r="XEB17" s="1"/>
      <c r="XEC17" s="1"/>
      <c r="XED17" s="1"/>
      <c r="XEE17" s="1"/>
      <c r="XEF17" s="1"/>
      <c r="XEG17" s="1"/>
      <c r="XEH17" s="1"/>
      <c r="XEI17" s="1"/>
      <c r="XEJ17" s="1"/>
      <c r="XEK17" s="1"/>
      <c r="XEL17" s="1"/>
      <c r="XEM17" s="1"/>
      <c r="XEN17" s="1"/>
      <c r="XEO17" s="1"/>
      <c r="XEP17" s="1"/>
      <c r="XEQ17" s="1"/>
      <c r="XER17" s="1"/>
      <c r="XES17" s="1"/>
      <c r="XET17" s="1"/>
      <c r="XEU17" s="1"/>
      <c r="XEV17" s="1"/>
      <c r="XEW17" s="1"/>
      <c r="XEX17" s="1"/>
      <c r="XEY17" s="1"/>
      <c r="XEZ17" s="1"/>
      <c r="XFA17" s="1"/>
    </row>
    <row r="18" spans="1:68 16322:16381" s="112" customFormat="1" outlineLevel="1" x14ac:dyDescent="0.25">
      <c r="A18" s="353"/>
      <c r="B18" s="124"/>
      <c r="C18" s="124"/>
      <c r="D18" s="124"/>
      <c r="E18" s="124"/>
      <c r="F18" s="125"/>
      <c r="G18" s="125"/>
      <c r="H18" s="125"/>
      <c r="I18" s="125"/>
      <c r="J18" s="125"/>
      <c r="K18" s="125"/>
      <c r="L18" s="125"/>
      <c r="M18" s="125"/>
      <c r="N18" s="125"/>
      <c r="O18" s="125"/>
      <c r="P18" s="125"/>
      <c r="Q18" s="125"/>
      <c r="R18" s="125"/>
      <c r="S18" s="125"/>
      <c r="T18" s="125"/>
      <c r="U18" s="125"/>
      <c r="V18" s="125"/>
      <c r="W18" s="125"/>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XCT18" s="1"/>
      <c r="XCU18" s="1"/>
      <c r="XCV18" s="1"/>
      <c r="XCW18" s="1"/>
      <c r="XCX18" s="1"/>
      <c r="XCY18" s="1"/>
      <c r="XCZ18" s="1"/>
      <c r="XDA18" s="1"/>
      <c r="XDB18" s="1"/>
      <c r="XDC18" s="1"/>
      <c r="XDD18" s="1"/>
      <c r="XDE18" s="1"/>
      <c r="XDF18" s="1"/>
      <c r="XDG18" s="1"/>
      <c r="XDH18" s="1"/>
      <c r="XDI18" s="1"/>
      <c r="XDJ18" s="1"/>
      <c r="XDK18" s="1"/>
      <c r="XDL18" s="1"/>
      <c r="XDM18" s="1"/>
      <c r="XDN18" s="1"/>
      <c r="XDO18" s="1"/>
      <c r="XDP18" s="1"/>
      <c r="XDQ18" s="1"/>
      <c r="XDR18" s="1"/>
      <c r="XDS18" s="1"/>
      <c r="XDT18" s="1"/>
      <c r="XDU18" s="1"/>
      <c r="XDV18" s="1"/>
      <c r="XDW18" s="1"/>
      <c r="XDX18" s="1"/>
      <c r="XDY18" s="1"/>
      <c r="XDZ18" s="1"/>
      <c r="XEA18" s="1"/>
      <c r="XEB18" s="1"/>
      <c r="XEC18" s="1"/>
      <c r="XED18" s="1"/>
      <c r="XEE18" s="1"/>
      <c r="XEF18" s="1"/>
      <c r="XEG18" s="1"/>
      <c r="XEH18" s="1"/>
      <c r="XEI18" s="1"/>
      <c r="XEJ18" s="1"/>
      <c r="XEK18" s="1"/>
      <c r="XEL18" s="1"/>
      <c r="XEM18" s="1"/>
      <c r="XEN18" s="1"/>
      <c r="XEO18" s="1"/>
      <c r="XEP18" s="1"/>
      <c r="XEQ18" s="1"/>
      <c r="XER18" s="1"/>
      <c r="XES18" s="1"/>
      <c r="XET18" s="1"/>
      <c r="XEU18" s="1"/>
      <c r="XEV18" s="1"/>
      <c r="XEW18" s="1"/>
      <c r="XEX18" s="1"/>
      <c r="XEY18" s="1"/>
      <c r="XEZ18" s="1"/>
      <c r="XFA18" s="1"/>
    </row>
    <row r="19" spans="1:68 16322:16381" s="112" customFormat="1" outlineLevel="1" x14ac:dyDescent="0.25">
      <c r="A19" s="353"/>
      <c r="B19" s="118" t="s">
        <v>271</v>
      </c>
      <c r="C19" s="110"/>
      <c r="D19" s="110"/>
      <c r="E19" s="110"/>
      <c r="F19" s="110"/>
      <c r="G19" s="110"/>
      <c r="H19" s="110"/>
      <c r="I19" s="110"/>
      <c r="J19" s="110"/>
      <c r="K19" s="110"/>
      <c r="L19" s="110"/>
      <c r="M19" s="110"/>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XCT19" s="1"/>
      <c r="XCU19" s="1"/>
      <c r="XCV19" s="1"/>
      <c r="XCW19" s="1"/>
      <c r="XCX19" s="1"/>
      <c r="XCY19" s="1"/>
      <c r="XCZ19" s="1"/>
      <c r="XDA19" s="1"/>
      <c r="XDB19" s="1"/>
      <c r="XDC19" s="1"/>
      <c r="XDD19" s="1"/>
      <c r="XDE19" s="1"/>
      <c r="XDF19" s="1"/>
      <c r="XDG19" s="1"/>
      <c r="XDH19" s="1"/>
      <c r="XDI19" s="1"/>
      <c r="XDJ19" s="1"/>
      <c r="XDK19" s="1"/>
      <c r="XDL19" s="1"/>
      <c r="XDM19" s="1"/>
      <c r="XDN19" s="1"/>
      <c r="XDO19" s="1"/>
      <c r="XDP19" s="1"/>
      <c r="XDQ19" s="1"/>
      <c r="XDR19" s="1"/>
      <c r="XDS19" s="1"/>
      <c r="XDT19" s="1"/>
      <c r="XDU19" s="1"/>
      <c r="XDV19" s="1"/>
      <c r="XDW19" s="1"/>
      <c r="XDX19" s="1"/>
      <c r="XDY19" s="1"/>
      <c r="XDZ19" s="1"/>
      <c r="XEA19" s="1"/>
      <c r="XEB19" s="1"/>
      <c r="XEC19" s="1"/>
      <c r="XED19" s="1"/>
      <c r="XEE19" s="1"/>
      <c r="XEF19" s="1"/>
      <c r="XEG19" s="1"/>
      <c r="XEH19" s="1"/>
      <c r="XEI19" s="1"/>
      <c r="XEJ19" s="1"/>
      <c r="XEK19" s="1"/>
      <c r="XEL19" s="1"/>
      <c r="XEM19" s="1"/>
      <c r="XEN19" s="1"/>
      <c r="XEO19" s="1"/>
      <c r="XEP19" s="1"/>
      <c r="XEQ19" s="1"/>
      <c r="XER19" s="1"/>
      <c r="XES19" s="1"/>
      <c r="XET19" s="1"/>
      <c r="XEU19" s="1"/>
      <c r="XEV19" s="1"/>
      <c r="XEW19" s="1"/>
      <c r="XEX19" s="1"/>
      <c r="XEY19" s="1"/>
      <c r="XEZ19" s="1"/>
      <c r="XFA19" s="1"/>
    </row>
    <row r="20" spans="1:68 16322:16381" s="112" customFormat="1" ht="12.75" customHeight="1" outlineLevel="1" x14ac:dyDescent="0.25">
      <c r="A20" s="353"/>
      <c r="B20" s="126" t="s">
        <v>264</v>
      </c>
      <c r="C20" s="122">
        <f>C4+C9</f>
        <v>156591.06</v>
      </c>
      <c r="D20" s="122">
        <f>D4+D9</f>
        <v>162132.49</v>
      </c>
      <c r="E20" s="122">
        <f>E4+E9</f>
        <v>231426.63999999996</v>
      </c>
      <c r="F20" s="122">
        <f>F4+F9</f>
        <v>155205.96999999997</v>
      </c>
      <c r="G20" s="122">
        <f>G4+G9</f>
        <v>155379.45000000001</v>
      </c>
      <c r="H20" s="122">
        <f>H4+H9</f>
        <v>127058.12</v>
      </c>
      <c r="I20" s="122">
        <f>I4+I9</f>
        <v>154747.94</v>
      </c>
      <c r="J20" s="122">
        <f>J4+J9</f>
        <v>149231.07999999999</v>
      </c>
      <c r="K20" s="122">
        <f>K4+K9</f>
        <v>227386.63999999996</v>
      </c>
      <c r="L20" s="122">
        <f>L4+L9</f>
        <v>148284.26</v>
      </c>
      <c r="M20" s="122">
        <f>M4+M9</f>
        <v>152790.69</v>
      </c>
      <c r="N20" s="122">
        <f>N4+N9</f>
        <v>152769.91999999998</v>
      </c>
      <c r="O20" s="122">
        <f>O4+O9</f>
        <v>150267.62000000002</v>
      </c>
      <c r="P20" s="122">
        <f>P4+P9</f>
        <v>233059.04</v>
      </c>
      <c r="Q20" s="122">
        <f>Q4+Q9</f>
        <v>157060.85</v>
      </c>
      <c r="R20" s="122">
        <f>R4+R9</f>
        <v>163960.70000000001</v>
      </c>
      <c r="S20" s="122">
        <f>S4+S9</f>
        <v>165769.38</v>
      </c>
      <c r="T20" s="122">
        <f>T4+T9</f>
        <v>137074.69</v>
      </c>
      <c r="U20" s="122">
        <f>U4+U9</f>
        <v>165202.16</v>
      </c>
      <c r="V20" s="122">
        <f>V4+V9</f>
        <v>242146.36</v>
      </c>
      <c r="W20" s="122">
        <f>W4+W9</f>
        <v>158146.26</v>
      </c>
      <c r="X20" s="122">
        <f>X4+X9</f>
        <v>169478.33</v>
      </c>
      <c r="Y20" s="122">
        <f>Y4+Y9</f>
        <v>162157.49</v>
      </c>
      <c r="Z20" s="122">
        <f>Z4+Z9</f>
        <v>158816.25</v>
      </c>
      <c r="AA20" s="122">
        <f>AA4+AA9</f>
        <v>238087.88999999998</v>
      </c>
      <c r="AB20" s="122">
        <f>AB4+AB9</f>
        <v>156792.32000000001</v>
      </c>
      <c r="AC20" s="122">
        <f>AC4+AC9</f>
        <v>160043.54</v>
      </c>
      <c r="AD20" s="122">
        <f>AD4+AD9</f>
        <v>165240.12</v>
      </c>
      <c r="AE20" s="122">
        <f>AE4+AE9</f>
        <v>167159.44</v>
      </c>
      <c r="AF20" s="122">
        <f>AF4+AF9</f>
        <v>134240.47000000003</v>
      </c>
      <c r="AG20" s="122">
        <f>AG4+AG9</f>
        <v>164557.81999999998</v>
      </c>
      <c r="AH20" s="122">
        <f>AH4+AH9</f>
        <v>239051.59</v>
      </c>
      <c r="AI20" s="122">
        <f>AI4+AI9</f>
        <v>200744.77999999997</v>
      </c>
      <c r="AJ20" s="122">
        <f>AJ4+AJ9</f>
        <v>211093.09000000003</v>
      </c>
      <c r="AK20" s="122">
        <f>AK4+AK9</f>
        <v>199819.90999999995</v>
      </c>
      <c r="AL20" s="122">
        <f>AL4+AL9</f>
        <v>200871.32999999993</v>
      </c>
      <c r="AM20" s="122">
        <f>AM4+AM9</f>
        <v>275215.69999999995</v>
      </c>
      <c r="AN20" s="122">
        <f>AN4+AN9</f>
        <v>198145.91</v>
      </c>
      <c r="AO20" s="122">
        <f>AO4+AO9</f>
        <v>212965.66000000003</v>
      </c>
      <c r="AP20" s="122">
        <f>AP4+AP9</f>
        <v>201421.09</v>
      </c>
      <c r="AQ20" s="122">
        <f>AQ4+AQ9</f>
        <v>209390.81</v>
      </c>
      <c r="AR20" s="122">
        <f>AR4+AR9</f>
        <v>368600.23000000004</v>
      </c>
      <c r="AS20" s="122">
        <f>AS4+AS9</f>
        <v>287010.86</v>
      </c>
      <c r="AT20" s="122">
        <f>AT4+AT9</f>
        <v>297386.94999999995</v>
      </c>
      <c r="AU20" s="122">
        <f>AU4+AU9</f>
        <v>303173.36</v>
      </c>
      <c r="AV20" s="122">
        <f>AV4+AV9</f>
        <v>307570.90000000002</v>
      </c>
      <c r="AW20" s="122">
        <f>AW4+AW9</f>
        <v>300960.5</v>
      </c>
      <c r="AX20" s="122">
        <f>AX4+AX9</f>
        <v>306818.46999999997</v>
      </c>
      <c r="AY20" s="122">
        <f>AY4+AY9</f>
        <v>376665.33000000007</v>
      </c>
      <c r="AZ20" s="122">
        <f>AZ4+AZ9</f>
        <v>301453.96000000008</v>
      </c>
      <c r="BA20" s="122">
        <f>BA4+BA9</f>
        <v>314460.47000000009</v>
      </c>
      <c r="BB20" s="122">
        <f>BB4+BB9</f>
        <v>297770.37</v>
      </c>
      <c r="BC20" s="122">
        <f>BC4+BC9</f>
        <v>315519.87</v>
      </c>
      <c r="BD20" s="122">
        <f>BD4+BD9</f>
        <v>373272.73009999993</v>
      </c>
      <c r="BE20" s="122">
        <f>BE4+BE9</f>
        <v>298504.43000000005</v>
      </c>
      <c r="BF20" s="122">
        <f>BF4+BF9</f>
        <v>314168.46999999986</v>
      </c>
      <c r="BG20" s="122">
        <f>BG4+BG9</f>
        <v>302065.5</v>
      </c>
      <c r="BH20" s="112">
        <f>BH4+BH9</f>
        <v>317801.73</v>
      </c>
      <c r="BI20" s="112">
        <f>BI4+BI9</f>
        <v>317346.24</v>
      </c>
      <c r="BJ20" s="112">
        <f>BJ4+BJ9</f>
        <v>463160.37</v>
      </c>
      <c r="BK20" s="112">
        <f>BK4+BK9</f>
        <v>314399.76</v>
      </c>
      <c r="BL20" s="112">
        <f>BL4+BL9</f>
        <v>341210.03999999992</v>
      </c>
      <c r="BM20" s="112">
        <f>BM4+BM9</f>
        <v>348661.73</v>
      </c>
      <c r="BN20" s="112">
        <f>BN4+BN9</f>
        <v>384989.87689999997</v>
      </c>
      <c r="BO20" s="112">
        <f>BO4+BO9</f>
        <v>549418.853</v>
      </c>
      <c r="BP20" s="112">
        <f>BP4+BP9</f>
        <v>518665.81799999997</v>
      </c>
      <c r="XCT20" s="1"/>
      <c r="XCU20" s="1"/>
      <c r="XCV20" s="1"/>
      <c r="XCW20" s="1"/>
      <c r="XCX20" s="1"/>
      <c r="XCY20" s="1"/>
      <c r="XCZ20" s="1"/>
      <c r="XDA20" s="1"/>
      <c r="XDB20" s="1"/>
      <c r="XDC20" s="1"/>
      <c r="XDD20" s="1"/>
      <c r="XDE20" s="1"/>
      <c r="XDF20" s="1"/>
      <c r="XDG20" s="1"/>
      <c r="XDH20" s="1"/>
      <c r="XDI20" s="1"/>
      <c r="XDJ20" s="1"/>
      <c r="XDK20" s="1"/>
      <c r="XDL20" s="1"/>
      <c r="XDM20" s="1"/>
      <c r="XDN20" s="1"/>
      <c r="XDO20" s="1"/>
      <c r="XDP20" s="1"/>
      <c r="XDQ20" s="1"/>
      <c r="XDR20" s="1"/>
      <c r="XDS20" s="1"/>
      <c r="XDT20" s="1"/>
      <c r="XDU20" s="1"/>
      <c r="XDV20" s="1"/>
      <c r="XDW20" s="1"/>
      <c r="XDX20" s="1"/>
      <c r="XDY20" s="1"/>
      <c r="XDZ20" s="1"/>
      <c r="XEA20" s="1"/>
      <c r="XEB20" s="1"/>
      <c r="XEC20" s="1"/>
      <c r="XED20" s="1"/>
      <c r="XEE20" s="1"/>
      <c r="XEF20" s="1"/>
      <c r="XEG20" s="1"/>
      <c r="XEH20" s="1"/>
      <c r="XEI20" s="1"/>
      <c r="XEJ20" s="1"/>
      <c r="XEK20" s="1"/>
      <c r="XEL20" s="1"/>
      <c r="XEM20" s="1"/>
      <c r="XEN20" s="1"/>
      <c r="XEO20" s="1"/>
      <c r="XEP20" s="1"/>
      <c r="XEQ20" s="1"/>
      <c r="XER20" s="1"/>
      <c r="XES20" s="1"/>
      <c r="XET20" s="1"/>
      <c r="XEU20" s="1"/>
      <c r="XEV20" s="1"/>
      <c r="XEW20" s="1"/>
      <c r="XEX20" s="1"/>
      <c r="XEY20" s="1"/>
      <c r="XEZ20" s="1"/>
      <c r="XFA20" s="1"/>
    </row>
    <row r="21" spans="1:68 16322:16381" s="112" customFormat="1" ht="12.75" customHeight="1" outlineLevel="1" x14ac:dyDescent="0.25">
      <c r="A21" s="353"/>
      <c r="B21" s="126" t="s">
        <v>265</v>
      </c>
      <c r="C21" s="127">
        <f>C5+C10</f>
        <v>6</v>
      </c>
      <c r="D21" s="127">
        <f>D5+D10</f>
        <v>2</v>
      </c>
      <c r="E21" s="127">
        <f>E5+E10</f>
        <v>3</v>
      </c>
      <c r="F21" s="127">
        <f>F5+F10</f>
        <v>5</v>
      </c>
      <c r="G21" s="127">
        <f>G5+G10</f>
        <v>4</v>
      </c>
      <c r="H21" s="127">
        <f>H5+H10</f>
        <v>3</v>
      </c>
      <c r="I21" s="127">
        <f>I5+I10</f>
        <v>5</v>
      </c>
      <c r="J21" s="127">
        <f>J5+J10</f>
        <v>3</v>
      </c>
      <c r="K21" s="127">
        <f>K5+K10</f>
        <v>2</v>
      </c>
      <c r="L21" s="127">
        <f>L5+L10</f>
        <v>6</v>
      </c>
      <c r="M21" s="127">
        <f>M5+M10</f>
        <v>5</v>
      </c>
      <c r="N21" s="127">
        <f>N5+N10</f>
        <v>6</v>
      </c>
      <c r="O21" s="127">
        <f>O5+O10</f>
        <v>5</v>
      </c>
      <c r="P21" s="127">
        <f>P5+P10</f>
        <v>2</v>
      </c>
      <c r="Q21" s="127">
        <f>Q5+Q10</f>
        <v>3</v>
      </c>
      <c r="R21" s="127">
        <f>R5+R10</f>
        <v>2</v>
      </c>
      <c r="S21" s="127">
        <f>S5+S10</f>
        <v>6</v>
      </c>
      <c r="T21" s="127">
        <f>T5+T10</f>
        <v>8</v>
      </c>
      <c r="U21" s="127">
        <f>U5+U10</f>
        <v>6</v>
      </c>
      <c r="V21" s="127">
        <f>V5+V10</f>
        <v>6</v>
      </c>
      <c r="W21" s="127">
        <f>W5+W10</f>
        <v>6</v>
      </c>
      <c r="X21" s="127">
        <f>X5+X10</f>
        <v>6</v>
      </c>
      <c r="Y21" s="127">
        <f>Y5+Y10</f>
        <v>7</v>
      </c>
      <c r="Z21" s="127">
        <f>Z5+Z10</f>
        <v>4</v>
      </c>
      <c r="AA21" s="127">
        <f>AA5+AA10</f>
        <v>8</v>
      </c>
      <c r="AB21" s="127">
        <f>AB5+AB10</f>
        <v>4</v>
      </c>
      <c r="AC21" s="127">
        <f>AC5+AC10</f>
        <v>8</v>
      </c>
      <c r="AD21" s="127">
        <f>AD5+AD10</f>
        <v>5</v>
      </c>
      <c r="AE21" s="127">
        <f>AE5+AE10</f>
        <v>4</v>
      </c>
      <c r="AF21" s="127">
        <f>AF5+AF10</f>
        <v>13</v>
      </c>
      <c r="AG21" s="127">
        <f>AG5+AG10</f>
        <v>4</v>
      </c>
      <c r="AH21" s="127">
        <f>AH5+AH10</f>
        <v>3</v>
      </c>
      <c r="AI21" s="127">
        <f>AI5+AI10</f>
        <v>12</v>
      </c>
      <c r="AJ21" s="127">
        <f>AJ5+AJ10</f>
        <v>5</v>
      </c>
      <c r="AK21" s="127">
        <f>AK5+AK10</f>
        <v>2</v>
      </c>
      <c r="AL21" s="127">
        <f>AL5+AL10</f>
        <v>4</v>
      </c>
      <c r="AM21" s="127">
        <f>AM5+AM10</f>
        <v>3</v>
      </c>
      <c r="AN21" s="127">
        <f>AN5+AN10</f>
        <v>12</v>
      </c>
      <c r="AO21" s="127">
        <f>AO5+AO10</f>
        <v>9</v>
      </c>
      <c r="AP21" s="127">
        <f>AP5+AP10</f>
        <v>3</v>
      </c>
      <c r="AQ21" s="127">
        <f>AQ5+AQ10</f>
        <v>12</v>
      </c>
      <c r="AR21" s="127">
        <f>AR5+AR10</f>
        <v>8</v>
      </c>
      <c r="AS21" s="127">
        <f>AS5+AS10</f>
        <v>10</v>
      </c>
      <c r="AT21" s="127">
        <f>AT5+AT10</f>
        <v>5</v>
      </c>
      <c r="AU21" s="127">
        <f>AU5+AU10</f>
        <v>8</v>
      </c>
      <c r="AV21" s="127">
        <f>AV5+AV10</f>
        <v>6</v>
      </c>
      <c r="AW21" s="127">
        <f>AW5+AW10</f>
        <v>6</v>
      </c>
      <c r="AX21" s="127">
        <f>AX5+AX10</f>
        <v>3</v>
      </c>
      <c r="AY21" s="127">
        <f>AY5+AY10</f>
        <v>4</v>
      </c>
      <c r="AZ21" s="127">
        <f>AZ5+AZ10</f>
        <v>10</v>
      </c>
      <c r="BA21" s="127">
        <f>BA5+BA10</f>
        <v>11</v>
      </c>
      <c r="BB21" s="127">
        <f>BB5+BB10</f>
        <v>8</v>
      </c>
      <c r="BC21" s="127">
        <f>BC5+BC10</f>
        <v>7</v>
      </c>
      <c r="BD21" s="127">
        <f>BD5+BD10</f>
        <v>8</v>
      </c>
      <c r="BE21" s="127">
        <f>BE5+BE10</f>
        <v>10</v>
      </c>
      <c r="BF21" s="127">
        <f>BF5+BF10</f>
        <v>5</v>
      </c>
      <c r="BG21" s="127">
        <f>BG5+BG10</f>
        <v>10</v>
      </c>
      <c r="BH21" s="112">
        <f>BH5+BH10</f>
        <v>8</v>
      </c>
      <c r="BI21" s="112">
        <f>BI5+BI10</f>
        <v>8</v>
      </c>
      <c r="BJ21" s="112">
        <f>BJ5+BJ10</f>
        <v>17</v>
      </c>
      <c r="BK21" s="112">
        <f>BK5+BK10</f>
        <v>7</v>
      </c>
      <c r="BL21" s="112">
        <f>BL5+BL10</f>
        <v>11</v>
      </c>
      <c r="BM21" s="112">
        <f>BM5+BM10</f>
        <v>13</v>
      </c>
      <c r="BN21" s="112">
        <f>BN5+BN10</f>
        <v>2</v>
      </c>
      <c r="BO21" s="112">
        <f>BO5+BO10</f>
        <v>8</v>
      </c>
      <c r="BP21" s="112">
        <f>BP5+BP10</f>
        <v>6</v>
      </c>
      <c r="XCT21" s="1"/>
      <c r="XCU21" s="1"/>
      <c r="XCV21" s="1"/>
      <c r="XCW21" s="1"/>
      <c r="XCX21" s="1"/>
      <c r="XCY21" s="1"/>
      <c r="XCZ21" s="1"/>
      <c r="XDA21" s="1"/>
      <c r="XDB21" s="1"/>
      <c r="XDC21" s="1"/>
      <c r="XDD21" s="1"/>
      <c r="XDE21" s="1"/>
      <c r="XDF21" s="1"/>
      <c r="XDG21" s="1"/>
      <c r="XDH21" s="1"/>
      <c r="XDI21" s="1"/>
      <c r="XDJ21" s="1"/>
      <c r="XDK21" s="1"/>
      <c r="XDL21" s="1"/>
      <c r="XDM21" s="1"/>
      <c r="XDN21" s="1"/>
      <c r="XDO21" s="1"/>
      <c r="XDP21" s="1"/>
      <c r="XDQ21" s="1"/>
      <c r="XDR21" s="1"/>
      <c r="XDS21" s="1"/>
      <c r="XDT21" s="1"/>
      <c r="XDU21" s="1"/>
      <c r="XDV21" s="1"/>
      <c r="XDW21" s="1"/>
      <c r="XDX21" s="1"/>
      <c r="XDY21" s="1"/>
      <c r="XDZ21" s="1"/>
      <c r="XEA21" s="1"/>
      <c r="XEB21" s="1"/>
      <c r="XEC21" s="1"/>
      <c r="XED21" s="1"/>
      <c r="XEE21" s="1"/>
      <c r="XEF21" s="1"/>
      <c r="XEG21" s="1"/>
      <c r="XEH21" s="1"/>
      <c r="XEI21" s="1"/>
      <c r="XEJ21" s="1"/>
      <c r="XEK21" s="1"/>
      <c r="XEL21" s="1"/>
      <c r="XEM21" s="1"/>
      <c r="XEN21" s="1"/>
      <c r="XEO21" s="1"/>
      <c r="XEP21" s="1"/>
      <c r="XEQ21" s="1"/>
      <c r="XER21" s="1"/>
      <c r="XES21" s="1"/>
      <c r="XET21" s="1"/>
      <c r="XEU21" s="1"/>
      <c r="XEV21" s="1"/>
      <c r="XEW21" s="1"/>
      <c r="XEX21" s="1"/>
      <c r="XEY21" s="1"/>
      <c r="XEZ21" s="1"/>
      <c r="XFA21" s="1"/>
    </row>
    <row r="22" spans="1:68 16322:16381" s="112" customFormat="1" outlineLevel="1" x14ac:dyDescent="0.25">
      <c r="A22" s="353"/>
      <c r="B22" s="126" t="s">
        <v>269</v>
      </c>
      <c r="C22" s="122">
        <f>C21/C20*200000</f>
        <v>7.6632727308953656</v>
      </c>
      <c r="D22" s="122">
        <f>D21/D20*200000</f>
        <v>2.4671180958239773</v>
      </c>
      <c r="E22" s="122">
        <f>E21/E20*200000</f>
        <v>2.5926142297187571</v>
      </c>
      <c r="F22" s="122">
        <f>F21/F20*200000</f>
        <v>6.4430511274791824</v>
      </c>
      <c r="G22" s="122">
        <f>G21/G20*200000</f>
        <v>5.1486860070620661</v>
      </c>
      <c r="H22" s="122">
        <f>H21/H20*200000</f>
        <v>4.7222483694863424</v>
      </c>
      <c r="I22" s="122">
        <f>I21/I20*200000</f>
        <v>6.4621215636214604</v>
      </c>
      <c r="J22" s="122">
        <f>J21/J20*200000</f>
        <v>4.0206101838839476</v>
      </c>
      <c r="K22" s="122">
        <f>K21/K20*200000</f>
        <v>1.7591183017612646</v>
      </c>
      <c r="L22" s="122">
        <f>L21/L20*200000</f>
        <v>8.0925649155210397</v>
      </c>
      <c r="M22" s="122">
        <f>M21/M20*200000</f>
        <v>6.5449013941883498</v>
      </c>
      <c r="N22" s="122">
        <f>N21/N20*200000</f>
        <v>7.8549494560185673</v>
      </c>
      <c r="O22" s="122">
        <f>O21/O20*200000</f>
        <v>6.6547936275293367</v>
      </c>
      <c r="P22" s="122">
        <f>P21/P20*200000</f>
        <v>1.7163033023735101</v>
      </c>
      <c r="Q22" s="122">
        <f>Q21/Q20*200000</f>
        <v>3.8201754288226506</v>
      </c>
      <c r="R22" s="122">
        <f>R21/R20*200000</f>
        <v>2.4396090038649505</v>
      </c>
      <c r="S22" s="122">
        <f>S21/S20*200000</f>
        <v>7.2389726015745488</v>
      </c>
      <c r="T22" s="122">
        <f>T21/T20*200000</f>
        <v>11.672468491447983</v>
      </c>
      <c r="U22" s="122">
        <f>U21/U20*200000</f>
        <v>7.2638275431749797</v>
      </c>
      <c r="V22" s="122">
        <f>V21/V20*200000</f>
        <v>4.955680523134852</v>
      </c>
      <c r="W22" s="122">
        <f>W21/W20*200000</f>
        <v>7.5879126069753404</v>
      </c>
      <c r="X22" s="122">
        <f>X21/X20*200000</f>
        <v>7.0805512421558561</v>
      </c>
      <c r="Y22" s="122">
        <f>Y21/Y20*200000</f>
        <v>8.6335820812223965</v>
      </c>
      <c r="Z22" s="122">
        <f>Z21/Z20*200000</f>
        <v>5.037267911816329</v>
      </c>
      <c r="AA22" s="122">
        <f>AA21/AA20*200000</f>
        <v>6.7202073990407492</v>
      </c>
      <c r="AB22" s="122">
        <f>AB21/AB20*200000</f>
        <v>5.1022907244436455</v>
      </c>
      <c r="AC22" s="122">
        <f>AC21/AC20*200000</f>
        <v>9.9972794903186966</v>
      </c>
      <c r="AD22" s="122">
        <f>AD21/AD20*200000</f>
        <v>6.0517990425085628</v>
      </c>
      <c r="AE22" s="122">
        <f>AE21/AE20*200000</f>
        <v>4.7858499645607804</v>
      </c>
      <c r="AF22" s="122">
        <f>AF21/AF20*200000</f>
        <v>19.368227778105958</v>
      </c>
      <c r="AG22" s="122">
        <f>AG21/AG20*200000</f>
        <v>4.8615131143570096</v>
      </c>
      <c r="AH22" s="122">
        <f>AH21/AH20*200000</f>
        <v>2.5099184657169609</v>
      </c>
      <c r="AI22" s="122">
        <f>AI21/AI20*200000</f>
        <v>11.955478991782503</v>
      </c>
      <c r="AJ22" s="122">
        <f>AJ21/AJ20*200000</f>
        <v>4.7372464915834049</v>
      </c>
      <c r="AK22" s="122">
        <f>AK21/AK20*200000</f>
        <v>2.0018025230819094</v>
      </c>
      <c r="AL22" s="122">
        <f>AL21/AL20*200000</f>
        <v>3.9826489922678374</v>
      </c>
      <c r="AM22" s="122">
        <f>AM21/AM20*200000</f>
        <v>2.1801081842351291</v>
      </c>
      <c r="AN22" s="122">
        <f>AN21/AN20*200000</f>
        <v>12.11228634494651</v>
      </c>
      <c r="AO22" s="122">
        <f>AO21/AO20*200000</f>
        <v>8.4520668731287465</v>
      </c>
      <c r="AP22" s="122">
        <f>AP21/AP20*200000</f>
        <v>2.9788340436445857</v>
      </c>
      <c r="AQ22" s="122">
        <f>AQ21/AQ20*200000</f>
        <v>11.461821079922276</v>
      </c>
      <c r="AR22" s="122">
        <f>AR21/AR20*200000</f>
        <v>4.3407460706142258</v>
      </c>
      <c r="AS22" s="122">
        <f>AS21/AS20*200000</f>
        <v>6.9683774335228996</v>
      </c>
      <c r="AT22" s="122">
        <f>AT21/AT20*200000</f>
        <v>3.3626223343021615</v>
      </c>
      <c r="AU22" s="122">
        <f>AU21/AU20*200000</f>
        <v>5.277508551542919</v>
      </c>
      <c r="AV22" s="122">
        <f>AV21/AV20*200000</f>
        <v>3.901539449928455</v>
      </c>
      <c r="AW22" s="122">
        <f>AW21/AW20*200000</f>
        <v>3.9872342051531677</v>
      </c>
      <c r="AX22" s="122">
        <f>AX21/AX20*200000</f>
        <v>1.9555537187836183</v>
      </c>
      <c r="AY22" s="122">
        <f>AY21/AY20*200000</f>
        <v>2.1239013423401611</v>
      </c>
      <c r="AZ22" s="122">
        <f>AZ21/AZ20*200000</f>
        <v>6.6345122817427891</v>
      </c>
      <c r="BA22" s="122">
        <f>BA21/BA20*200000</f>
        <v>6.9961098767040557</v>
      </c>
      <c r="BB22" s="122">
        <f>BB21/BB20*200000</f>
        <v>5.3732679984244243</v>
      </c>
      <c r="BC22" s="122">
        <f>BC21/BC20*200000</f>
        <v>4.4371215036314515</v>
      </c>
      <c r="BD22" s="122">
        <f>BD21/BD20*200000</f>
        <v>4.2864100990483802</v>
      </c>
      <c r="BE22" s="122">
        <f>BE21/BE20*200000</f>
        <v>6.7000680693415493</v>
      </c>
      <c r="BF22" s="122">
        <f>BF21/BF20*200000</f>
        <v>3.1830056020580311</v>
      </c>
      <c r="BG22" s="122">
        <f>BG21/BG20*200000</f>
        <v>6.6210805272366429</v>
      </c>
      <c r="BH22" s="112">
        <f>BH21/BH20*200000</f>
        <v>5.0345855574795015</v>
      </c>
      <c r="BI22" s="112">
        <f>BI21/BI20*200000</f>
        <v>5.0418117447996229</v>
      </c>
      <c r="BJ22" s="112">
        <f>BJ21/BJ20*200000</f>
        <v>7.3408698589648331</v>
      </c>
      <c r="BK22" s="112">
        <f>BK21/BK20*200000</f>
        <v>4.4529296078343066</v>
      </c>
      <c r="BL22" s="112">
        <f>BL21/BL20*200000</f>
        <v>6.4476414586159319</v>
      </c>
      <c r="BM22" s="112">
        <f>BM21/BM20*200000</f>
        <v>7.4570845501168144</v>
      </c>
      <c r="BN22" s="112">
        <f>BN21/BN20*200000</f>
        <v>1.0389883578780408</v>
      </c>
      <c r="BO22" s="112">
        <f>BO21/BO20*200000</f>
        <v>2.9121679958077449</v>
      </c>
      <c r="BP22" s="112">
        <f>BP21/BP20*200000</f>
        <v>2.3136284643303795</v>
      </c>
      <c r="XCT22" s="1"/>
      <c r="XCU22" s="1"/>
      <c r="XCV22" s="1"/>
      <c r="XCW22" s="1"/>
      <c r="XCX22" s="1"/>
      <c r="XCY22" s="1"/>
      <c r="XCZ22" s="1"/>
      <c r="XDA22" s="1"/>
      <c r="XDB22" s="1"/>
      <c r="XDC22" s="1"/>
      <c r="XDD22" s="1"/>
      <c r="XDE22" s="1"/>
      <c r="XDF22" s="1"/>
      <c r="XDG22" s="1"/>
      <c r="XDH22" s="1"/>
      <c r="XDI22" s="1"/>
      <c r="XDJ22" s="1"/>
      <c r="XDK22" s="1"/>
      <c r="XDL22" s="1"/>
      <c r="XDM22" s="1"/>
      <c r="XDN22" s="1"/>
      <c r="XDO22" s="1"/>
      <c r="XDP22" s="1"/>
      <c r="XDQ22" s="1"/>
      <c r="XDR22" s="1"/>
      <c r="XDS22" s="1"/>
      <c r="XDT22" s="1"/>
      <c r="XDU22" s="1"/>
      <c r="XDV22" s="1"/>
      <c r="XDW22" s="1"/>
      <c r="XDX22" s="1"/>
      <c r="XDY22" s="1"/>
      <c r="XDZ22" s="1"/>
      <c r="XEA22" s="1"/>
      <c r="XEB22" s="1"/>
      <c r="XEC22" s="1"/>
      <c r="XED22" s="1"/>
      <c r="XEE22" s="1"/>
      <c r="XEF22" s="1"/>
      <c r="XEG22" s="1"/>
      <c r="XEH22" s="1"/>
      <c r="XEI22" s="1"/>
      <c r="XEJ22" s="1"/>
      <c r="XEK22" s="1"/>
      <c r="XEL22" s="1"/>
      <c r="XEM22" s="1"/>
      <c r="XEN22" s="1"/>
      <c r="XEO22" s="1"/>
      <c r="XEP22" s="1"/>
      <c r="XEQ22" s="1"/>
      <c r="XER22" s="1"/>
      <c r="XES22" s="1"/>
      <c r="XET22" s="1"/>
      <c r="XEU22" s="1"/>
      <c r="XEV22" s="1"/>
      <c r="XEW22" s="1"/>
      <c r="XEX22" s="1"/>
      <c r="XEY22" s="1"/>
      <c r="XEZ22" s="1"/>
      <c r="XFA22" s="1"/>
    </row>
    <row r="23" spans="1:68 16322:16381" s="112" customFormat="1" ht="15.75" outlineLevel="1" thickBot="1" x14ac:dyDescent="0.3">
      <c r="A23" s="354"/>
      <c r="B23" s="116" t="s">
        <v>267</v>
      </c>
      <c r="C23" s="116"/>
      <c r="D23" s="116"/>
      <c r="E23" s="116"/>
      <c r="F23" s="116"/>
      <c r="G23" s="116"/>
      <c r="H23" s="116"/>
      <c r="I23" s="116"/>
      <c r="J23" s="116"/>
      <c r="K23" s="116"/>
      <c r="L23" s="116">
        <f>SUM(C21:L21)/SUM(C20:L20)*200000</f>
        <v>4.6778192474450337</v>
      </c>
      <c r="M23" s="116">
        <f>SUM(C21:M21)/SUM(C20:M20)*200000</f>
        <v>4.8345423479924028</v>
      </c>
      <c r="N23" s="116">
        <f>SUM(C21:N21)/SUM(C20:N20)*200000</f>
        <v>5.0684127767671425</v>
      </c>
      <c r="O23" s="116">
        <f>SUM(D21:O21)/SUM(D20:O20)*200000</f>
        <v>4.9830149866413</v>
      </c>
      <c r="P23" s="116">
        <f>SUM(E21:P21)/SUM(E20:P20)*200000</f>
        <v>4.8095625017296637</v>
      </c>
      <c r="Q23" s="116">
        <f>SUM(F21:Q21)/SUM(F20:Q20)*200000</f>
        <v>4.9917443170697311</v>
      </c>
      <c r="R23" s="116">
        <f>SUM(G21:R21)/SUM(G20:R20)*200000</f>
        <v>4.6653231313602204</v>
      </c>
      <c r="S23" s="116">
        <f>SUM(H21:S21)/SUM(H20:S20)*200000</f>
        <v>4.8426486253254053</v>
      </c>
      <c r="T23" s="116">
        <f>SUM(I21:T21)/SUM(I20:T20)*200000</f>
        <v>5.3202093205238956</v>
      </c>
      <c r="U23" s="116">
        <f>SUM(J21:U21)/SUM(J20:U20)*200000</f>
        <v>5.3922970228184504</v>
      </c>
      <c r="V23" s="116">
        <f>SUM(K21:V21)/SUM(K20:V20)*200000</f>
        <v>5.43952219695087</v>
      </c>
      <c r="W23" s="116">
        <f>SUM(L21:W21)/SUM(L20:W20)*200000</f>
        <v>6.0201370723036183</v>
      </c>
      <c r="X23" s="116">
        <f>SUM(M21:X21)/SUM(M20:X20)*200000</f>
        <v>5.9578283422684475</v>
      </c>
      <c r="Y23" s="116">
        <f>SUM(N21:Y21)/SUM(N20:Y20)*200000</f>
        <v>6.1251490452934343</v>
      </c>
      <c r="Z23" s="116">
        <f>SUM(O21:Z21)/SUM(O20:Z20)*200000</f>
        <v>5.9133190886646609</v>
      </c>
      <c r="AA23" s="116">
        <f>SUM(P21:AA21)/SUM(P20:AA20)*200000</f>
        <v>5.9508329166975438</v>
      </c>
      <c r="AB23" s="116">
        <f>SUM(Q21:AB21)/SUM(Q20:AB20)*200000</f>
        <v>6.3623880911364656</v>
      </c>
      <c r="AC23" s="116">
        <f>SUM(R21:AC21)/SUM(R20:AC20)*200000</f>
        <v>6.8345614550939198</v>
      </c>
      <c r="AD23" s="116">
        <f>SUM(S21:AD21)/SUM(S20:AD20)*200000</f>
        <v>7.1189619279792034</v>
      </c>
      <c r="AE23" s="116">
        <f>SUM(T21:AE21)/SUM(T20:AE20)*200000</f>
        <v>6.921929313786606</v>
      </c>
      <c r="AF23" s="116">
        <f>SUM(U21:AF21)/SUM(U20:AF20)*200000</f>
        <v>7.4127177871527907</v>
      </c>
      <c r="AG23" s="116">
        <f>SUM(V21:AG21)/SUM(V20:AG20)*200000</f>
        <v>7.2224196965515777</v>
      </c>
      <c r="AH23" s="116">
        <f>SUM(W21:AH21)/SUM(W20:AH20)*200000</f>
        <v>6.9438700749444173</v>
      </c>
      <c r="AI23" s="116">
        <f>SUM(X21:AI21)/SUM(X20:AI20)*200000</f>
        <v>7.3711117173062988</v>
      </c>
      <c r="AJ23" s="116">
        <f>SUM(Y21:AJ21)/SUM(Y20:AJ20)*200000</f>
        <v>7.1362875215803179</v>
      </c>
      <c r="AK23" s="116">
        <f>SUM(Z21:AK21)/SUM(Z20:AK20)*200000</f>
        <v>6.5584306389621183</v>
      </c>
      <c r="AL23" s="116">
        <f>SUM(AA21:AL21)/SUM(AA20:AL20)*200000</f>
        <v>6.4351723640807794</v>
      </c>
      <c r="AM23" s="116">
        <f>SUM(AB21:AM21)/SUM(AB20:AM20)*200000</f>
        <v>5.890549778242562</v>
      </c>
      <c r="AN23" s="116">
        <f>SUM(AC21:AN21)/SUM(AC20:AN20)*200000</f>
        <v>6.4761702623155486</v>
      </c>
      <c r="AO23" s="116">
        <f>SUM(AD21:AO21)/SUM(AD20:AO20)*200000</f>
        <v>6.4159227805197832</v>
      </c>
      <c r="AP23" s="116">
        <f>SUM(AE21:AP21)/SUM(AE20:AP20)*200000</f>
        <v>6.1531124111815378</v>
      </c>
      <c r="AQ23" s="116">
        <f>SUM(AF21:AQ21)/SUM(AF20:AQ20)*200000</f>
        <v>6.7006652976172418</v>
      </c>
      <c r="AR23" s="116">
        <f>SUM(AG21:AR21)/SUM(AG20:AR20)*200000</f>
        <v>5.7422449713893027</v>
      </c>
      <c r="AS23" s="116">
        <f>SUM(AH21:AS21)/SUM(AH20:AS20)*200000</f>
        <v>5.919415445885889</v>
      </c>
      <c r="AT23" s="116">
        <f>SUM(AI21:AT21)/SUM(AI20:AT20)*200000</f>
        <v>5.9385195826805264</v>
      </c>
      <c r="AU23" s="116">
        <f>SUM(AJ21:AU21)/SUM(AJ20:AU20)*200000</f>
        <v>5.4635688051670792</v>
      </c>
      <c r="AV23" s="116">
        <f>SUM(AK21:AV21)/SUM(AK20:AV20)*200000</f>
        <v>5.3567239956224988</v>
      </c>
      <c r="AW23" s="116">
        <f>SUM(AL21:AW21)/SUM(AL20:AW20)*200000</f>
        <v>5.4383683781897023</v>
      </c>
      <c r="AX23" s="116">
        <f>SUM(AM21:AX21)/SUM(AM20:AX20)*200000</f>
        <v>5.2009073172495102</v>
      </c>
      <c r="AY23" s="116">
        <f>SUM(AN21:AY21)/SUM(AN20:AY20)*200000</f>
        <v>5.1036908714379168</v>
      </c>
      <c r="AZ23" s="116">
        <f>SUM(AO21:AZ21)/SUM(AO20:AZ20)*200000</f>
        <v>4.8367341389927452</v>
      </c>
      <c r="BA23" s="116">
        <f>SUM(AP21:BA21)/SUM(AP20:BA20)*200000</f>
        <v>4.8113059917238319</v>
      </c>
      <c r="BB23" s="116">
        <f>SUM(AQ21:BB21)/SUM(AQ20:BB20)*200000</f>
        <v>4.9574230765718035</v>
      </c>
      <c r="BC23" s="116">
        <f>SUM(AR21:BC21)/SUM(AR20:BC20)*200000</f>
        <v>4.5534070395625186</v>
      </c>
      <c r="BD23" s="116">
        <f>SUM(AS21:BD21)/SUM(AS20:BD20)*200000</f>
        <v>4.547781593736909</v>
      </c>
      <c r="BE23" s="116">
        <f>SUM(AT21:BE21)/SUM(AT20:BE20)*200000</f>
        <v>4.534002904921584</v>
      </c>
      <c r="BF23" s="116">
        <f>SUM(AU21:BF21)/SUM(AU20:BF20)*200000</f>
        <v>4.514034218874853</v>
      </c>
      <c r="BG23" s="116">
        <f>SUM(AV21:BG21)/SUM(AV20:BG20)*200000</f>
        <v>4.6203551319250433</v>
      </c>
      <c r="BH23" s="112">
        <f>SUM(AW21:BH21)/SUM(AW20:BH20)*200000</f>
        <v>4.7127058210524719</v>
      </c>
      <c r="BI23" s="112">
        <f>SUM(AX21:BI21)/SUM(AX20:BI20)*200000</f>
        <v>4.7968538018627038</v>
      </c>
      <c r="BJ23" s="112">
        <f>SUM(AY21:BJ21)/SUM(AY20:BJ20)*200000</f>
        <v>5.3103691993528956</v>
      </c>
      <c r="BK23" s="112">
        <f>SUM(AZ21:BK21)/SUM(AZ20:BK20)*200000</f>
        <v>5.5471812060903467</v>
      </c>
      <c r="BL23" s="112">
        <f>SUM(BA21:BL21)/SUM(BA20:BL20)*200000</f>
        <v>5.542008451634886</v>
      </c>
      <c r="BM23" s="112">
        <f>SUM(BB21:BM21)/SUM(BB20:BM20)*200000</f>
        <v>5.5945715311577384</v>
      </c>
      <c r="BN23" s="112">
        <f>SUM(BC21:BN21)/SUM(BC20:BN20)*200000</f>
        <v>5.1819794502850955</v>
      </c>
      <c r="BO23" s="112">
        <f>SUM(BD21:BO21)/SUM(BD20:BO20)*200000</f>
        <v>4.9479771875037786</v>
      </c>
      <c r="BP23" s="112">
        <f>SUM(BE21:BP21)/SUM(BE20:BP20)*200000</f>
        <v>4.6975737603893402</v>
      </c>
      <c r="XCT23" s="1"/>
      <c r="XCU23" s="1"/>
      <c r="XCV23" s="1"/>
      <c r="XCW23" s="1"/>
      <c r="XCX23" s="1"/>
      <c r="XCY23" s="1"/>
      <c r="XCZ23" s="1"/>
      <c r="XDA23" s="1"/>
      <c r="XDB23" s="1"/>
      <c r="XDC23" s="1"/>
      <c r="XDD23" s="1"/>
      <c r="XDE23" s="1"/>
      <c r="XDF23" s="1"/>
      <c r="XDG23" s="1"/>
      <c r="XDH23" s="1"/>
      <c r="XDI23" s="1"/>
      <c r="XDJ23" s="1"/>
      <c r="XDK23" s="1"/>
      <c r="XDL23" s="1"/>
      <c r="XDM23" s="1"/>
      <c r="XDN23" s="1"/>
      <c r="XDO23" s="1"/>
      <c r="XDP23" s="1"/>
      <c r="XDQ23" s="1"/>
      <c r="XDR23" s="1"/>
      <c r="XDS23" s="1"/>
      <c r="XDT23" s="1"/>
      <c r="XDU23" s="1"/>
      <c r="XDV23" s="1"/>
      <c r="XDW23" s="1"/>
      <c r="XDX23" s="1"/>
      <c r="XDY23" s="1"/>
      <c r="XDZ23" s="1"/>
      <c r="XEA23" s="1"/>
      <c r="XEB23" s="1"/>
      <c r="XEC23" s="1"/>
      <c r="XED23" s="1"/>
      <c r="XEE23" s="1"/>
      <c r="XEF23" s="1"/>
      <c r="XEG23" s="1"/>
      <c r="XEH23" s="1"/>
      <c r="XEI23" s="1"/>
      <c r="XEJ23" s="1"/>
      <c r="XEK23" s="1"/>
      <c r="XEL23" s="1"/>
      <c r="XEM23" s="1"/>
      <c r="XEN23" s="1"/>
      <c r="XEO23" s="1"/>
      <c r="XEP23" s="1"/>
      <c r="XEQ23" s="1"/>
      <c r="XER23" s="1"/>
      <c r="XES23" s="1"/>
      <c r="XET23" s="1"/>
      <c r="XEU23" s="1"/>
      <c r="XEV23" s="1"/>
      <c r="XEW23" s="1"/>
      <c r="XEX23" s="1"/>
      <c r="XEY23" s="1"/>
      <c r="XEZ23" s="1"/>
      <c r="XFA23" s="1"/>
    </row>
    <row r="24" spans="1:68 16322:16381" ht="13.5" customHeight="1" thickTop="1" x14ac:dyDescent="0.25">
      <c r="A24" s="355" t="s">
        <v>272</v>
      </c>
      <c r="B24" s="128" t="s">
        <v>263</v>
      </c>
      <c r="C24" s="128"/>
      <c r="D24" s="128"/>
      <c r="E24" s="128"/>
      <c r="F24" s="128"/>
      <c r="G24" s="114"/>
      <c r="H24" s="114"/>
      <c r="I24" s="114"/>
      <c r="J24" s="114"/>
      <c r="K24" s="114"/>
      <c r="L24" s="114"/>
      <c r="M24" s="114"/>
      <c r="N24" s="114"/>
      <c r="O24" s="114"/>
      <c r="P24" s="114"/>
      <c r="Q24" s="114"/>
      <c r="R24" s="114"/>
      <c r="S24" s="114"/>
      <c r="T24" s="114"/>
      <c r="U24" s="114"/>
      <c r="V24" s="114"/>
      <c r="W24" s="114"/>
      <c r="X24" s="114"/>
      <c r="Y24" s="114"/>
      <c r="Z24" s="114"/>
      <c r="AA24" s="114"/>
      <c r="AB24" s="114"/>
      <c r="AC24" s="114"/>
      <c r="AD24" s="114"/>
      <c r="AE24" s="114"/>
      <c r="AF24" s="114"/>
      <c r="AG24" s="114"/>
      <c r="AH24" s="114"/>
      <c r="AI24" s="114"/>
      <c r="AJ24" s="114"/>
      <c r="AK24" s="114"/>
      <c r="AL24" s="114"/>
      <c r="AM24" s="114"/>
      <c r="AN24" s="114"/>
      <c r="AO24" s="114"/>
      <c r="AP24" s="114"/>
      <c r="AQ24" s="114"/>
      <c r="AR24" s="114"/>
      <c r="AS24" s="114"/>
      <c r="AT24" s="114"/>
      <c r="AU24" s="114"/>
      <c r="AV24" s="114"/>
      <c r="AW24" s="114"/>
      <c r="AX24" s="114"/>
      <c r="AY24" s="114"/>
      <c r="AZ24" s="114"/>
      <c r="BA24" s="114"/>
      <c r="BB24" s="114"/>
      <c r="BC24" s="114"/>
      <c r="BD24" s="114"/>
      <c r="BE24" s="114"/>
      <c r="BF24" s="114"/>
      <c r="BG24" s="114"/>
      <c r="BH24" s="114"/>
      <c r="BI24" s="114"/>
      <c r="BJ24" s="114"/>
      <c r="BK24" s="114"/>
      <c r="BL24" s="114"/>
      <c r="BM24" s="114"/>
      <c r="BN24" s="114"/>
      <c r="BO24" s="114"/>
      <c r="BP24" s="115"/>
    </row>
    <row r="25" spans="1:68 16322:16381" x14ac:dyDescent="0.25">
      <c r="A25" s="356"/>
      <c r="B25" s="129" t="s">
        <v>273</v>
      </c>
      <c r="C25" s="129">
        <v>52456.800000000003</v>
      </c>
      <c r="D25" s="129">
        <v>55657.8</v>
      </c>
      <c r="E25" s="129">
        <v>78785</v>
      </c>
      <c r="F25" s="8">
        <v>56585.55</v>
      </c>
      <c r="G25" s="8">
        <v>56521.55</v>
      </c>
      <c r="H25" s="8">
        <v>45548.55</v>
      </c>
      <c r="I25" s="8">
        <v>54568.35</v>
      </c>
      <c r="J25" s="8">
        <v>52676.3</v>
      </c>
      <c r="K25" s="8">
        <v>80748</v>
      </c>
      <c r="L25" s="8">
        <v>50931.95</v>
      </c>
      <c r="M25" s="8">
        <v>53122.79</v>
      </c>
      <c r="N25" s="8">
        <v>53009.599999999999</v>
      </c>
      <c r="O25" s="8">
        <v>51727.149999999994</v>
      </c>
      <c r="P25" s="8">
        <v>79970.73</v>
      </c>
      <c r="Q25" s="8">
        <v>53140.6</v>
      </c>
      <c r="R25" s="8">
        <v>56407.37</v>
      </c>
      <c r="S25" s="8">
        <v>57092.470000000008</v>
      </c>
      <c r="T25" s="8">
        <v>46068.87</v>
      </c>
      <c r="U25" s="8">
        <v>55901.53</v>
      </c>
      <c r="V25" s="8">
        <v>80507.27</v>
      </c>
      <c r="W25" s="1">
        <v>53808.28</v>
      </c>
      <c r="X25" s="1">
        <v>56206.17</v>
      </c>
      <c r="Y25" s="1">
        <v>53724.800000000003</v>
      </c>
      <c r="Z25" s="1">
        <v>52993.75</v>
      </c>
      <c r="AA25" s="1">
        <v>79414.850000000006</v>
      </c>
      <c r="AB25" s="1">
        <v>52975.56</v>
      </c>
      <c r="AC25" s="1">
        <v>54373.100000000006</v>
      </c>
      <c r="AD25" s="1">
        <v>57289.15</v>
      </c>
      <c r="AE25" s="1">
        <v>56402.170000000006</v>
      </c>
      <c r="AF25" s="1">
        <v>44673.65</v>
      </c>
      <c r="AG25" s="1">
        <v>55108.619999999995</v>
      </c>
      <c r="AH25" s="1">
        <v>78975.199999999997</v>
      </c>
      <c r="AI25" s="1">
        <v>52241.25</v>
      </c>
      <c r="AJ25" s="1">
        <v>55415.65</v>
      </c>
      <c r="AK25" s="1">
        <v>52114</v>
      </c>
      <c r="AL25" s="1">
        <v>50468</v>
      </c>
      <c r="AM25" s="1">
        <v>76802.44</v>
      </c>
      <c r="AN25" s="1">
        <v>50473.15</v>
      </c>
      <c r="AO25" s="1">
        <v>53206.570000000007</v>
      </c>
      <c r="AP25" s="1">
        <v>50785.65</v>
      </c>
      <c r="AQ25" s="1">
        <v>53266.6</v>
      </c>
      <c r="AR25" s="1">
        <f>IF(AR90=0,AR95,SUM(AR90,AR95))</f>
        <v>143152.5</v>
      </c>
      <c r="AS25" s="1">
        <f>IF(AS90=0,AS95,SUM(AS90,AS95))</f>
        <v>118818.44</v>
      </c>
      <c r="AT25" s="1">
        <f>IF(AT90=0,AT95,SUM(AT90,AT95))</f>
        <v>121966.19</v>
      </c>
      <c r="AU25" s="1">
        <f>IF(AU90=0,AU95,SUM(AU90,AU95))</f>
        <v>126740.65</v>
      </c>
      <c r="AV25" s="1">
        <f>IF(AV90=0,AV95,SUM(AV90,AV95))</f>
        <v>122387.38</v>
      </c>
      <c r="AW25" s="1">
        <f>IF(AW90=0,AW95,SUM(AW90,AW95))</f>
        <v>117290.04999999996</v>
      </c>
      <c r="AX25" s="1">
        <f>IF(AX90=0,AX95,SUM(AX90,AX95))</f>
        <v>126440.17000000001</v>
      </c>
      <c r="AY25" s="1">
        <f>IF(AY90=0,AY95,SUM(AY90,AY95))</f>
        <v>147802.03000000003</v>
      </c>
      <c r="AZ25" s="1">
        <f>IF(AZ90=0,AZ95,SUM(AZ90,AZ95))</f>
        <v>121922.30999999998</v>
      </c>
      <c r="BA25" s="1">
        <f>IF(BA90=0,BA95,SUM(BA90,BA95))</f>
        <v>127762.16000000002</v>
      </c>
      <c r="BB25" s="1">
        <f>IF(BB90=0,BB95,SUM(BB90,BB95))</f>
        <v>118375.37000000005</v>
      </c>
      <c r="BC25" s="1">
        <f>IF(BC90=0,BC95,SUM(BC90,BC95))</f>
        <v>125445.26000000008</v>
      </c>
      <c r="BD25" s="1">
        <f>IF(BD90=0,BD95,SUM(BD90,BD95))</f>
        <v>140438.45999999996</v>
      </c>
      <c r="BE25" s="1">
        <f>IF(BE90=0,BE95,SUM(BE90,BE95))</f>
        <v>116352.55000000003</v>
      </c>
      <c r="BF25" s="1">
        <f>IF(BF90=0,BF95,SUM(BF90,BF95))</f>
        <v>119604.61999999997</v>
      </c>
      <c r="BG25" s="1">
        <f>IF(BG90=0,BG95,SUM(BG90,BG95))</f>
        <v>117416.16999999995</v>
      </c>
      <c r="BH25" s="1">
        <f>IF(BH90=0,BH95,SUM(BH90,BH95))</f>
        <v>119516.38</v>
      </c>
      <c r="BI25" s="1">
        <f>IF(BI90=0,BI95,SUM(BI90,BI95))</f>
        <v>116862.98000000001</v>
      </c>
      <c r="BJ25" s="1">
        <f>IF(BJ90=0,BJ95,SUM(BJ90,BJ95))</f>
        <v>164795.45000000001</v>
      </c>
      <c r="BK25" s="1">
        <f>IF(BK90=0,BK95,SUM(BK90,BK95))</f>
        <v>115132.61</v>
      </c>
      <c r="BL25" s="1">
        <f>IF(BL90=0,BL95,SUM(BL90,BL95))</f>
        <v>116878.05999999998</v>
      </c>
      <c r="BM25" s="1">
        <f>IF(BM90=0,BM95,SUM(BM90,BM95))</f>
        <v>122505.98</v>
      </c>
      <c r="BN25" s="1">
        <f>IF(BN90=0,BN95,SUM(BN90,BN95))</f>
        <v>130655.52476</v>
      </c>
      <c r="BO25" s="1">
        <f>IF(BO90=0,BO95,SUM(BO90,BO95))</f>
        <v>208168.51699999999</v>
      </c>
      <c r="BP25" s="1">
        <f>IF(BP90=0,BP95,SUM(BP90,BP95))</f>
        <v>159819.31599999999</v>
      </c>
    </row>
    <row r="26" spans="1:68 16322:16381" x14ac:dyDescent="0.25">
      <c r="A26" s="356"/>
      <c r="B26" s="129" t="s">
        <v>274</v>
      </c>
      <c r="C26" s="130">
        <v>1</v>
      </c>
      <c r="D26" s="130">
        <v>2</v>
      </c>
      <c r="E26" s="130">
        <v>1</v>
      </c>
      <c r="F26" s="8">
        <v>1</v>
      </c>
      <c r="G26" s="8">
        <v>0</v>
      </c>
      <c r="H26" s="8">
        <v>0</v>
      </c>
      <c r="I26" s="8">
        <v>0</v>
      </c>
      <c r="J26" s="8">
        <v>4</v>
      </c>
      <c r="K26" s="8">
        <v>0</v>
      </c>
      <c r="L26" s="8">
        <v>1</v>
      </c>
      <c r="M26" s="8">
        <v>0</v>
      </c>
      <c r="N26" s="8">
        <v>1</v>
      </c>
      <c r="O26" s="8">
        <v>1</v>
      </c>
      <c r="P26" s="8">
        <v>2</v>
      </c>
      <c r="Q26" s="8">
        <v>1</v>
      </c>
      <c r="R26" s="8">
        <v>0</v>
      </c>
      <c r="S26" s="8">
        <v>0</v>
      </c>
      <c r="T26" s="8">
        <v>1</v>
      </c>
      <c r="U26" s="8">
        <v>1</v>
      </c>
      <c r="V26" s="8">
        <v>1</v>
      </c>
      <c r="W26" s="7">
        <v>1</v>
      </c>
      <c r="X26" s="7">
        <v>0</v>
      </c>
      <c r="Y26" s="7">
        <v>1</v>
      </c>
      <c r="Z26" s="7">
        <v>0</v>
      </c>
      <c r="AA26" s="7">
        <v>0</v>
      </c>
      <c r="AB26" s="7">
        <v>1</v>
      </c>
      <c r="AC26" s="7">
        <v>0</v>
      </c>
      <c r="AD26" s="7">
        <v>0</v>
      </c>
      <c r="AE26" s="7">
        <v>2</v>
      </c>
      <c r="AF26" s="7">
        <v>2</v>
      </c>
      <c r="AG26" s="7">
        <v>0</v>
      </c>
      <c r="AH26" s="7">
        <v>0</v>
      </c>
      <c r="AI26" s="7">
        <v>1</v>
      </c>
      <c r="AJ26" s="7">
        <v>0</v>
      </c>
      <c r="AK26" s="7">
        <v>2</v>
      </c>
      <c r="AL26" s="7">
        <v>0</v>
      </c>
      <c r="AM26" s="7">
        <v>0</v>
      </c>
      <c r="AN26" s="7">
        <v>2</v>
      </c>
      <c r="AO26" s="7">
        <v>1</v>
      </c>
      <c r="AP26" s="7">
        <v>0</v>
      </c>
      <c r="AQ26" s="7">
        <v>1</v>
      </c>
      <c r="AR26" s="7">
        <v>0</v>
      </c>
      <c r="AS26" s="7">
        <v>0</v>
      </c>
      <c r="AT26" s="7">
        <v>3</v>
      </c>
      <c r="AU26" s="7">
        <v>0</v>
      </c>
      <c r="AV26" s="7">
        <v>1</v>
      </c>
      <c r="AW26" s="7">
        <v>0</v>
      </c>
      <c r="AX26" s="7">
        <v>1</v>
      </c>
      <c r="AY26" s="7">
        <v>0</v>
      </c>
      <c r="AZ26" s="131">
        <v>0</v>
      </c>
      <c r="BA26" s="131">
        <v>0</v>
      </c>
      <c r="BB26" s="131">
        <v>1</v>
      </c>
      <c r="BC26" s="131">
        <v>0</v>
      </c>
      <c r="BD26" s="131">
        <v>1</v>
      </c>
      <c r="BE26" s="131">
        <v>1</v>
      </c>
      <c r="BF26" s="131">
        <v>0</v>
      </c>
      <c r="BG26" s="131">
        <v>0</v>
      </c>
      <c r="BH26" s="111">
        <v>1</v>
      </c>
      <c r="BI26" s="111">
        <v>1</v>
      </c>
      <c r="BJ26" s="111">
        <v>0</v>
      </c>
      <c r="BK26" s="111">
        <v>3</v>
      </c>
      <c r="BL26" s="111">
        <v>1</v>
      </c>
      <c r="BM26" s="111">
        <v>0</v>
      </c>
      <c r="BN26" s="111">
        <v>0</v>
      </c>
      <c r="BO26" s="111">
        <v>1</v>
      </c>
      <c r="BP26" s="111">
        <v>1</v>
      </c>
    </row>
    <row r="27" spans="1:68 16322:16381" x14ac:dyDescent="0.25">
      <c r="A27" s="356"/>
      <c r="B27" s="129" t="s">
        <v>275</v>
      </c>
      <c r="C27" s="129">
        <f>C26/C25*200000</f>
        <v>3.8126610849308378</v>
      </c>
      <c r="D27" s="129">
        <f>D26/D25*200000</f>
        <v>7.1867734621203141</v>
      </c>
      <c r="E27" s="129">
        <f>E26/E25*200000</f>
        <v>2.5385542933299488</v>
      </c>
      <c r="F27" s="129">
        <f>F26/F25*200000</f>
        <v>3.5344712563543164</v>
      </c>
      <c r="G27" s="129">
        <f>G26/G25*200000</f>
        <v>0</v>
      </c>
      <c r="H27" s="129">
        <f>H26/H25*200000</f>
        <v>0</v>
      </c>
      <c r="I27" s="129">
        <f>I26/I25*200000</f>
        <v>0</v>
      </c>
      <c r="J27" s="129">
        <f>J26/J25*200000</f>
        <v>15.187095524932465</v>
      </c>
      <c r="K27" s="129">
        <f>K26/K25*200000</f>
        <v>0</v>
      </c>
      <c r="L27" s="129">
        <f>L26/L25*200000</f>
        <v>3.9268082215583737</v>
      </c>
      <c r="M27" s="129">
        <f>M26/M25*200000</f>
        <v>0</v>
      </c>
      <c r="N27" s="129">
        <f>N26/N25*200000</f>
        <v>3.772901512178926</v>
      </c>
      <c r="O27" s="129">
        <f>O26/O25*200000</f>
        <v>3.8664415108893495</v>
      </c>
      <c r="P27" s="129">
        <f>P26/P25*200000</f>
        <v>5.0018300445675559</v>
      </c>
      <c r="Q27" s="129">
        <f>Q26/Q25*200000</f>
        <v>3.7636007120732549</v>
      </c>
      <c r="R27" s="129">
        <f>R26/R25*200000</f>
        <v>0</v>
      </c>
      <c r="S27" s="129">
        <f>S26/S25*200000</f>
        <v>0</v>
      </c>
      <c r="T27" s="129">
        <f>T26/T25*200000</f>
        <v>4.3413263663727806</v>
      </c>
      <c r="U27" s="129">
        <f>U26/U25*200000</f>
        <v>3.5777196080321954</v>
      </c>
      <c r="V27" s="129">
        <f>V26/V25*200000</f>
        <v>2.4842476958913151</v>
      </c>
      <c r="W27" s="129">
        <f>W26/W25*200000</f>
        <v>3.7169000756017478</v>
      </c>
      <c r="X27" s="129">
        <f>X26/X25*200000</f>
        <v>0</v>
      </c>
      <c r="Y27" s="129">
        <f>Y26/Y25*200000</f>
        <v>3.7226755613794746</v>
      </c>
      <c r="Z27" s="129">
        <f>Z26/Z25*200000</f>
        <v>0</v>
      </c>
      <c r="AA27" s="129">
        <f>AA26/AA25*200000</f>
        <v>0</v>
      </c>
      <c r="AB27" s="129">
        <f>AB26/AB25*200000</f>
        <v>3.7753258294957148</v>
      </c>
      <c r="AC27" s="129">
        <f>AC26/AC25*200000</f>
        <v>0</v>
      </c>
      <c r="AD27" s="129">
        <f>AD26/AD25*200000</f>
        <v>0</v>
      </c>
      <c r="AE27" s="129">
        <f>AE26/AE25*200000</f>
        <v>7.091925718460832</v>
      </c>
      <c r="AF27" s="129">
        <f>AF26/AF25*200000</f>
        <v>8.9538240103506208</v>
      </c>
      <c r="AG27" s="129">
        <f>AG26/AG25*200000</f>
        <v>0</v>
      </c>
      <c r="AH27" s="129">
        <f>AH26/AH25*200000</f>
        <v>0</v>
      </c>
      <c r="AI27" s="129">
        <f>AI26/AI25*200000</f>
        <v>3.828392314502429</v>
      </c>
      <c r="AJ27" s="129">
        <f>AJ26/AJ25*200000</f>
        <v>0</v>
      </c>
      <c r="AK27" s="129">
        <f>AK26/AK25*200000</f>
        <v>7.6754806769773953</v>
      </c>
      <c r="AL27" s="129">
        <f>AL26/AL25*200000</f>
        <v>0</v>
      </c>
      <c r="AM27" s="129">
        <f>AM26/AM25*200000</f>
        <v>0</v>
      </c>
      <c r="AN27" s="129">
        <f>AN26/AN25*200000</f>
        <v>7.9250056713321841</v>
      </c>
      <c r="AO27" s="129">
        <f>AO26/AO25*200000</f>
        <v>3.7589342819881075</v>
      </c>
      <c r="AP27" s="129">
        <f>AP26/AP25*200000</f>
        <v>0</v>
      </c>
      <c r="AQ27" s="129">
        <f>AQ26/AQ25*200000</f>
        <v>3.7546980659550266</v>
      </c>
      <c r="AR27" s="129">
        <f>AR26/AR25*200000</f>
        <v>0</v>
      </c>
      <c r="AS27" s="129">
        <f>AS26/AS25*200000</f>
        <v>0</v>
      </c>
      <c r="AT27" s="129">
        <f>AT26/AT25*200000</f>
        <v>4.9193961047729697</v>
      </c>
      <c r="AU27" s="129">
        <f>AU26/AU25*200000</f>
        <v>0</v>
      </c>
      <c r="AV27" s="129">
        <f>AV26/AV25*200000</f>
        <v>1.6341554170045964</v>
      </c>
      <c r="AW27" s="129">
        <f>AW26/AW25*200000</f>
        <v>0</v>
      </c>
      <c r="AX27" s="129">
        <f>AX26/AX25*200000</f>
        <v>1.5817757916649431</v>
      </c>
      <c r="AY27" s="129">
        <f>AY26/AY25*200000</f>
        <v>0</v>
      </c>
      <c r="AZ27" s="129">
        <f>AZ26/AZ25*200000</f>
        <v>0</v>
      </c>
      <c r="BA27" s="129">
        <f>BA26/BA25*200000</f>
        <v>0</v>
      </c>
      <c r="BB27" s="129">
        <f>BB26/BB25*200000</f>
        <v>1.6895406536004907</v>
      </c>
      <c r="BC27" s="129">
        <f>BC26/BC25*200000</f>
        <v>0</v>
      </c>
      <c r="BD27" s="129">
        <f>BD26/BD25*200000</f>
        <v>1.4241113153761444</v>
      </c>
      <c r="BE27" s="129">
        <f>BE26/BE25*200000</f>
        <v>1.7189137668233307</v>
      </c>
      <c r="BF27" s="129">
        <f>BF26/BF25*200000</f>
        <v>0</v>
      </c>
      <c r="BG27" s="129">
        <f>BG26/BG25*200000</f>
        <v>0</v>
      </c>
      <c r="BH27" s="1">
        <f>BH26/BH25*200000</f>
        <v>1.6734107910564224</v>
      </c>
      <c r="BI27" s="1">
        <f>BI26/BI25*200000</f>
        <v>1.7114059559323231</v>
      </c>
      <c r="BJ27" s="1">
        <f>BJ26/BJ25*200000</f>
        <v>0</v>
      </c>
      <c r="BK27" s="1">
        <f>BK26/BK25*200000</f>
        <v>5.2113819012701965</v>
      </c>
      <c r="BL27" s="1">
        <f>BL26/BL25*200000</f>
        <v>1.7111851445857333</v>
      </c>
      <c r="BM27" s="1">
        <f>BM26/BM25*200000</f>
        <v>0</v>
      </c>
      <c r="BN27" s="1">
        <f>BN26/BN25*200000</f>
        <v>0</v>
      </c>
      <c r="BO27" s="1">
        <f>BO26/BO25*200000</f>
        <v>0.96076007497329674</v>
      </c>
      <c r="BP27" s="1">
        <f>BP26/BP25*200000</f>
        <v>1.2514131896297191</v>
      </c>
    </row>
    <row r="28" spans="1:68 16322:16381" s="112" customFormat="1" x14ac:dyDescent="0.25">
      <c r="A28" s="356"/>
      <c r="B28" s="122" t="s">
        <v>276</v>
      </c>
      <c r="C28" s="122"/>
      <c r="D28" s="122"/>
      <c r="E28" s="122"/>
      <c r="F28" s="122"/>
      <c r="G28" s="122"/>
      <c r="H28" s="122"/>
      <c r="I28" s="122"/>
      <c r="J28" s="122"/>
      <c r="K28" s="122"/>
      <c r="L28" s="122">
        <f>SUM(C26:L26)/SUM(C25:L25)*200000</f>
        <v>3.4218459370327317</v>
      </c>
      <c r="M28" s="122">
        <f>SUM(C26:M26)/SUM(C25:M25)*200000</f>
        <v>3.1367498729302632</v>
      </c>
      <c r="N28" s="122">
        <f>SUM(C26:N26)/SUM(C25:N25)*200000</f>
        <v>3.185579218810255</v>
      </c>
      <c r="O28" s="122">
        <f>SUM(D26:O26)/SUM(D25:O25)*200000</f>
        <v>3.1889484267170736</v>
      </c>
      <c r="P28" s="122">
        <f>SUM(E26:P26)/SUM(E25:P25)*200000</f>
        <v>3.0803889668756259</v>
      </c>
      <c r="Q28" s="122">
        <f>SUM(F26:Q26)/SUM(F25:Q25)*200000</f>
        <v>3.195114982893354</v>
      </c>
      <c r="R28" s="122">
        <f>SUM(G26:R26)/SUM(G25:R25)*200000</f>
        <v>2.9054018305832883</v>
      </c>
      <c r="S28" s="122">
        <f>SUM(H26:S26)/SUM(H25:S25)*200000</f>
        <v>2.9029941568823916</v>
      </c>
      <c r="T28" s="122">
        <f>SUM(I26:T26)/SUM(I25:T25)*200000</f>
        <v>3.1908836801354941</v>
      </c>
      <c r="U28" s="122">
        <f>SUM(J26:U26)/SUM(J25:U25)*200000</f>
        <v>3.4742460509692745</v>
      </c>
      <c r="V28" s="122">
        <f>SUM(K26:V26)/SUM(K25:V25)*200000</f>
        <v>2.5047718338629927</v>
      </c>
      <c r="W28" s="122">
        <f>SUM(L26:W26)/SUM(L25:W25)*200000</f>
        <v>2.8914745321597821</v>
      </c>
      <c r="X28" s="122">
        <f>SUM(M26:X26)/SUM(M25:X25)*200000</f>
        <v>2.5826341413357721</v>
      </c>
      <c r="Y28" s="122">
        <f>SUM(N26:Y26)/SUM(N25:Y25)*200000</f>
        <v>2.8671169837057722</v>
      </c>
      <c r="Z28" s="122">
        <f>SUM(O26:Z26)/SUM(O25:Z25)*200000</f>
        <v>2.5804639183837104</v>
      </c>
      <c r="AA28" s="122">
        <f>SUM(P26:AA26)/SUM(P25:AA25)*200000</f>
        <v>2.2061763036285438</v>
      </c>
      <c r="AB28" s="122">
        <f>SUM(Q26:AB26)/SUM(Q25:AB25)*200000</f>
        <v>2.0050368817941391</v>
      </c>
      <c r="AC28" s="122">
        <f>SUM(R26:AC26)/SUM(R25:AC25)*200000</f>
        <v>1.715574797188322</v>
      </c>
      <c r="AD28" s="122">
        <f>SUM(S26:AD26)/SUM(S25:AD25)*200000</f>
        <v>1.7134148100151381</v>
      </c>
      <c r="AE28" s="122">
        <f>SUM(T26:AE26)/SUM(T25:AE25)*200000</f>
        <v>2.2868070527988014</v>
      </c>
      <c r="AF28" s="122">
        <f>SUM(U26:AF26)/SUM(U25:AF25)*200000</f>
        <v>2.577798384889014</v>
      </c>
      <c r="AG28" s="122">
        <f>SUM(V26:AG26)/SUM(V25:AG25)*200000</f>
        <v>2.293981236982642</v>
      </c>
      <c r="AH28" s="122">
        <f>SUM(W26:AH26)/SUM(W25:AH25)*200000</f>
        <v>2.0116523525627663</v>
      </c>
      <c r="AI28" s="122">
        <f>SUM(X26:AI26)/SUM(X25:AI25)*200000</f>
        <v>2.0161921253670565</v>
      </c>
      <c r="AJ28" s="122">
        <f>SUM(Y26:AJ26)/SUM(Y25:AJ25)*200000</f>
        <v>2.0184900901147689</v>
      </c>
      <c r="AK28" s="122">
        <f>SUM(Z26:AK26)/SUM(Z25:AK25)*200000</f>
        <v>2.3122157464927118</v>
      </c>
      <c r="AL28" s="122">
        <f>SUM(AA26:AL26)/SUM(AA25:AL25)*200000</f>
        <v>2.3206863661996668</v>
      </c>
      <c r="AM28" s="122">
        <f>SUM(AB26:AM26)/SUM(AB25:AM25)*200000</f>
        <v>2.3295131598493439</v>
      </c>
      <c r="AN28" s="122">
        <f>SUM(AC26:AN26)/SUM(AC25:AN25)*200000</f>
        <v>2.6302854160697988</v>
      </c>
      <c r="AO28" s="122">
        <f>SUM(AD26:AO26)/SUM(AD25:AO25)*200000</f>
        <v>2.9275296619135047</v>
      </c>
      <c r="AP28" s="122">
        <f>SUM(AE26:AP26)/SUM(AE25:AP25)*200000</f>
        <v>2.955666407824181</v>
      </c>
      <c r="AQ28" s="122">
        <f>SUM(AF26:AQ26)/SUM(AF25:AQ25)*200000</f>
        <v>2.6724836539764372</v>
      </c>
      <c r="AR28" s="122">
        <f>SUM(AG26:AR26)/SUM(AG25:AR25)*200000</f>
        <v>1.8134488814601963</v>
      </c>
      <c r="AS28" s="122">
        <f>SUM(AH26:AS26)/SUM(AH25:AS25)*200000</f>
        <v>1.6752033233162158</v>
      </c>
      <c r="AT28" s="122">
        <f>SUM(AI26:AT26)/SUM(AI25:AT25)*200000</f>
        <v>2.2760626356049669</v>
      </c>
      <c r="AU28" s="122">
        <f>SUM(AJ26:AU26)/SUM(AJ25:AU25)*200000</f>
        <v>1.8883565029081111</v>
      </c>
      <c r="AV28" s="122">
        <f>SUM(AK26:AV26)/SUM(AK25:AV25)*200000</f>
        <v>1.9604353370155472</v>
      </c>
      <c r="AW28" s="122">
        <f>SUM(AL26:AW26)/SUM(AL25:AW25)*200000</f>
        <v>1.4741684865123073</v>
      </c>
      <c r="AX28" s="122">
        <f>SUM(AM26:AX26)/SUM(AM25:AX25)*200000</f>
        <v>1.5499473237485795</v>
      </c>
      <c r="AY28" s="122">
        <f>SUM(AN26:AY26)/SUM(AN25:AY25)*200000</f>
        <v>1.4606484509847524</v>
      </c>
      <c r="AZ28" s="122">
        <f>SUM(AO26:AZ26)/SUM(AO25:AZ25)*200000</f>
        <v>1.07380199707843</v>
      </c>
      <c r="BA28" s="122">
        <f>SUM(AP26:BA26)/SUM(AP25:BA25)*200000</f>
        <v>0.87061618360999304</v>
      </c>
      <c r="BB28" s="122">
        <f>SUM(AQ26:BB26)/SUM(AQ25:BB25)*200000</f>
        <v>0.96823909502564731</v>
      </c>
      <c r="BC28" s="122">
        <f>SUM(AR26:BC26)/SUM(AR25:BC25)*200000</f>
        <v>0.79046045447879543</v>
      </c>
      <c r="BD28" s="122">
        <f>SUM(AS26:BD26)/SUM(AS25:BD25)*200000</f>
        <v>0.92385551805076105</v>
      </c>
      <c r="BE28" s="122">
        <f>SUM(AT26:BE26)/SUM(AT25:BE25)*200000</f>
        <v>1.0575557673281601</v>
      </c>
      <c r="BF28" s="122">
        <f>SUM(AU26:BF26)/SUM(AU25:BF25)*200000</f>
        <v>0.66200570078265164</v>
      </c>
      <c r="BG28" s="122">
        <f>SUM(AV26:BG26)/SUM(AV25:BG25)*200000</f>
        <v>0.6661175504435668</v>
      </c>
      <c r="BH28" s="112">
        <f>SUM(AW26:BH26)/SUM(AW25:BH25)*200000</f>
        <v>0.66739389019447082</v>
      </c>
      <c r="BI28" s="112">
        <f>SUM(AX26:BI26)/SUM(AX25:BI25)*200000</f>
        <v>0.80110100117197081</v>
      </c>
      <c r="BJ28" s="112">
        <f>SUM(AY26:BJ26)/SUM(AY25:BJ25)*200000</f>
        <v>0.65091718723009317</v>
      </c>
      <c r="BK28" s="112">
        <f>SUM(AZ26:BK26)/SUM(AZ25:BK25)*200000</f>
        <v>1.0640955847269085</v>
      </c>
      <c r="BL28" s="112">
        <f>SUM(BA26:BL26)/SUM(BA25:BL25)*200000</f>
        <v>1.2011370203261811</v>
      </c>
      <c r="BM28" s="112">
        <f>SUM(BB26:BM26)/SUM(BB25:BM25)*200000</f>
        <v>1.2053647651749546</v>
      </c>
      <c r="BN28" s="112">
        <f>SUM(BC26:BN26)/SUM(BC25:BN25)*200000</f>
        <v>1.0626964012009195</v>
      </c>
      <c r="BO28" s="112">
        <f>SUM(BD26:BO26)/SUM(BD25:BO25)*200000</f>
        <v>1.1332676823003982</v>
      </c>
      <c r="BP28" s="112">
        <f>SUM(BE26:BP26)/SUM(BE25:BP25)*200000</f>
        <v>1.1196061868019118</v>
      </c>
      <c r="XCT28" s="1"/>
      <c r="XCU28" s="1"/>
      <c r="XCV28" s="1"/>
      <c r="XCW28" s="1"/>
      <c r="XCX28" s="1"/>
      <c r="XCY28" s="1"/>
      <c r="XCZ28" s="1"/>
      <c r="XDA28" s="1"/>
      <c r="XDB28" s="1"/>
      <c r="XDC28" s="1"/>
      <c r="XDD28" s="1"/>
      <c r="XDE28" s="1"/>
      <c r="XDF28" s="1"/>
      <c r="XDG28" s="1"/>
      <c r="XDH28" s="1"/>
      <c r="XDI28" s="1"/>
      <c r="XDJ28" s="1"/>
      <c r="XDK28" s="1"/>
      <c r="XDL28" s="1"/>
      <c r="XDM28" s="1"/>
      <c r="XDN28" s="1"/>
      <c r="XDO28" s="1"/>
      <c r="XDP28" s="1"/>
      <c r="XDQ28" s="1"/>
      <c r="XDR28" s="1"/>
      <c r="XDS28" s="1"/>
      <c r="XDT28" s="1"/>
      <c r="XDU28" s="1"/>
      <c r="XDV28" s="1"/>
      <c r="XDW28" s="1"/>
      <c r="XDX28" s="1"/>
      <c r="XDY28" s="1"/>
      <c r="XDZ28" s="1"/>
      <c r="XEA28" s="1"/>
      <c r="XEB28" s="1"/>
      <c r="XEC28" s="1"/>
      <c r="XED28" s="1"/>
      <c r="XEE28" s="1"/>
      <c r="XEF28" s="1"/>
      <c r="XEG28" s="1"/>
      <c r="XEH28" s="1"/>
      <c r="XEI28" s="1"/>
      <c r="XEJ28" s="1"/>
      <c r="XEK28" s="1"/>
      <c r="XEL28" s="1"/>
      <c r="XEM28" s="1"/>
      <c r="XEN28" s="1"/>
      <c r="XEO28" s="1"/>
      <c r="XEP28" s="1"/>
      <c r="XEQ28" s="1"/>
      <c r="XER28" s="1"/>
      <c r="XES28" s="1"/>
      <c r="XET28" s="1"/>
      <c r="XEU28" s="1"/>
      <c r="XEV28" s="1"/>
      <c r="XEW28" s="1"/>
      <c r="XEX28" s="1"/>
      <c r="XEY28" s="1"/>
      <c r="XEZ28" s="1"/>
      <c r="XFA28" s="1"/>
    </row>
    <row r="29" spans="1:68 16322:16381" x14ac:dyDescent="0.25">
      <c r="A29" s="356"/>
      <c r="B29" s="123" t="s">
        <v>268</v>
      </c>
      <c r="C29" s="123"/>
      <c r="D29" s="123"/>
      <c r="E29" s="123"/>
      <c r="F29" s="123"/>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5"/>
      <c r="AI29" s="115"/>
      <c r="AJ29" s="115"/>
      <c r="AK29" s="115"/>
      <c r="AL29" s="115"/>
      <c r="AM29" s="115"/>
      <c r="AN29" s="115"/>
      <c r="AO29" s="115"/>
      <c r="AP29" s="115"/>
      <c r="AQ29" s="115"/>
      <c r="AR29" s="115"/>
      <c r="AS29" s="115"/>
      <c r="AT29" s="115"/>
      <c r="AU29" s="115"/>
      <c r="AV29" s="115"/>
      <c r="AW29" s="115"/>
      <c r="AX29" s="115"/>
      <c r="AY29" s="115"/>
      <c r="AZ29" s="115"/>
      <c r="BA29" s="115"/>
      <c r="BB29" s="115"/>
      <c r="BC29" s="115"/>
      <c r="BD29" s="115"/>
      <c r="BE29" s="115"/>
      <c r="BF29" s="115"/>
      <c r="BG29" s="115"/>
      <c r="BH29" s="115"/>
      <c r="BI29" s="115"/>
      <c r="BJ29" s="115"/>
      <c r="BK29" s="115"/>
      <c r="BL29" s="115"/>
      <c r="BM29" s="115"/>
      <c r="BN29" s="115"/>
      <c r="BO29" s="115"/>
      <c r="BP29" s="115"/>
    </row>
    <row r="30" spans="1:68 16322:16381" x14ac:dyDescent="0.25">
      <c r="A30" s="356"/>
      <c r="B30" s="129" t="s">
        <v>273</v>
      </c>
      <c r="C30" s="129">
        <v>26984.739999999998</v>
      </c>
      <c r="D30" s="129">
        <v>26873.5</v>
      </c>
      <c r="E30" s="129">
        <v>41778</v>
      </c>
      <c r="F30" s="7">
        <v>28078.45</v>
      </c>
      <c r="G30" s="7">
        <v>28711.7</v>
      </c>
      <c r="H30" s="8">
        <v>23183.45</v>
      </c>
      <c r="I30" s="7">
        <v>29279.86</v>
      </c>
      <c r="J30" s="7">
        <v>28798.51</v>
      </c>
      <c r="K30" s="7">
        <v>41126.230000000003</v>
      </c>
      <c r="L30" s="7">
        <v>27632.67</v>
      </c>
      <c r="M30" s="7">
        <v>27876.7</v>
      </c>
      <c r="N30" s="7">
        <v>27415.57</v>
      </c>
      <c r="O30" s="7">
        <v>26715.75</v>
      </c>
      <c r="P30" s="7">
        <v>42263.199999999997</v>
      </c>
      <c r="Q30" s="8">
        <v>27828.45</v>
      </c>
      <c r="R30" s="8">
        <v>28776.600000000002</v>
      </c>
      <c r="S30" s="8">
        <v>30162.36</v>
      </c>
      <c r="T30" s="8">
        <v>24438.15</v>
      </c>
      <c r="U30" s="8">
        <v>29367.1</v>
      </c>
      <c r="V30" s="8">
        <v>44301.950000000004</v>
      </c>
      <c r="W30" s="1">
        <v>27313.48</v>
      </c>
      <c r="X30" s="1">
        <v>29450.3</v>
      </c>
      <c r="Y30" s="1">
        <v>28413.15</v>
      </c>
      <c r="Z30" s="1">
        <v>28707.599999999999</v>
      </c>
      <c r="AA30" s="1">
        <v>42929.7</v>
      </c>
      <c r="AB30" s="1">
        <v>29422.66</v>
      </c>
      <c r="AC30" s="1">
        <v>29683</v>
      </c>
      <c r="AD30" s="1">
        <f>IF(AD80="",AD85,SUM(AD80,AD85))</f>
        <v>30161.4</v>
      </c>
      <c r="AE30" s="1">
        <f>IF(AE80="",AE85,SUM(AE80,AE85))</f>
        <v>31274.5</v>
      </c>
      <c r="AF30" s="1">
        <f>IF(AF80="",AF85,SUM(AF80,AF85))</f>
        <v>25386.63</v>
      </c>
      <c r="AG30" s="1">
        <f>IF(AG80="",AG85,SUM(AG80,AG85))</f>
        <v>30401.200000000001</v>
      </c>
      <c r="AH30" s="1">
        <f>IF(AH80="",AH85,SUM(AH80,AH85))</f>
        <v>44826.130000000005</v>
      </c>
      <c r="AI30" s="1">
        <f>IF(AI80="",AI85,SUM(AI80,AI85))</f>
        <v>47588.78</v>
      </c>
      <c r="AJ30" s="1">
        <f>IF(AJ80="",AJ85,SUM(AJ80,AJ85))</f>
        <v>51164.28</v>
      </c>
      <c r="AK30" s="1">
        <f>IF(AK80="",AK85,SUM(AK80,AK85))</f>
        <v>48302.25</v>
      </c>
      <c r="AL30" s="1">
        <f>IF(AL80="",AL85,SUM(AL80,AL85))</f>
        <v>48404.959999999999</v>
      </c>
      <c r="AM30" s="1">
        <f>IF(AM80="",AM85,SUM(AM80,AM85))</f>
        <v>61868.81</v>
      </c>
      <c r="AN30" s="1">
        <f>IF(AN80="",AN85,SUM(AN80,AN85))</f>
        <v>46913.060000000019</v>
      </c>
      <c r="AO30" s="1">
        <f>IF(AO80="",AO85,SUM(AO80,AO85))</f>
        <v>50525.29</v>
      </c>
      <c r="AP30" s="1">
        <f>IF(AP80="",AP85,SUM(AP80,AP85))</f>
        <v>48673.86</v>
      </c>
      <c r="AQ30" s="1">
        <f>IF(AQ80="",AQ85,SUM(AQ80,AQ85))</f>
        <v>49691.55</v>
      </c>
      <c r="AR30" s="1">
        <f>IF(AR80="",AR85,SUM(AR80,AR85))</f>
        <v>63002.98</v>
      </c>
      <c r="AS30" s="1">
        <f>IF(AS80="",AS85,SUM(AS80,AS85))</f>
        <v>48775.06</v>
      </c>
      <c r="AT30" s="1">
        <f>IF(AT80="",AT85,SUM(AT80,AT85))</f>
        <v>50385.919999999998</v>
      </c>
      <c r="AU30" s="1">
        <f>IF(AU80="",AU85,SUM(AU80,AU85))</f>
        <v>48644.25</v>
      </c>
      <c r="AV30" s="1">
        <f>IF(AV80="",AV85,SUM(AV80,AV85))</f>
        <v>49116.9</v>
      </c>
      <c r="AW30" s="1">
        <f>IF(AW80="",AW85,SUM(AW80,AW85))</f>
        <v>48755.92</v>
      </c>
      <c r="AX30" s="1">
        <f>IF(AX80="",AX85,SUM(AX80,AX85))</f>
        <v>49231</v>
      </c>
      <c r="AY30" s="1">
        <f>IF(AY80="",AY85,SUM(AY80,AY85))</f>
        <v>64040.25</v>
      </c>
      <c r="AZ30" s="1">
        <f>IF(AZ80="",AZ85,SUM(AZ80,AZ85))</f>
        <v>49520.65</v>
      </c>
      <c r="BA30" s="1">
        <f>IF(BA80="",BA85,SUM(BA80,BA85))</f>
        <v>51455.429999999993</v>
      </c>
      <c r="BB30" s="1">
        <f>IF(BB80="",BB85,SUM(BB80,BB85))</f>
        <v>48393.25</v>
      </c>
      <c r="BC30" s="1">
        <f>IF(BC80="",BC85,SUM(BC80,BC85))</f>
        <v>50354.25</v>
      </c>
      <c r="BD30" s="1">
        <f>IF(BD80="",BD85,SUM(BD80,BD85))</f>
        <v>63903.49</v>
      </c>
      <c r="BE30" s="1">
        <f>IF(BE80="",BE85,SUM(BE80,BE85))</f>
        <v>49450.16</v>
      </c>
      <c r="BF30" s="1">
        <f>IF(BF80="",BF85,SUM(BF80,BF85))</f>
        <v>52911.9</v>
      </c>
      <c r="BG30" s="1">
        <f>IF(BG80="",BG85,SUM(BG80,BG85))</f>
        <v>49099.58</v>
      </c>
      <c r="BH30" s="1">
        <f>IF(BH80="",BH85,SUM(BH80,BH85))</f>
        <v>52442.67</v>
      </c>
      <c r="BI30" s="1">
        <f>IF(BI80="",BI85,SUM(BI80,BI85))</f>
        <v>52392.1</v>
      </c>
      <c r="BJ30" s="1">
        <f>IF(BJ80="",BJ85,SUM(BJ80,BJ85))</f>
        <v>80890.3</v>
      </c>
      <c r="BK30" s="1">
        <f>IF(BK80="",BK85,SUM(BK80,BK85))</f>
        <v>56237.5</v>
      </c>
      <c r="BL30" s="1">
        <f>IF(BL80="",BL85,SUM(BL80,BL85))</f>
        <v>71973.350000000006</v>
      </c>
      <c r="BM30" s="1">
        <f>IF(BM80="",BM85,SUM(BM80,BM85))</f>
        <v>72767.38</v>
      </c>
      <c r="BN30" s="1">
        <f>IF(BN80="",BN85,SUM(BN80,BN85))</f>
        <v>81627.642649999994</v>
      </c>
      <c r="BO30" s="1">
        <f>IF(BO80="",BO85,SUM(BO80,BO85))</f>
        <v>147976.576</v>
      </c>
      <c r="BP30" s="1">
        <f>IF(BP80="",BP85,SUM(BP80,BP85))</f>
        <v>144658.065</v>
      </c>
    </row>
    <row r="31" spans="1:68 16322:16381" x14ac:dyDescent="0.25">
      <c r="A31" s="356"/>
      <c r="B31" s="129" t="s">
        <v>274</v>
      </c>
      <c r="C31" s="130">
        <v>0</v>
      </c>
      <c r="D31" s="130">
        <v>2</v>
      </c>
      <c r="E31" s="130">
        <v>0</v>
      </c>
      <c r="F31" s="8">
        <v>2</v>
      </c>
      <c r="G31" s="8">
        <v>1</v>
      </c>
      <c r="H31" s="8">
        <v>0</v>
      </c>
      <c r="I31" s="8">
        <v>0</v>
      </c>
      <c r="J31" s="8">
        <v>0</v>
      </c>
      <c r="K31" s="8">
        <v>0</v>
      </c>
      <c r="L31" s="8">
        <v>1</v>
      </c>
      <c r="M31" s="8">
        <v>0</v>
      </c>
      <c r="N31" s="8">
        <v>0</v>
      </c>
      <c r="O31" s="8">
        <v>0</v>
      </c>
      <c r="P31" s="8">
        <v>2</v>
      </c>
      <c r="Q31" s="8">
        <v>0</v>
      </c>
      <c r="R31" s="8">
        <v>0</v>
      </c>
      <c r="S31" s="8">
        <v>1</v>
      </c>
      <c r="T31" s="8">
        <v>2</v>
      </c>
      <c r="U31" s="8">
        <v>2</v>
      </c>
      <c r="V31" s="8">
        <v>2</v>
      </c>
      <c r="W31" s="7">
        <v>1</v>
      </c>
      <c r="X31" s="7">
        <v>2</v>
      </c>
      <c r="Y31" s="7">
        <v>1</v>
      </c>
      <c r="Z31" s="7">
        <v>0</v>
      </c>
      <c r="AA31" s="7">
        <v>1</v>
      </c>
      <c r="AB31" s="7">
        <v>0</v>
      </c>
      <c r="AC31" s="7">
        <v>0</v>
      </c>
      <c r="AD31" s="7">
        <v>1</v>
      </c>
      <c r="AE31" s="7">
        <v>0</v>
      </c>
      <c r="AF31" s="7">
        <v>0</v>
      </c>
      <c r="AG31" s="7">
        <v>1</v>
      </c>
      <c r="AH31" s="7">
        <v>0</v>
      </c>
      <c r="AI31" s="7">
        <v>1</v>
      </c>
      <c r="AJ31" s="7">
        <v>2</v>
      </c>
      <c r="AK31" s="7">
        <v>1</v>
      </c>
      <c r="AL31" s="7">
        <v>1</v>
      </c>
      <c r="AM31" s="7">
        <v>0</v>
      </c>
      <c r="AN31" s="7">
        <v>0</v>
      </c>
      <c r="AO31" s="7">
        <v>0</v>
      </c>
      <c r="AP31" s="7">
        <v>2</v>
      </c>
      <c r="AQ31" s="7">
        <v>0</v>
      </c>
      <c r="AR31" s="7">
        <v>2</v>
      </c>
      <c r="AS31" s="7">
        <v>0</v>
      </c>
      <c r="AT31" s="7">
        <v>1</v>
      </c>
      <c r="AU31" s="7">
        <v>0</v>
      </c>
      <c r="AV31" s="7">
        <v>1</v>
      </c>
      <c r="AW31" s="7">
        <v>0</v>
      </c>
      <c r="AX31" s="7">
        <v>0</v>
      </c>
      <c r="AY31" s="7">
        <v>0</v>
      </c>
      <c r="AZ31" s="131">
        <v>0</v>
      </c>
      <c r="BA31" s="131">
        <v>2</v>
      </c>
      <c r="BB31" s="131">
        <v>1</v>
      </c>
      <c r="BC31" s="131">
        <v>0</v>
      </c>
      <c r="BD31" s="131">
        <v>0</v>
      </c>
      <c r="BE31" s="131">
        <v>2</v>
      </c>
      <c r="BF31" s="131">
        <v>1</v>
      </c>
      <c r="BG31" s="131">
        <v>0</v>
      </c>
      <c r="BH31" s="111">
        <v>1</v>
      </c>
      <c r="BI31" s="111">
        <v>1</v>
      </c>
      <c r="BJ31" s="111">
        <v>1</v>
      </c>
      <c r="BK31" s="111">
        <v>1</v>
      </c>
      <c r="BL31" s="111">
        <v>2</v>
      </c>
      <c r="BM31" s="111">
        <v>2</v>
      </c>
      <c r="BN31" s="111">
        <v>1</v>
      </c>
      <c r="BO31" s="111">
        <v>0</v>
      </c>
      <c r="BP31" s="111">
        <v>1</v>
      </c>
    </row>
    <row r="32" spans="1:68 16322:16381" x14ac:dyDescent="0.25">
      <c r="A32" s="356"/>
      <c r="B32" s="129" t="s">
        <v>275</v>
      </c>
      <c r="C32" s="129">
        <f>C31/C30*200000</f>
        <v>0</v>
      </c>
      <c r="D32" s="129">
        <f>D31/D30*200000</f>
        <v>14.884551695908609</v>
      </c>
      <c r="E32" s="129">
        <f>E31/E30*200000</f>
        <v>0</v>
      </c>
      <c r="F32" s="129">
        <f>F31/F30*200000</f>
        <v>14.245800605090379</v>
      </c>
      <c r="G32" s="129">
        <f>G31/G30*200000</f>
        <v>6.9658013980363407</v>
      </c>
      <c r="H32" s="129">
        <f>H31/H30*200000</f>
        <v>0</v>
      </c>
      <c r="I32" s="129">
        <f>I31/I30*200000</f>
        <v>0</v>
      </c>
      <c r="J32" s="129">
        <f>J31/J30*200000</f>
        <v>0</v>
      </c>
      <c r="K32" s="129">
        <f>K31/K30*200000</f>
        <v>0</v>
      </c>
      <c r="L32" s="129">
        <f>L31/L30*200000</f>
        <v>7.2378094480193189</v>
      </c>
      <c r="M32" s="129">
        <f>M31/M30*200000</f>
        <v>0</v>
      </c>
      <c r="N32" s="129">
        <f>N31/N30*200000</f>
        <v>0</v>
      </c>
      <c r="O32" s="129">
        <f>O31/O30*200000</f>
        <v>0</v>
      </c>
      <c r="P32" s="129">
        <f>P31/P30*200000</f>
        <v>9.4644986655056886</v>
      </c>
      <c r="Q32" s="129">
        <f>Q31/Q30*200000</f>
        <v>0</v>
      </c>
      <c r="R32" s="129">
        <f>R31/R30*200000</f>
        <v>0</v>
      </c>
      <c r="S32" s="129">
        <f>S31/S30*200000</f>
        <v>6.6307808805411774</v>
      </c>
      <c r="T32" s="129">
        <f>T31/T30*200000</f>
        <v>16.367851085290827</v>
      </c>
      <c r="U32" s="129">
        <f>U31/U30*200000</f>
        <v>13.620684371286236</v>
      </c>
      <c r="V32" s="129">
        <f>V31/V30*200000</f>
        <v>9.0289479357003462</v>
      </c>
      <c r="W32" s="129">
        <f>W31/W30*200000</f>
        <v>7.3223917274547228</v>
      </c>
      <c r="X32" s="129">
        <f>X31/X30*200000</f>
        <v>13.582204595538926</v>
      </c>
      <c r="Y32" s="129">
        <f>Y31/Y30*200000</f>
        <v>7.0389942684989171</v>
      </c>
      <c r="Z32" s="129">
        <f>Z31/Z30*200000</f>
        <v>0</v>
      </c>
      <c r="AA32" s="129">
        <f>AA31/AA30*200000</f>
        <v>4.6587793532216626</v>
      </c>
      <c r="AB32" s="129">
        <f>AB31/AB30*200000</f>
        <v>0</v>
      </c>
      <c r="AC32" s="129">
        <f>AC31/AC30*200000</f>
        <v>0</v>
      </c>
      <c r="AD32" s="129">
        <f>AD31/AD30*200000</f>
        <v>6.6309919300828204</v>
      </c>
      <c r="AE32" s="129">
        <f>AE31/AE30*200000</f>
        <v>0</v>
      </c>
      <c r="AF32" s="129">
        <f>AF31/AF30*200000</f>
        <v>0</v>
      </c>
      <c r="AG32" s="129">
        <f>AG31/AG30*200000</f>
        <v>6.5786876833809185</v>
      </c>
      <c r="AH32" s="129">
        <f>AH31/AH30*200000</f>
        <v>0</v>
      </c>
      <c r="AI32" s="129">
        <f>AI31/AI30*200000</f>
        <v>4.2026713019329351</v>
      </c>
      <c r="AJ32" s="129">
        <f>AJ31/AJ30*200000</f>
        <v>7.8179542446409878</v>
      </c>
      <c r="AK32" s="129">
        <f>AK31/AK30*200000</f>
        <v>4.1405938646750409</v>
      </c>
      <c r="AL32" s="129">
        <f>AL31/AL30*200000</f>
        <v>4.1318079800086602</v>
      </c>
      <c r="AM32" s="129">
        <f>AM31/AM30*200000</f>
        <v>0</v>
      </c>
      <c r="AN32" s="129">
        <f>AN31/AN30*200000</f>
        <v>0</v>
      </c>
      <c r="AO32" s="129">
        <f>AO31/AO30*200000</f>
        <v>0</v>
      </c>
      <c r="AP32" s="129">
        <f>AP31/AP30*200000</f>
        <v>8.2179633996564068</v>
      </c>
      <c r="AQ32" s="129">
        <f>AQ31/AQ30*200000</f>
        <v>0</v>
      </c>
      <c r="AR32" s="129">
        <f>AR31/AR30*200000</f>
        <v>6.348906035873223</v>
      </c>
      <c r="AS32" s="129">
        <f>AS31/AS30*200000</f>
        <v>0</v>
      </c>
      <c r="AT32" s="129">
        <f>AT31/AT30*200000</f>
        <v>3.9693628696270702</v>
      </c>
      <c r="AU32" s="129">
        <f>AU31/AU30*200000</f>
        <v>0</v>
      </c>
      <c r="AV32" s="129">
        <f>AV31/AV30*200000</f>
        <v>4.0719182195944779</v>
      </c>
      <c r="AW32" s="129">
        <f>AW31/AW30*200000</f>
        <v>0</v>
      </c>
      <c r="AX32" s="129">
        <f>AX31/AX30*200000</f>
        <v>0</v>
      </c>
      <c r="AY32" s="129">
        <f>AY31/AY30*200000</f>
        <v>0</v>
      </c>
      <c r="AZ32" s="129">
        <f>AZ31/AZ30*200000</f>
        <v>0</v>
      </c>
      <c r="BA32" s="129">
        <f>BA31/BA30*200000</f>
        <v>7.7737179535765231</v>
      </c>
      <c r="BB32" s="129">
        <f>BB31/BB30*200000</f>
        <v>4.1328077779442376</v>
      </c>
      <c r="BC32" s="129">
        <f>BC31/BC30*200000</f>
        <v>0</v>
      </c>
      <c r="BD32" s="129">
        <f>BD31/BD30*200000</f>
        <v>0</v>
      </c>
      <c r="BE32" s="129">
        <f>BE31/BE30*200000</f>
        <v>8.0889525938844287</v>
      </c>
      <c r="BF32" s="129">
        <f>BF31/BF30*200000</f>
        <v>3.7798680448065554</v>
      </c>
      <c r="BG32" s="129">
        <f>BG31/BG30*200000</f>
        <v>0</v>
      </c>
      <c r="BH32" s="1">
        <f>BH31/BH30*200000</f>
        <v>3.813688357209883</v>
      </c>
      <c r="BI32" s="1">
        <f>BI31/BI30*200000</f>
        <v>3.817369412564108</v>
      </c>
      <c r="BJ32" s="1">
        <f>BJ31/BJ30*200000</f>
        <v>2.4724843399023122</v>
      </c>
      <c r="BK32" s="1">
        <f>BK31/BK30*200000</f>
        <v>3.5563458546343636</v>
      </c>
      <c r="BL32" s="1">
        <f>BL31/BL30*200000</f>
        <v>5.5576126441245259</v>
      </c>
      <c r="BM32" s="1">
        <f>BM31/BM30*200000</f>
        <v>5.49696855926378</v>
      </c>
      <c r="BN32" s="1">
        <f>BN31/BN30*200000</f>
        <v>2.4501503841970869</v>
      </c>
      <c r="BO32" s="1">
        <f>BO31/BO30*200000</f>
        <v>0</v>
      </c>
      <c r="BP32" s="1">
        <f>BP31/BP30*200000</f>
        <v>1.3825706848767816</v>
      </c>
    </row>
    <row r="33" spans="1:68 16322:16381" s="112" customFormat="1" x14ac:dyDescent="0.25">
      <c r="A33" s="356"/>
      <c r="B33" s="122" t="s">
        <v>276</v>
      </c>
      <c r="C33" s="122"/>
      <c r="D33" s="122"/>
      <c r="E33" s="122"/>
      <c r="F33" s="122"/>
      <c r="G33" s="122"/>
      <c r="H33" s="122"/>
      <c r="I33" s="122"/>
      <c r="J33" s="122"/>
      <c r="K33" s="122"/>
      <c r="L33" s="122">
        <f>SUM(C31:L31)/SUM(C30:L30)*200000</f>
        <v>3.9676358620189824</v>
      </c>
      <c r="M33" s="122">
        <f>SUM(C31:M31)/SUM(C30:M30)*200000</f>
        <v>3.6327989798858278</v>
      </c>
      <c r="N33" s="122">
        <f>SUM(C31:N31)/SUM(C30:N30)*200000</f>
        <v>3.3543972709965559</v>
      </c>
      <c r="O33" s="122">
        <f>SUM(D31:O31)/SUM(D30:O30)*200000</f>
        <v>3.3569213942447087</v>
      </c>
      <c r="P33" s="122">
        <f>SUM(E31:P31)/SUM(E30:P30)*200000</f>
        <v>3.2183653659473181</v>
      </c>
      <c r="Q33" s="122">
        <f>SUM(F31:Q31)/SUM(F30:Q30)*200000</f>
        <v>3.3434515464494297</v>
      </c>
      <c r="R33" s="122">
        <f>SUM(G31:R31)/SUM(G30:R30)*200000</f>
        <v>2.224640344481108</v>
      </c>
      <c r="S33" s="122">
        <f>SUM(H31:S31)/SUM(H30:S30)*200000</f>
        <v>2.2157022107307287</v>
      </c>
      <c r="T33" s="122">
        <f>SUM(I31:T31)/SUM(I30:T30)*200000</f>
        <v>3.3120437918430157</v>
      </c>
      <c r="U33" s="122">
        <f>SUM(J31:U31)/SUM(J30:U30)*200000</f>
        <v>4.4149953218985507</v>
      </c>
      <c r="V33" s="122">
        <f>SUM(K31:V31)/SUM(K30:V30)*200000</f>
        <v>5.2923391564852862</v>
      </c>
      <c r="W33" s="122">
        <f>SUM(L31:W31)/SUM(L30:W30)*200000</f>
        <v>6.0424291685853664</v>
      </c>
      <c r="X33" s="122">
        <f>SUM(M31:X31)/SUM(M30:X30)*200000</f>
        <v>6.5589969063671223</v>
      </c>
      <c r="Y33" s="122">
        <f>SUM(N31:Y31)/SUM(N30:Y30)*200000</f>
        <v>7.0951779369656744</v>
      </c>
      <c r="Z33" s="122">
        <f>SUM(O31:Z31)/SUM(O30:Z30)*200000</f>
        <v>7.0702493723182176</v>
      </c>
      <c r="AA33" s="122">
        <f>SUM(P31:AA31)/SUM(P30:AA30)*200000</f>
        <v>7.2925774792080791</v>
      </c>
      <c r="AB33" s="122">
        <f>SUM(Q31:AB31)/SUM(Q30:AB30)*200000</f>
        <v>6.4670590914051447</v>
      </c>
      <c r="AC33" s="122">
        <f>SUM(R31:AC31)/SUM(R30:AC30)*200000</f>
        <v>6.4349020507362535</v>
      </c>
      <c r="AD33" s="122">
        <f>SUM(S31:AD31)/SUM(S30:AD30)*200000</f>
        <v>6.945356207953048</v>
      </c>
      <c r="AE33" s="122">
        <f>SUM(T31:AE31)/SUM(T30:AE30)*200000</f>
        <v>6.3921080477199634</v>
      </c>
      <c r="AF33" s="122">
        <f>SUM(U31:AF31)/SUM(U30:AF30)*200000</f>
        <v>5.3133343678395333</v>
      </c>
      <c r="AG33" s="122">
        <f>SUM(V31:AG31)/SUM(V30:AG30)*200000</f>
        <v>4.7688995263608476</v>
      </c>
      <c r="AH33" s="122">
        <f>SUM(W31:AH31)/SUM(W30:AH30)*200000</f>
        <v>3.7040001217028613</v>
      </c>
      <c r="AI33" s="122">
        <f>SUM(X31:AI31)/SUM(X30:AI30)*200000</f>
        <v>3.5154234810953717</v>
      </c>
      <c r="AJ33" s="122">
        <f>SUM(Y31:AJ31)/SUM(Y30:AJ30)*200000</f>
        <v>3.3336585237850462</v>
      </c>
      <c r="AK33" s="122">
        <f>SUM(Z31:AK31)/SUM(Z30:AK30)*200000</f>
        <v>3.182916794485406</v>
      </c>
      <c r="AL33" s="122">
        <f>SUM(AA31:AL31)/SUM(AA30:AL30)*200000</f>
        <v>3.4817010172377056</v>
      </c>
      <c r="AM33" s="122">
        <f>SUM(AB31:AM31)/SUM(AB30:AM30)*200000</f>
        <v>2.9259039893864918</v>
      </c>
      <c r="AN33" s="122">
        <f>SUM(AC31:AN31)/SUM(AC30:AN30)*200000</f>
        <v>2.8227229195019907</v>
      </c>
      <c r="AO33" s="122">
        <f>SUM(AD31:AO31)/SUM(AD30:AO30)*200000</f>
        <v>2.7088876999451781</v>
      </c>
      <c r="AP33" s="122">
        <f>SUM(AE31:AP31)/SUM(AE30:AP30)*200000</f>
        <v>2.988812035946069</v>
      </c>
      <c r="AQ33" s="122">
        <f>SUM(AF31:AQ31)/SUM(AF30:AQ30)*200000</f>
        <v>2.8894072164389937</v>
      </c>
      <c r="AR33" s="122">
        <f>SUM(AG31:AR31)/SUM(AG30:AR30)*200000</f>
        <v>3.3820166170313448</v>
      </c>
      <c r="AS33" s="122">
        <f>SUM(AH31:AS31)/SUM(AH30:AS30)*200000</f>
        <v>2.9520924111200006</v>
      </c>
      <c r="AT33" s="122">
        <f>SUM(AI31:AT31)/SUM(AI30:AT30)*200000</f>
        <v>3.2504638411901379</v>
      </c>
      <c r="AU33" s="122">
        <f>SUM(AJ31:AU31)/SUM(AJ30:AU30)*200000</f>
        <v>2.9204078375504321</v>
      </c>
      <c r="AV33" s="122">
        <f>SUM(AK31:AV31)/SUM(AK30:AV30)*200000</f>
        <v>2.6045698578111596</v>
      </c>
      <c r="AW33" s="122">
        <f>SUM(AL31:AW31)/SUM(AL30:AW30)*200000</f>
        <v>2.2773168054788857</v>
      </c>
      <c r="AX33" s="122">
        <f>SUM(AM31:AX31)/SUM(AM30:AX30)*200000</f>
        <v>1.9493665046201611</v>
      </c>
      <c r="AY33" s="122">
        <f>SUM(AN31:AY31)/SUM(AN30:AY30)*200000</f>
        <v>1.9425143945172918</v>
      </c>
      <c r="AZ33" s="122">
        <f>SUM(AO31:AZ31)/SUM(AO30:AZ30)*200000</f>
        <v>1.9343493750592695</v>
      </c>
      <c r="BA33" s="122">
        <f>SUM(AP31:BA31)/SUM(AP30:BA30)*200000</f>
        <v>2.5752712762595382</v>
      </c>
      <c r="BB33" s="122">
        <f>SUM(AQ31:BB31)/SUM(AQ30:BB30)*200000</f>
        <v>2.2543805673940951</v>
      </c>
      <c r="BC33" s="122">
        <f>SUM(AR31:BC31)/SUM(AR30:BC30)*200000</f>
        <v>2.2519774211596375</v>
      </c>
      <c r="BD33" s="122">
        <f>SUM(AS31:BD31)/SUM(AS30:BD30)*200000</f>
        <v>1.6062286462944297</v>
      </c>
      <c r="BE33" s="122">
        <f>SUM(AT31:BE31)/SUM(AT30:BE30)*200000</f>
        <v>2.2462843128151784</v>
      </c>
      <c r="BF33" s="122">
        <f>SUM(AU31:BF31)/SUM(AU30:BF30)*200000</f>
        <v>2.2372170809286911</v>
      </c>
      <c r="BG33" s="122">
        <f>SUM(AV31:BG31)/SUM(AV30:BG30)*200000</f>
        <v>2.2355904141587732</v>
      </c>
      <c r="BH33" s="112">
        <f>SUM(AW31:BH31)/SUM(AW30:BH30)*200000</f>
        <v>2.2237804569567037</v>
      </c>
      <c r="BI33" s="112">
        <f>SUM(AX31:BI31)/SUM(AX30:BI30)*200000</f>
        <v>2.5268687880582963</v>
      </c>
      <c r="BJ33" s="112">
        <f>SUM(AY31:BJ31)/SUM(AY30:BJ30)*200000</f>
        <v>2.7073611932532016</v>
      </c>
      <c r="BK33" s="112">
        <f>SUM(AZ31:BK31)/SUM(AZ30:BK30)*200000</f>
        <v>3.0439024485273047</v>
      </c>
      <c r="BL33" s="112">
        <f>SUM(BA31:BL31)/SUM(BA30:BL30)*200000</f>
        <v>3.5319881422916755</v>
      </c>
      <c r="BM33" s="112">
        <f>SUM(BB31:BM31)/SUM(BB30:BM30)*200000</f>
        <v>3.4245796895627079</v>
      </c>
      <c r="BN33" s="112">
        <f>SUM(BC31:BN31)/SUM(BC30:BN30)*200000</f>
        <v>3.2695306111108891</v>
      </c>
      <c r="BO33" s="112">
        <f>SUM(BD31:BO31)/SUM(BD30:BO30)*200000</f>
        <v>2.8857507865573835</v>
      </c>
      <c r="BP33" s="112">
        <f>SUM(BE31:BP31)/SUM(BE30:BP30)*200000</f>
        <v>2.8495423334687127</v>
      </c>
      <c r="XCT33" s="1"/>
      <c r="XCU33" s="1"/>
      <c r="XCV33" s="1"/>
      <c r="XCW33" s="1"/>
      <c r="XCX33" s="1"/>
      <c r="XCY33" s="1"/>
      <c r="XCZ33" s="1"/>
      <c r="XDA33" s="1"/>
      <c r="XDB33" s="1"/>
      <c r="XDC33" s="1"/>
      <c r="XDD33" s="1"/>
      <c r="XDE33" s="1"/>
      <c r="XDF33" s="1"/>
      <c r="XDG33" s="1"/>
      <c r="XDH33" s="1"/>
      <c r="XDI33" s="1"/>
      <c r="XDJ33" s="1"/>
      <c r="XDK33" s="1"/>
      <c r="XDL33" s="1"/>
      <c r="XDM33" s="1"/>
      <c r="XDN33" s="1"/>
      <c r="XDO33" s="1"/>
      <c r="XDP33" s="1"/>
      <c r="XDQ33" s="1"/>
      <c r="XDR33" s="1"/>
      <c r="XDS33" s="1"/>
      <c r="XDT33" s="1"/>
      <c r="XDU33" s="1"/>
      <c r="XDV33" s="1"/>
      <c r="XDW33" s="1"/>
      <c r="XDX33" s="1"/>
      <c r="XDY33" s="1"/>
      <c r="XDZ33" s="1"/>
      <c r="XEA33" s="1"/>
      <c r="XEB33" s="1"/>
      <c r="XEC33" s="1"/>
      <c r="XED33" s="1"/>
      <c r="XEE33" s="1"/>
      <c r="XEF33" s="1"/>
      <c r="XEG33" s="1"/>
      <c r="XEH33" s="1"/>
      <c r="XEI33" s="1"/>
      <c r="XEJ33" s="1"/>
      <c r="XEK33" s="1"/>
      <c r="XEL33" s="1"/>
      <c r="XEM33" s="1"/>
      <c r="XEN33" s="1"/>
      <c r="XEO33" s="1"/>
      <c r="XEP33" s="1"/>
      <c r="XEQ33" s="1"/>
      <c r="XER33" s="1"/>
      <c r="XES33" s="1"/>
      <c r="XET33" s="1"/>
      <c r="XEU33" s="1"/>
      <c r="XEV33" s="1"/>
      <c r="XEW33" s="1"/>
      <c r="XEX33" s="1"/>
      <c r="XEY33" s="1"/>
      <c r="XEZ33" s="1"/>
      <c r="XFA33" s="1"/>
    </row>
    <row r="34" spans="1:68 16322:16381" x14ac:dyDescent="0.25">
      <c r="A34" s="356"/>
      <c r="B34" s="123" t="s">
        <v>270</v>
      </c>
      <c r="C34" s="123"/>
      <c r="D34" s="123"/>
      <c r="E34" s="123"/>
      <c r="F34" s="123"/>
      <c r="G34" s="115"/>
      <c r="H34" s="115"/>
      <c r="I34" s="115"/>
      <c r="J34" s="115"/>
      <c r="K34" s="115"/>
      <c r="L34" s="115"/>
      <c r="M34" s="115"/>
      <c r="N34" s="115"/>
      <c r="O34" s="115"/>
      <c r="P34" s="115"/>
      <c r="Q34" s="115"/>
      <c r="R34" s="115"/>
      <c r="S34" s="115"/>
      <c r="T34" s="115"/>
      <c r="U34" s="115"/>
      <c r="V34" s="115"/>
      <c r="W34" s="115"/>
      <c r="X34" s="115"/>
      <c r="Y34" s="115"/>
      <c r="Z34" s="115"/>
      <c r="AA34" s="115"/>
      <c r="AB34" s="115"/>
      <c r="AC34" s="115"/>
      <c r="AD34" s="115"/>
      <c r="AE34" s="115"/>
      <c r="AF34" s="115"/>
      <c r="AG34" s="115"/>
      <c r="AH34" s="115"/>
      <c r="AI34" s="115"/>
      <c r="AJ34" s="115"/>
      <c r="AK34" s="115"/>
      <c r="AL34" s="115"/>
      <c r="AM34" s="115"/>
      <c r="AN34" s="115"/>
      <c r="AO34" s="115"/>
      <c r="AP34" s="115"/>
      <c r="AQ34" s="115"/>
      <c r="AR34" s="115"/>
      <c r="AS34" s="115"/>
      <c r="AT34" s="115"/>
      <c r="AU34" s="115"/>
      <c r="AV34" s="115"/>
      <c r="AW34" s="115"/>
      <c r="AX34" s="115"/>
      <c r="AY34" s="115"/>
      <c r="AZ34" s="115"/>
      <c r="BA34" s="115"/>
      <c r="BB34" s="115"/>
      <c r="BC34" s="115"/>
      <c r="BD34" s="115"/>
      <c r="BE34" s="115"/>
      <c r="BF34" s="115"/>
      <c r="BG34" s="115"/>
      <c r="BH34" s="115"/>
      <c r="BI34" s="115"/>
      <c r="BJ34" s="115"/>
      <c r="BK34" s="115"/>
      <c r="BL34" s="115"/>
      <c r="BM34" s="115"/>
      <c r="BN34" s="115"/>
      <c r="BO34" s="115"/>
      <c r="BP34" s="115"/>
    </row>
    <row r="35" spans="1:68 16322:16381" x14ac:dyDescent="0.25">
      <c r="A35" s="356"/>
      <c r="B35" s="129" t="s">
        <v>273</v>
      </c>
      <c r="C35" s="129"/>
      <c r="D35" s="129"/>
      <c r="E35" s="129"/>
      <c r="F35" s="129">
        <v>1547.75</v>
      </c>
      <c r="G35" s="8">
        <v>1537</v>
      </c>
      <c r="H35" s="8">
        <v>1140</v>
      </c>
      <c r="I35" s="8">
        <v>1609.5</v>
      </c>
      <c r="J35" s="8">
        <v>1383.95</v>
      </c>
      <c r="K35" s="8">
        <v>2103.75</v>
      </c>
      <c r="L35" s="8">
        <v>1298.5</v>
      </c>
      <c r="M35" s="8">
        <v>1095.1499999999999</v>
      </c>
      <c r="N35" s="8">
        <v>1036.3499999999999</v>
      </c>
      <c r="O35" s="8">
        <v>1086.05</v>
      </c>
      <c r="P35" s="8">
        <v>1598.1499999999999</v>
      </c>
      <c r="Q35" s="8">
        <v>1095</v>
      </c>
      <c r="R35" s="7">
        <v>1119.5</v>
      </c>
      <c r="S35" s="8">
        <v>1153.25</v>
      </c>
      <c r="T35" s="8">
        <v>972.01</v>
      </c>
      <c r="U35" s="8">
        <v>1321.7</v>
      </c>
      <c r="V35" s="8">
        <v>1933</v>
      </c>
      <c r="W35" s="1">
        <v>1244.75</v>
      </c>
      <c r="X35" s="115"/>
      <c r="Y35" s="115"/>
      <c r="Z35" s="115"/>
      <c r="AA35" s="115"/>
      <c r="AB35" s="115"/>
      <c r="AC35" s="115"/>
      <c r="AD35" s="115"/>
      <c r="AE35" s="115"/>
      <c r="AF35" s="115"/>
      <c r="AG35" s="115"/>
      <c r="AH35" s="115"/>
      <c r="AI35" s="115"/>
      <c r="AJ35" s="115"/>
      <c r="AK35" s="115"/>
      <c r="AL35" s="115"/>
      <c r="AM35" s="115"/>
      <c r="AN35" s="115"/>
      <c r="AO35" s="115"/>
      <c r="AP35" s="115"/>
      <c r="AQ35" s="115"/>
      <c r="AR35" s="115"/>
      <c r="AS35" s="115"/>
      <c r="AT35" s="115"/>
      <c r="AU35" s="115"/>
      <c r="AV35" s="115"/>
      <c r="AW35" s="115"/>
      <c r="AX35" s="115"/>
      <c r="AY35" s="115"/>
      <c r="AZ35" s="115"/>
      <c r="BA35" s="115"/>
      <c r="BB35" s="115"/>
      <c r="BC35" s="115"/>
      <c r="BD35" s="115"/>
      <c r="BE35" s="115"/>
      <c r="BF35" s="115"/>
      <c r="BG35" s="115"/>
      <c r="BH35" s="115"/>
      <c r="BI35" s="115"/>
      <c r="BJ35" s="115"/>
      <c r="BK35" s="115"/>
      <c r="BL35" s="115"/>
      <c r="BM35" s="115"/>
      <c r="BN35" s="115"/>
      <c r="BO35" s="115"/>
      <c r="BP35" s="115"/>
    </row>
    <row r="36" spans="1:68 16322:16381" x14ac:dyDescent="0.25">
      <c r="A36" s="356"/>
      <c r="B36" s="129" t="s">
        <v>274</v>
      </c>
      <c r="C36" s="129"/>
      <c r="D36" s="129"/>
      <c r="E36" s="129"/>
      <c r="F36" s="129">
        <v>0</v>
      </c>
      <c r="G36" s="8">
        <v>0</v>
      </c>
      <c r="H36" s="8">
        <v>0</v>
      </c>
      <c r="I36" s="8">
        <v>0</v>
      </c>
      <c r="J36" s="8">
        <v>0</v>
      </c>
      <c r="K36" s="8">
        <v>0</v>
      </c>
      <c r="L36" s="8">
        <v>0</v>
      </c>
      <c r="M36" s="8">
        <v>0</v>
      </c>
      <c r="N36" s="8">
        <v>0</v>
      </c>
      <c r="O36" s="8">
        <v>0</v>
      </c>
      <c r="P36" s="8">
        <v>0</v>
      </c>
      <c r="Q36" s="8">
        <v>0</v>
      </c>
      <c r="R36" s="8">
        <v>0</v>
      </c>
      <c r="S36" s="8">
        <v>0</v>
      </c>
      <c r="T36" s="8">
        <v>0</v>
      </c>
      <c r="U36" s="8">
        <v>0</v>
      </c>
      <c r="V36" s="8">
        <v>0</v>
      </c>
      <c r="W36" s="7">
        <v>0</v>
      </c>
      <c r="X36" s="115"/>
      <c r="Y36" s="115"/>
      <c r="Z36" s="115"/>
      <c r="AA36" s="115"/>
      <c r="AB36" s="115"/>
      <c r="AC36" s="115"/>
      <c r="AD36" s="115"/>
      <c r="AE36" s="115"/>
      <c r="AF36" s="115"/>
      <c r="AG36" s="115"/>
      <c r="AH36" s="115"/>
      <c r="AI36" s="115"/>
      <c r="AJ36" s="115"/>
      <c r="AK36" s="115"/>
      <c r="AL36" s="115"/>
      <c r="AM36" s="115"/>
      <c r="AN36" s="115"/>
      <c r="AO36" s="115"/>
      <c r="AP36" s="115"/>
      <c r="AQ36" s="115"/>
      <c r="AR36" s="115"/>
      <c r="AS36" s="115"/>
      <c r="AT36" s="115"/>
      <c r="AU36" s="115"/>
      <c r="AV36" s="115"/>
      <c r="AW36" s="115"/>
      <c r="AX36" s="115"/>
      <c r="AY36" s="115"/>
      <c r="AZ36" s="115"/>
      <c r="BA36" s="115"/>
      <c r="BB36" s="115"/>
      <c r="BC36" s="115"/>
      <c r="BD36" s="115"/>
      <c r="BE36" s="115"/>
      <c r="BF36" s="115"/>
      <c r="BG36" s="115"/>
      <c r="BH36" s="115"/>
      <c r="BI36" s="115"/>
      <c r="BJ36" s="115"/>
      <c r="BK36" s="115"/>
      <c r="BL36" s="115"/>
      <c r="BM36" s="115"/>
      <c r="BN36" s="115"/>
      <c r="BO36" s="115"/>
      <c r="BP36" s="115"/>
    </row>
    <row r="37" spans="1:68 16322:16381" x14ac:dyDescent="0.25">
      <c r="A37" s="356"/>
      <c r="B37" s="129" t="s">
        <v>275</v>
      </c>
      <c r="C37" s="129"/>
      <c r="D37" s="129"/>
      <c r="E37" s="129"/>
      <c r="F37" s="129">
        <f t="shared" ref="F37:W37" si="2">F36/F35*200000</f>
        <v>0</v>
      </c>
      <c r="G37" s="129">
        <f t="shared" si="2"/>
        <v>0</v>
      </c>
      <c r="H37" s="129">
        <f t="shared" si="2"/>
        <v>0</v>
      </c>
      <c r="I37" s="129">
        <f t="shared" si="2"/>
        <v>0</v>
      </c>
      <c r="J37" s="129">
        <f t="shared" si="2"/>
        <v>0</v>
      </c>
      <c r="K37" s="129">
        <f t="shared" si="2"/>
        <v>0</v>
      </c>
      <c r="L37" s="129">
        <f t="shared" si="2"/>
        <v>0</v>
      </c>
      <c r="M37" s="129">
        <f t="shared" si="2"/>
        <v>0</v>
      </c>
      <c r="N37" s="129">
        <f t="shared" si="2"/>
        <v>0</v>
      </c>
      <c r="O37" s="129">
        <f t="shared" si="2"/>
        <v>0</v>
      </c>
      <c r="P37" s="129">
        <f t="shared" si="2"/>
        <v>0</v>
      </c>
      <c r="Q37" s="129">
        <f t="shared" si="2"/>
        <v>0</v>
      </c>
      <c r="R37" s="129">
        <f t="shared" si="2"/>
        <v>0</v>
      </c>
      <c r="S37" s="129">
        <f t="shared" si="2"/>
        <v>0</v>
      </c>
      <c r="T37" s="129">
        <f t="shared" si="2"/>
        <v>0</v>
      </c>
      <c r="U37" s="129">
        <f t="shared" si="2"/>
        <v>0</v>
      </c>
      <c r="V37" s="129">
        <f t="shared" si="2"/>
        <v>0</v>
      </c>
      <c r="W37" s="129">
        <f t="shared" si="2"/>
        <v>0</v>
      </c>
      <c r="X37" s="115"/>
      <c r="Y37" s="115"/>
      <c r="Z37" s="115"/>
      <c r="AA37" s="115"/>
      <c r="AB37" s="115"/>
      <c r="AC37" s="115"/>
      <c r="AD37" s="115"/>
      <c r="AE37" s="115"/>
      <c r="AF37" s="115"/>
      <c r="AG37" s="115"/>
      <c r="AH37" s="115"/>
      <c r="AI37" s="115"/>
      <c r="AJ37" s="115"/>
      <c r="AK37" s="115"/>
      <c r="AL37" s="115"/>
      <c r="AM37" s="115"/>
      <c r="AN37" s="115"/>
      <c r="AO37" s="115"/>
      <c r="AP37" s="115"/>
      <c r="AQ37" s="115"/>
      <c r="AR37" s="115"/>
      <c r="AS37" s="115"/>
      <c r="AT37" s="115"/>
      <c r="AU37" s="115"/>
      <c r="AV37" s="115"/>
      <c r="AW37" s="115"/>
      <c r="AX37" s="115"/>
      <c r="AY37" s="115"/>
      <c r="AZ37" s="115"/>
      <c r="BA37" s="115"/>
      <c r="BB37" s="115"/>
      <c r="BC37" s="115"/>
      <c r="BD37" s="115"/>
      <c r="BE37" s="115"/>
      <c r="BF37" s="115"/>
      <c r="BG37" s="115"/>
      <c r="BH37" s="115"/>
      <c r="BI37" s="115"/>
      <c r="BJ37" s="115"/>
      <c r="BK37" s="115"/>
      <c r="BL37" s="115"/>
      <c r="BM37" s="115"/>
      <c r="BN37" s="115"/>
      <c r="BO37" s="115"/>
      <c r="BP37" s="115"/>
    </row>
    <row r="38" spans="1:68 16322:16381" s="112" customFormat="1" x14ac:dyDescent="0.25">
      <c r="A38" s="356"/>
      <c r="B38" s="122" t="s">
        <v>276</v>
      </c>
      <c r="C38" s="122"/>
      <c r="D38" s="122"/>
      <c r="E38" s="122"/>
      <c r="F38" s="122"/>
      <c r="G38" s="122"/>
      <c r="H38" s="122"/>
      <c r="I38" s="122"/>
      <c r="J38" s="122"/>
      <c r="K38" s="122"/>
      <c r="L38" s="122"/>
      <c r="M38" s="122"/>
      <c r="N38" s="122"/>
      <c r="O38" s="122"/>
      <c r="P38" s="122"/>
      <c r="Q38" s="122">
        <f t="shared" ref="Q38:W38" si="3">SUM(F36:Q36)/SUM(F35:Q35)*200000</f>
        <v>0</v>
      </c>
      <c r="R38" s="122">
        <f t="shared" si="3"/>
        <v>0</v>
      </c>
      <c r="S38" s="122">
        <f t="shared" si="3"/>
        <v>0</v>
      </c>
      <c r="T38" s="122">
        <f t="shared" si="3"/>
        <v>0</v>
      </c>
      <c r="U38" s="122">
        <f t="shared" si="3"/>
        <v>0</v>
      </c>
      <c r="V38" s="122">
        <f t="shared" si="3"/>
        <v>0</v>
      </c>
      <c r="W38" s="122">
        <f t="shared" si="3"/>
        <v>0</v>
      </c>
      <c r="X38" s="115"/>
      <c r="Y38" s="115"/>
      <c r="Z38" s="115"/>
      <c r="AA38" s="115"/>
      <c r="AB38" s="115"/>
      <c r="AC38" s="115"/>
      <c r="AD38" s="115"/>
      <c r="AE38" s="115"/>
      <c r="AF38" s="115"/>
      <c r="AG38" s="115"/>
      <c r="AH38" s="115"/>
      <c r="AI38" s="115"/>
      <c r="AJ38" s="115"/>
      <c r="AK38" s="115"/>
      <c r="AL38" s="115"/>
      <c r="AM38" s="115"/>
      <c r="AN38" s="115"/>
      <c r="AO38" s="115"/>
      <c r="AP38" s="115"/>
      <c r="AQ38" s="115"/>
      <c r="AR38" s="115"/>
      <c r="AS38" s="115"/>
      <c r="AT38" s="115"/>
      <c r="AU38" s="115"/>
      <c r="AV38" s="115"/>
      <c r="AW38" s="115"/>
      <c r="AX38" s="115"/>
      <c r="AY38" s="115"/>
      <c r="AZ38" s="115"/>
      <c r="BA38" s="115"/>
      <c r="BB38" s="115"/>
      <c r="BC38" s="115"/>
      <c r="BD38" s="115"/>
      <c r="BE38" s="115"/>
      <c r="BF38" s="115"/>
      <c r="BG38" s="115"/>
      <c r="BH38" s="115"/>
      <c r="BI38" s="115"/>
      <c r="BJ38" s="115"/>
      <c r="BK38" s="115"/>
      <c r="BL38" s="115"/>
      <c r="BM38" s="115"/>
      <c r="BN38" s="115"/>
      <c r="BO38" s="115"/>
      <c r="BP38" s="115"/>
      <c r="XCT38" s="1"/>
      <c r="XCU38" s="1"/>
      <c r="XCV38" s="1"/>
      <c r="XCW38" s="1"/>
      <c r="XCX38" s="1"/>
      <c r="XCY38" s="1"/>
      <c r="XCZ38" s="1"/>
      <c r="XDA38" s="1"/>
      <c r="XDB38" s="1"/>
      <c r="XDC38" s="1"/>
      <c r="XDD38" s="1"/>
      <c r="XDE38" s="1"/>
      <c r="XDF38" s="1"/>
      <c r="XDG38" s="1"/>
      <c r="XDH38" s="1"/>
      <c r="XDI38" s="1"/>
      <c r="XDJ38" s="1"/>
      <c r="XDK38" s="1"/>
      <c r="XDL38" s="1"/>
      <c r="XDM38" s="1"/>
      <c r="XDN38" s="1"/>
      <c r="XDO38" s="1"/>
      <c r="XDP38" s="1"/>
      <c r="XDQ38" s="1"/>
      <c r="XDR38" s="1"/>
      <c r="XDS38" s="1"/>
      <c r="XDT38" s="1"/>
      <c r="XDU38" s="1"/>
      <c r="XDV38" s="1"/>
      <c r="XDW38" s="1"/>
      <c r="XDX38" s="1"/>
      <c r="XDY38" s="1"/>
      <c r="XDZ38" s="1"/>
      <c r="XEA38" s="1"/>
      <c r="XEB38" s="1"/>
      <c r="XEC38" s="1"/>
      <c r="XED38" s="1"/>
      <c r="XEE38" s="1"/>
      <c r="XEF38" s="1"/>
      <c r="XEG38" s="1"/>
      <c r="XEH38" s="1"/>
      <c r="XEI38" s="1"/>
      <c r="XEJ38" s="1"/>
      <c r="XEK38" s="1"/>
      <c r="XEL38" s="1"/>
      <c r="XEM38" s="1"/>
      <c r="XEN38" s="1"/>
      <c r="XEO38" s="1"/>
      <c r="XEP38" s="1"/>
      <c r="XEQ38" s="1"/>
      <c r="XER38" s="1"/>
      <c r="XES38" s="1"/>
      <c r="XET38" s="1"/>
      <c r="XEU38" s="1"/>
      <c r="XEV38" s="1"/>
      <c r="XEW38" s="1"/>
      <c r="XEX38" s="1"/>
      <c r="XEY38" s="1"/>
      <c r="XEZ38" s="1"/>
      <c r="XFA38" s="1"/>
    </row>
    <row r="39" spans="1:68 16322:16381" s="112" customFormat="1" outlineLevel="1" x14ac:dyDescent="0.25">
      <c r="A39" s="356"/>
      <c r="B39" s="124"/>
      <c r="C39" s="124"/>
      <c r="D39" s="124"/>
      <c r="E39" s="124"/>
      <c r="F39" s="125"/>
      <c r="G39" s="125"/>
      <c r="H39" s="125"/>
      <c r="I39" s="125"/>
      <c r="J39" s="125"/>
      <c r="K39" s="125"/>
      <c r="L39" s="125"/>
      <c r="M39" s="125"/>
      <c r="N39" s="125"/>
      <c r="O39" s="125"/>
      <c r="P39" s="125"/>
      <c r="Q39" s="125"/>
      <c r="R39" s="125"/>
      <c r="S39" s="125"/>
      <c r="T39" s="125"/>
      <c r="U39" s="125"/>
      <c r="V39" s="125"/>
      <c r="W39" s="125"/>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XCT39" s="1"/>
      <c r="XCU39" s="1"/>
      <c r="XCV39" s="1"/>
      <c r="XCW39" s="1"/>
      <c r="XCX39" s="1"/>
      <c r="XCY39" s="1"/>
      <c r="XCZ39" s="1"/>
      <c r="XDA39" s="1"/>
      <c r="XDB39" s="1"/>
      <c r="XDC39" s="1"/>
      <c r="XDD39" s="1"/>
      <c r="XDE39" s="1"/>
      <c r="XDF39" s="1"/>
      <c r="XDG39" s="1"/>
      <c r="XDH39" s="1"/>
      <c r="XDI39" s="1"/>
      <c r="XDJ39" s="1"/>
      <c r="XDK39" s="1"/>
      <c r="XDL39" s="1"/>
      <c r="XDM39" s="1"/>
      <c r="XDN39" s="1"/>
      <c r="XDO39" s="1"/>
      <c r="XDP39" s="1"/>
      <c r="XDQ39" s="1"/>
      <c r="XDR39" s="1"/>
      <c r="XDS39" s="1"/>
      <c r="XDT39" s="1"/>
      <c r="XDU39" s="1"/>
      <c r="XDV39" s="1"/>
      <c r="XDW39" s="1"/>
      <c r="XDX39" s="1"/>
      <c r="XDY39" s="1"/>
      <c r="XDZ39" s="1"/>
      <c r="XEA39" s="1"/>
      <c r="XEB39" s="1"/>
      <c r="XEC39" s="1"/>
      <c r="XED39" s="1"/>
      <c r="XEE39" s="1"/>
      <c r="XEF39" s="1"/>
      <c r="XEG39" s="1"/>
      <c r="XEH39" s="1"/>
      <c r="XEI39" s="1"/>
      <c r="XEJ39" s="1"/>
      <c r="XEK39" s="1"/>
      <c r="XEL39" s="1"/>
      <c r="XEM39" s="1"/>
      <c r="XEN39" s="1"/>
      <c r="XEO39" s="1"/>
      <c r="XEP39" s="1"/>
      <c r="XEQ39" s="1"/>
      <c r="XER39" s="1"/>
      <c r="XES39" s="1"/>
      <c r="XET39" s="1"/>
      <c r="XEU39" s="1"/>
      <c r="XEV39" s="1"/>
      <c r="XEW39" s="1"/>
      <c r="XEX39" s="1"/>
      <c r="XEY39" s="1"/>
      <c r="XEZ39" s="1"/>
      <c r="XFA39" s="1"/>
    </row>
    <row r="40" spans="1:68 16322:16381" s="122" customFormat="1" outlineLevel="1" x14ac:dyDescent="0.25">
      <c r="A40" s="356"/>
      <c r="B40" s="118" t="s">
        <v>277</v>
      </c>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5"/>
      <c r="BI40" s="115"/>
      <c r="BJ40" s="115"/>
      <c r="BK40" s="115"/>
      <c r="BL40" s="115"/>
      <c r="BM40" s="115"/>
      <c r="BN40" s="115"/>
      <c r="BO40" s="115"/>
      <c r="BP40" s="115"/>
      <c r="XCT40" s="1"/>
      <c r="XCU40" s="1"/>
      <c r="XCV40" s="1"/>
      <c r="XCW40" s="1"/>
      <c r="XCX40" s="1"/>
      <c r="XCY40" s="1"/>
      <c r="XCZ40" s="1"/>
      <c r="XDA40" s="1"/>
      <c r="XDB40" s="1"/>
      <c r="XDC40" s="1"/>
      <c r="XDD40" s="1"/>
      <c r="XDE40" s="1"/>
      <c r="XDF40" s="1"/>
      <c r="XDG40" s="1"/>
      <c r="XDH40" s="1"/>
      <c r="XDI40" s="1"/>
      <c r="XDJ40" s="1"/>
      <c r="XDK40" s="1"/>
      <c r="XDL40" s="1"/>
      <c r="XDM40" s="1"/>
      <c r="XDN40" s="1"/>
      <c r="XDO40" s="1"/>
      <c r="XDP40" s="1"/>
      <c r="XDQ40" s="1"/>
      <c r="XDR40" s="1"/>
      <c r="XDS40" s="1"/>
      <c r="XDT40" s="1"/>
      <c r="XDU40" s="1"/>
      <c r="XDV40" s="1"/>
      <c r="XDW40" s="1"/>
      <c r="XDX40" s="1"/>
      <c r="XDY40" s="1"/>
      <c r="XDZ40" s="1"/>
      <c r="XEA40" s="1"/>
      <c r="XEB40" s="1"/>
      <c r="XEC40" s="1"/>
      <c r="XED40" s="1"/>
      <c r="XEE40" s="1"/>
      <c r="XEF40" s="1"/>
      <c r="XEG40" s="1"/>
      <c r="XEH40" s="1"/>
      <c r="XEI40" s="1"/>
      <c r="XEJ40" s="1"/>
      <c r="XEK40" s="1"/>
      <c r="XEL40" s="1"/>
      <c r="XEM40" s="1"/>
      <c r="XEN40" s="1"/>
      <c r="XEO40" s="1"/>
      <c r="XEP40" s="1"/>
      <c r="XEQ40" s="1"/>
      <c r="XER40" s="1"/>
      <c r="XES40" s="1"/>
      <c r="XET40" s="1"/>
      <c r="XEU40" s="1"/>
      <c r="XEV40" s="1"/>
      <c r="XEW40" s="1"/>
      <c r="XEX40" s="1"/>
      <c r="XEY40" s="1"/>
      <c r="XEZ40" s="1"/>
      <c r="XFA40" s="1"/>
    </row>
    <row r="41" spans="1:68 16322:16381" s="112" customFormat="1" outlineLevel="1" x14ac:dyDescent="0.25">
      <c r="A41" s="356"/>
      <c r="B41" s="126" t="s">
        <v>273</v>
      </c>
      <c r="C41" s="122">
        <f>C25+C30</f>
        <v>79441.540000000008</v>
      </c>
      <c r="D41" s="122">
        <f>D25+D30</f>
        <v>82531.3</v>
      </c>
      <c r="E41" s="122">
        <f>E25+E30</f>
        <v>120563</v>
      </c>
      <c r="F41" s="122">
        <f>F25+F30</f>
        <v>84664</v>
      </c>
      <c r="G41" s="122">
        <f>G25+G30</f>
        <v>85233.25</v>
      </c>
      <c r="H41" s="122">
        <f>H25+H30</f>
        <v>68732</v>
      </c>
      <c r="I41" s="122">
        <f>I25+I30</f>
        <v>83848.209999999992</v>
      </c>
      <c r="J41" s="122">
        <f>J25+J30</f>
        <v>81474.81</v>
      </c>
      <c r="K41" s="122">
        <f>K25+K30</f>
        <v>121874.23000000001</v>
      </c>
      <c r="L41" s="122">
        <f>L25+L30</f>
        <v>78564.62</v>
      </c>
      <c r="M41" s="122">
        <f>M25+M30</f>
        <v>80999.490000000005</v>
      </c>
      <c r="N41" s="122">
        <f>N25+N30</f>
        <v>80425.17</v>
      </c>
      <c r="O41" s="122">
        <f>O25+O30</f>
        <v>78442.899999999994</v>
      </c>
      <c r="P41" s="122">
        <f>P25+P30</f>
        <v>122233.93</v>
      </c>
      <c r="Q41" s="122">
        <f>Q25+Q30</f>
        <v>80969.05</v>
      </c>
      <c r="R41" s="122">
        <f>R25+R30</f>
        <v>85183.97</v>
      </c>
      <c r="S41" s="122">
        <f>S25+S30</f>
        <v>87254.830000000016</v>
      </c>
      <c r="T41" s="122">
        <f>T25+T30</f>
        <v>70507.02</v>
      </c>
      <c r="U41" s="122">
        <f>U25+U30</f>
        <v>85268.63</v>
      </c>
      <c r="V41" s="122">
        <f>V25+V30</f>
        <v>124809.22</v>
      </c>
      <c r="W41" s="122">
        <f>W25+W30</f>
        <v>81121.759999999995</v>
      </c>
      <c r="X41" s="122">
        <f>X25+X30</f>
        <v>85656.47</v>
      </c>
      <c r="Y41" s="122">
        <f>Y25+Y30</f>
        <v>82137.950000000012</v>
      </c>
      <c r="Z41" s="122">
        <f>Z25+Z30</f>
        <v>81701.350000000006</v>
      </c>
      <c r="AA41" s="122">
        <f>AA25+AA30</f>
        <v>122344.55</v>
      </c>
      <c r="AB41" s="122">
        <f>AB25+AB30</f>
        <v>82398.22</v>
      </c>
      <c r="AC41" s="122">
        <f>AC25+AC30</f>
        <v>84056.1</v>
      </c>
      <c r="AD41" s="122">
        <f>AD25+AD30</f>
        <v>87450.55</v>
      </c>
      <c r="AE41" s="122">
        <f>AE25+AE30</f>
        <v>87676.670000000013</v>
      </c>
      <c r="AF41" s="122">
        <f>AF25+AF30</f>
        <v>70060.28</v>
      </c>
      <c r="AG41" s="122">
        <f>AG25+AG30</f>
        <v>85509.819999999992</v>
      </c>
      <c r="AH41" s="122">
        <f>AH25+AH30</f>
        <v>123801.33</v>
      </c>
      <c r="AI41" s="122">
        <f>AI25+AI30</f>
        <v>99830.03</v>
      </c>
      <c r="AJ41" s="122">
        <f>AJ25+AJ30</f>
        <v>106579.93</v>
      </c>
      <c r="AK41" s="122">
        <f>AK25+AK30</f>
        <v>100416.25</v>
      </c>
      <c r="AL41" s="122">
        <f>AL25+AL30</f>
        <v>98872.959999999992</v>
      </c>
      <c r="AM41" s="122">
        <f>AM25+AM30</f>
        <v>138671.25</v>
      </c>
      <c r="AN41" s="122">
        <f>AN25+AN30</f>
        <v>97386.210000000021</v>
      </c>
      <c r="AO41" s="122">
        <f>AO25+AO30</f>
        <v>103731.86000000002</v>
      </c>
      <c r="AP41" s="122">
        <f>AP25+AP30</f>
        <v>99459.510000000009</v>
      </c>
      <c r="AQ41" s="122">
        <f>AQ25+AQ30</f>
        <v>102958.15</v>
      </c>
      <c r="AR41" s="122">
        <f>AR25+AR30</f>
        <v>206155.48</v>
      </c>
      <c r="AS41" s="122">
        <f>AS25+AS30</f>
        <v>167593.5</v>
      </c>
      <c r="AT41" s="122">
        <f>AT25+AT30</f>
        <v>172352.11</v>
      </c>
      <c r="AU41" s="122">
        <f>AU25+AU30</f>
        <v>175384.9</v>
      </c>
      <c r="AV41" s="122">
        <f>AV25+AV30</f>
        <v>171504.28</v>
      </c>
      <c r="AW41" s="122">
        <f>AW25+AW30</f>
        <v>166045.96999999997</v>
      </c>
      <c r="AX41" s="122">
        <f>AX25+AX30</f>
        <v>175671.17</v>
      </c>
      <c r="AY41" s="122">
        <f>AY25+AY30</f>
        <v>211842.28000000003</v>
      </c>
      <c r="AZ41" s="122">
        <f>AZ25+AZ30</f>
        <v>171442.96</v>
      </c>
      <c r="BA41" s="122">
        <f>BA25+BA30</f>
        <v>179217.59000000003</v>
      </c>
      <c r="BB41" s="122">
        <f>BB25+BB30</f>
        <v>166768.62000000005</v>
      </c>
      <c r="BC41" s="122">
        <f>BC25+BC30</f>
        <v>175799.51000000007</v>
      </c>
      <c r="BD41" s="122">
        <f>BD25+BD30</f>
        <v>204341.94999999995</v>
      </c>
      <c r="BE41" s="122">
        <f>BE25+BE30</f>
        <v>165802.71000000002</v>
      </c>
      <c r="BF41" s="122">
        <f>BF25+BF30</f>
        <v>172516.51999999996</v>
      </c>
      <c r="BG41" s="122">
        <f>BG25+BG30</f>
        <v>166515.74999999994</v>
      </c>
      <c r="BH41" s="112">
        <f>BH25+BH30</f>
        <v>171959.05</v>
      </c>
      <c r="BI41" s="112">
        <f>BI25+BI30</f>
        <v>169255.08000000002</v>
      </c>
      <c r="BJ41" s="112">
        <f>BJ25+BJ30</f>
        <v>245685.75</v>
      </c>
      <c r="BK41" s="112">
        <f>BK25+BK30</f>
        <v>171370.11</v>
      </c>
      <c r="BL41" s="112">
        <f>BL25+BL30</f>
        <v>188851.40999999997</v>
      </c>
      <c r="BM41" s="112">
        <f>BM25+BM30</f>
        <v>195273.36</v>
      </c>
      <c r="BN41" s="112">
        <f>BN25+BN30</f>
        <v>212283.16740999999</v>
      </c>
      <c r="BO41" s="112">
        <f>BO25+BO30</f>
        <v>356145.09299999999</v>
      </c>
      <c r="BP41" s="112">
        <f>BP25+BP30</f>
        <v>304477.38099999999</v>
      </c>
      <c r="XCT41" s="1"/>
      <c r="XCU41" s="1"/>
      <c r="XCV41" s="1"/>
      <c r="XCW41" s="1"/>
      <c r="XCX41" s="1"/>
      <c r="XCY41" s="1"/>
      <c r="XCZ41" s="1"/>
      <c r="XDA41" s="1"/>
      <c r="XDB41" s="1"/>
      <c r="XDC41" s="1"/>
      <c r="XDD41" s="1"/>
      <c r="XDE41" s="1"/>
      <c r="XDF41" s="1"/>
      <c r="XDG41" s="1"/>
      <c r="XDH41" s="1"/>
      <c r="XDI41" s="1"/>
      <c r="XDJ41" s="1"/>
      <c r="XDK41" s="1"/>
      <c r="XDL41" s="1"/>
      <c r="XDM41" s="1"/>
      <c r="XDN41" s="1"/>
      <c r="XDO41" s="1"/>
      <c r="XDP41" s="1"/>
      <c r="XDQ41" s="1"/>
      <c r="XDR41" s="1"/>
      <c r="XDS41" s="1"/>
      <c r="XDT41" s="1"/>
      <c r="XDU41" s="1"/>
      <c r="XDV41" s="1"/>
      <c r="XDW41" s="1"/>
      <c r="XDX41" s="1"/>
      <c r="XDY41" s="1"/>
      <c r="XDZ41" s="1"/>
      <c r="XEA41" s="1"/>
      <c r="XEB41" s="1"/>
      <c r="XEC41" s="1"/>
      <c r="XED41" s="1"/>
      <c r="XEE41" s="1"/>
      <c r="XEF41" s="1"/>
      <c r="XEG41" s="1"/>
      <c r="XEH41" s="1"/>
      <c r="XEI41" s="1"/>
      <c r="XEJ41" s="1"/>
      <c r="XEK41" s="1"/>
      <c r="XEL41" s="1"/>
      <c r="XEM41" s="1"/>
      <c r="XEN41" s="1"/>
      <c r="XEO41" s="1"/>
      <c r="XEP41" s="1"/>
      <c r="XEQ41" s="1"/>
      <c r="XER41" s="1"/>
      <c r="XES41" s="1"/>
      <c r="XET41" s="1"/>
      <c r="XEU41" s="1"/>
      <c r="XEV41" s="1"/>
      <c r="XEW41" s="1"/>
      <c r="XEX41" s="1"/>
      <c r="XEY41" s="1"/>
      <c r="XEZ41" s="1"/>
      <c r="XFA41" s="1"/>
    </row>
    <row r="42" spans="1:68 16322:16381" s="112" customFormat="1" outlineLevel="1" x14ac:dyDescent="0.25">
      <c r="A42" s="356"/>
      <c r="B42" s="126" t="s">
        <v>274</v>
      </c>
      <c r="C42" s="127">
        <f>C26+C31</f>
        <v>1</v>
      </c>
      <c r="D42" s="127">
        <f>D26+D31</f>
        <v>4</v>
      </c>
      <c r="E42" s="127">
        <f>E26+E31</f>
        <v>1</v>
      </c>
      <c r="F42" s="127">
        <f>F26+F31</f>
        <v>3</v>
      </c>
      <c r="G42" s="127">
        <f>G26+G31</f>
        <v>1</v>
      </c>
      <c r="H42" s="127">
        <f>H26+H31</f>
        <v>0</v>
      </c>
      <c r="I42" s="127">
        <f>I26+I31</f>
        <v>0</v>
      </c>
      <c r="J42" s="127">
        <f>J26+J31</f>
        <v>4</v>
      </c>
      <c r="K42" s="127">
        <f>K26+K31</f>
        <v>0</v>
      </c>
      <c r="L42" s="127">
        <f>L26+L31</f>
        <v>2</v>
      </c>
      <c r="M42" s="127">
        <f>M26+M31</f>
        <v>0</v>
      </c>
      <c r="N42" s="127">
        <f>N26+N31</f>
        <v>1</v>
      </c>
      <c r="O42" s="127">
        <f>O26+O31</f>
        <v>1</v>
      </c>
      <c r="P42" s="127">
        <f>P26+P31</f>
        <v>4</v>
      </c>
      <c r="Q42" s="127">
        <f>Q26+Q31</f>
        <v>1</v>
      </c>
      <c r="R42" s="127">
        <f>R26+R31</f>
        <v>0</v>
      </c>
      <c r="S42" s="127">
        <f>S26+S31</f>
        <v>1</v>
      </c>
      <c r="T42" s="127">
        <f>T26+T31</f>
        <v>3</v>
      </c>
      <c r="U42" s="127">
        <f>U26+U31</f>
        <v>3</v>
      </c>
      <c r="V42" s="127">
        <f>V26+V31</f>
        <v>3</v>
      </c>
      <c r="W42" s="127">
        <f>W26+W31</f>
        <v>2</v>
      </c>
      <c r="X42" s="127">
        <f>X26+X31</f>
        <v>2</v>
      </c>
      <c r="Y42" s="127">
        <f>Y26+Y31</f>
        <v>2</v>
      </c>
      <c r="Z42" s="127">
        <f>Z26+Z31</f>
        <v>0</v>
      </c>
      <c r="AA42" s="127">
        <f>AA26+AA31</f>
        <v>1</v>
      </c>
      <c r="AB42" s="127">
        <f>AB26+AB31</f>
        <v>1</v>
      </c>
      <c r="AC42" s="127">
        <f>AC26+AC31</f>
        <v>0</v>
      </c>
      <c r="AD42" s="127">
        <f>AD26+AD31</f>
        <v>1</v>
      </c>
      <c r="AE42" s="127">
        <f>AE26+AE31</f>
        <v>2</v>
      </c>
      <c r="AF42" s="127">
        <f>AF26+AF31</f>
        <v>2</v>
      </c>
      <c r="AG42" s="127">
        <f>AG26+AG31</f>
        <v>1</v>
      </c>
      <c r="AH42" s="127">
        <f>AH26+AH31</f>
        <v>0</v>
      </c>
      <c r="AI42" s="127">
        <f>AI26+AI31</f>
        <v>2</v>
      </c>
      <c r="AJ42" s="127">
        <f>AJ26+AJ31</f>
        <v>2</v>
      </c>
      <c r="AK42" s="127">
        <f>AK26+AK31</f>
        <v>3</v>
      </c>
      <c r="AL42" s="127">
        <f>AL26+AL31</f>
        <v>1</v>
      </c>
      <c r="AM42" s="127">
        <f>AM26+AM31</f>
        <v>0</v>
      </c>
      <c r="AN42" s="127">
        <f>AN26+AN31</f>
        <v>2</v>
      </c>
      <c r="AO42" s="127">
        <f>AO26+AO31</f>
        <v>1</v>
      </c>
      <c r="AP42" s="127">
        <f>AP26+AP31</f>
        <v>2</v>
      </c>
      <c r="AQ42" s="127">
        <f>AQ26+AQ31</f>
        <v>1</v>
      </c>
      <c r="AR42" s="127">
        <f>AR26+AR31</f>
        <v>2</v>
      </c>
      <c r="AS42" s="127">
        <f>AS26+AS31</f>
        <v>0</v>
      </c>
      <c r="AT42" s="127">
        <f>AT26+AT31</f>
        <v>4</v>
      </c>
      <c r="AU42" s="127">
        <f>AU26+AU31</f>
        <v>0</v>
      </c>
      <c r="AV42" s="127">
        <f>AV26+AV31</f>
        <v>2</v>
      </c>
      <c r="AW42" s="127">
        <f>AW26+AW31</f>
        <v>0</v>
      </c>
      <c r="AX42" s="127">
        <f>AX26+AX31</f>
        <v>1</v>
      </c>
      <c r="AY42" s="127">
        <f>AY26+AY31</f>
        <v>0</v>
      </c>
      <c r="AZ42" s="127">
        <f>AZ26+AZ31</f>
        <v>0</v>
      </c>
      <c r="BA42" s="127">
        <f>BA26+BA31</f>
        <v>2</v>
      </c>
      <c r="BB42" s="127">
        <f>BB26+BB31</f>
        <v>2</v>
      </c>
      <c r="BC42" s="127">
        <f>BC26+BC31</f>
        <v>0</v>
      </c>
      <c r="BD42" s="127">
        <f>BD26+BD31</f>
        <v>1</v>
      </c>
      <c r="BE42" s="127">
        <f>BE26+BE31</f>
        <v>3</v>
      </c>
      <c r="BF42" s="127">
        <f>BF26+BF31</f>
        <v>1</v>
      </c>
      <c r="BG42" s="127">
        <f>BG26+BG31</f>
        <v>0</v>
      </c>
      <c r="BH42" s="112">
        <f>BH26+BH31</f>
        <v>2</v>
      </c>
      <c r="BI42" s="112">
        <f>BI26+BI31</f>
        <v>2</v>
      </c>
      <c r="BJ42" s="112">
        <f>BJ26+BJ31</f>
        <v>1</v>
      </c>
      <c r="BK42" s="112">
        <f>BK26+BK31</f>
        <v>4</v>
      </c>
      <c r="BL42" s="112">
        <f>BL26+BL31</f>
        <v>3</v>
      </c>
      <c r="BM42" s="112">
        <f>BM26+BM31</f>
        <v>2</v>
      </c>
      <c r="BN42" s="112">
        <f>BN26+BN31</f>
        <v>1</v>
      </c>
      <c r="BO42" s="112">
        <f>BO26+BO31</f>
        <v>1</v>
      </c>
      <c r="BP42" s="112">
        <f>BP26+BP31</f>
        <v>2</v>
      </c>
      <c r="XCT42" s="1"/>
      <c r="XCU42" s="1"/>
      <c r="XCV42" s="1"/>
      <c r="XCW42" s="1"/>
      <c r="XCX42" s="1"/>
      <c r="XCY42" s="1"/>
      <c r="XCZ42" s="1"/>
      <c r="XDA42" s="1"/>
      <c r="XDB42" s="1"/>
      <c r="XDC42" s="1"/>
      <c r="XDD42" s="1"/>
      <c r="XDE42" s="1"/>
      <c r="XDF42" s="1"/>
      <c r="XDG42" s="1"/>
      <c r="XDH42" s="1"/>
      <c r="XDI42" s="1"/>
      <c r="XDJ42" s="1"/>
      <c r="XDK42" s="1"/>
      <c r="XDL42" s="1"/>
      <c r="XDM42" s="1"/>
      <c r="XDN42" s="1"/>
      <c r="XDO42" s="1"/>
      <c r="XDP42" s="1"/>
      <c r="XDQ42" s="1"/>
      <c r="XDR42" s="1"/>
      <c r="XDS42" s="1"/>
      <c r="XDT42" s="1"/>
      <c r="XDU42" s="1"/>
      <c r="XDV42" s="1"/>
      <c r="XDW42" s="1"/>
      <c r="XDX42" s="1"/>
      <c r="XDY42" s="1"/>
      <c r="XDZ42" s="1"/>
      <c r="XEA42" s="1"/>
      <c r="XEB42" s="1"/>
      <c r="XEC42" s="1"/>
      <c r="XED42" s="1"/>
      <c r="XEE42" s="1"/>
      <c r="XEF42" s="1"/>
      <c r="XEG42" s="1"/>
      <c r="XEH42" s="1"/>
      <c r="XEI42" s="1"/>
      <c r="XEJ42" s="1"/>
      <c r="XEK42" s="1"/>
      <c r="XEL42" s="1"/>
      <c r="XEM42" s="1"/>
      <c r="XEN42" s="1"/>
      <c r="XEO42" s="1"/>
      <c r="XEP42" s="1"/>
      <c r="XEQ42" s="1"/>
      <c r="XER42" s="1"/>
      <c r="XES42" s="1"/>
      <c r="XET42" s="1"/>
      <c r="XEU42" s="1"/>
      <c r="XEV42" s="1"/>
      <c r="XEW42" s="1"/>
      <c r="XEX42" s="1"/>
      <c r="XEY42" s="1"/>
      <c r="XEZ42" s="1"/>
      <c r="XFA42" s="1"/>
    </row>
    <row r="43" spans="1:68 16322:16381" s="112" customFormat="1" outlineLevel="1" x14ac:dyDescent="0.25">
      <c r="A43" s="356"/>
      <c r="B43" s="126" t="s">
        <v>275</v>
      </c>
      <c r="C43" s="122">
        <f>C42/C41*200000</f>
        <v>2.5175745585999465</v>
      </c>
      <c r="D43" s="122">
        <f>D42/D41*200000</f>
        <v>9.6932921206863334</v>
      </c>
      <c r="E43" s="122">
        <f>E42/E41*200000</f>
        <v>1.6588837371332832</v>
      </c>
      <c r="F43" s="122">
        <f>F42/F41*200000</f>
        <v>7.0868373807049032</v>
      </c>
      <c r="G43" s="122">
        <f>G42/G41*200000</f>
        <v>2.3465020986528144</v>
      </c>
      <c r="H43" s="122">
        <f>H42/H41*200000</f>
        <v>0</v>
      </c>
      <c r="I43" s="122">
        <f>I42/I41*200000</f>
        <v>0</v>
      </c>
      <c r="J43" s="122">
        <f>J42/J41*200000</f>
        <v>9.8189857699576102</v>
      </c>
      <c r="K43" s="122">
        <f>K42/K41*200000</f>
        <v>0</v>
      </c>
      <c r="L43" s="122">
        <f>L42/L41*200000</f>
        <v>5.0913502795533159</v>
      </c>
      <c r="M43" s="122">
        <f>M42/M41*200000</f>
        <v>0</v>
      </c>
      <c r="N43" s="122">
        <f>N42/N41*200000</f>
        <v>2.4867836772990346</v>
      </c>
      <c r="O43" s="122">
        <f>O42/O41*200000</f>
        <v>2.5496252688261145</v>
      </c>
      <c r="P43" s="122">
        <f>P42/P41*200000</f>
        <v>6.5448276104678955</v>
      </c>
      <c r="Q43" s="122">
        <f>Q42/Q41*200000</f>
        <v>2.4700796168412498</v>
      </c>
      <c r="R43" s="122">
        <f>R42/R41*200000</f>
        <v>0</v>
      </c>
      <c r="S43" s="122">
        <f>S42/S41*200000</f>
        <v>2.2921367218296105</v>
      </c>
      <c r="T43" s="122">
        <f>T42/T41*200000</f>
        <v>8.5097909399659777</v>
      </c>
      <c r="U43" s="122">
        <f>U42/U41*200000</f>
        <v>7.0365854359334721</v>
      </c>
      <c r="V43" s="122">
        <f>V42/V41*200000</f>
        <v>4.8073371502522004</v>
      </c>
      <c r="W43" s="122">
        <f>W42/W41*200000</f>
        <v>4.9308594882556793</v>
      </c>
      <c r="X43" s="122">
        <f>X42/X41*200000</f>
        <v>4.6698165357503063</v>
      </c>
      <c r="Y43" s="122">
        <f>Y42/Y41*200000</f>
        <v>4.8698561383623522</v>
      </c>
      <c r="Z43" s="122">
        <f>Z42/Z41*200000</f>
        <v>0</v>
      </c>
      <c r="AA43" s="122">
        <f>AA42/AA41*200000</f>
        <v>1.6347274970564687</v>
      </c>
      <c r="AB43" s="122">
        <f>AB42/AB41*200000</f>
        <v>2.4272368990495181</v>
      </c>
      <c r="AC43" s="122">
        <f>AC42/AC41*200000</f>
        <v>0</v>
      </c>
      <c r="AD43" s="122">
        <f>AD42/AD41*200000</f>
        <v>2.2870067712552977</v>
      </c>
      <c r="AE43" s="122">
        <f>AE42/AE41*200000</f>
        <v>4.5622170641289177</v>
      </c>
      <c r="AF43" s="122">
        <f>AF42/AF41*200000</f>
        <v>5.7093691318390398</v>
      </c>
      <c r="AG43" s="122">
        <f>AG42/AG41*200000</f>
        <v>2.3389126535408451</v>
      </c>
      <c r="AH43" s="122">
        <f>AH42/AH41*200000</f>
        <v>0</v>
      </c>
      <c r="AI43" s="122">
        <f>AI42/AI41*200000</f>
        <v>4.006810375595399</v>
      </c>
      <c r="AJ43" s="122">
        <f>AJ42/AJ41*200000</f>
        <v>3.753051817542008</v>
      </c>
      <c r="AK43" s="122">
        <f>AK42/AK41*200000</f>
        <v>5.9751285275042632</v>
      </c>
      <c r="AL43" s="122">
        <f>AL42/AL41*200000</f>
        <v>2.022797739644894</v>
      </c>
      <c r="AM43" s="122">
        <f>AM42/AM41*200000</f>
        <v>0</v>
      </c>
      <c r="AN43" s="122">
        <f>AN42/AN41*200000</f>
        <v>4.1073577049563781</v>
      </c>
      <c r="AO43" s="122">
        <f>AO42/AO41*200000</f>
        <v>1.9280479497812917</v>
      </c>
      <c r="AP43" s="122">
        <f>AP42/AP41*200000</f>
        <v>4.0217370867803384</v>
      </c>
      <c r="AQ43" s="122">
        <f>AQ42/AQ41*200000</f>
        <v>1.9425368462817174</v>
      </c>
      <c r="AR43" s="122">
        <f>AR42/AR41*200000</f>
        <v>1.9402831299948951</v>
      </c>
      <c r="AS43" s="122">
        <f>AS42/AS41*200000</f>
        <v>0</v>
      </c>
      <c r="AT43" s="122">
        <f>AT42/AT41*200000</f>
        <v>4.6416606097830773</v>
      </c>
      <c r="AU43" s="122">
        <f>AU42/AU41*200000</f>
        <v>0</v>
      </c>
      <c r="AV43" s="122">
        <f>AV42/AV41*200000</f>
        <v>2.3323033104479958</v>
      </c>
      <c r="AW43" s="122">
        <f>AW42/AW41*200000</f>
        <v>0</v>
      </c>
      <c r="AX43" s="122">
        <f>AX42/AX41*200000</f>
        <v>1.1384907381216849</v>
      </c>
      <c r="AY43" s="122">
        <f>AY42/AY41*200000</f>
        <v>0</v>
      </c>
      <c r="AZ43" s="122">
        <f>AZ42/AZ41*200000</f>
        <v>0</v>
      </c>
      <c r="BA43" s="122">
        <f>BA42/BA41*200000</f>
        <v>2.2319237748928549</v>
      </c>
      <c r="BB43" s="122">
        <f>BB42/BB41*200000</f>
        <v>2.3985327695342198</v>
      </c>
      <c r="BC43" s="122">
        <f>BC42/BC41*200000</f>
        <v>0</v>
      </c>
      <c r="BD43" s="122">
        <f>BD42/BD41*200000</f>
        <v>0.97875154856846602</v>
      </c>
      <c r="BE43" s="122">
        <f>BE42/BE41*200000</f>
        <v>3.6187587042455456</v>
      </c>
      <c r="BF43" s="122">
        <f>BF42/BF41*200000</f>
        <v>1.1593092649909704</v>
      </c>
      <c r="BG43" s="122">
        <f>BG42/BG41*200000</f>
        <v>0</v>
      </c>
      <c r="BH43" s="112">
        <f>BH42/BH41*200000</f>
        <v>2.3261352048641815</v>
      </c>
      <c r="BI43" s="112">
        <f>BI42/BI41*200000</f>
        <v>2.3632968652994046</v>
      </c>
      <c r="BJ43" s="112">
        <f>BJ42/BJ41*200000</f>
        <v>0.814048026798461</v>
      </c>
      <c r="BK43" s="112">
        <f>BK42/BK41*200000</f>
        <v>4.6682586595760487</v>
      </c>
      <c r="BL43" s="112">
        <f>BL42/BL41*200000</f>
        <v>3.1771009811364399</v>
      </c>
      <c r="BM43" s="112">
        <f>BM42/BM41*200000</f>
        <v>2.048410494908266</v>
      </c>
      <c r="BN43" s="112">
        <f>BN42/BN41*200000</f>
        <v>0.94213781733208968</v>
      </c>
      <c r="BO43" s="112">
        <f>BO42/BO41*200000</f>
        <v>0.56156887721039017</v>
      </c>
      <c r="BP43" s="112">
        <f>BP42/BP41*200000</f>
        <v>1.3137264866318592</v>
      </c>
      <c r="XCT43" s="1"/>
      <c r="XCU43" s="1"/>
      <c r="XCV43" s="1"/>
      <c r="XCW43" s="1"/>
      <c r="XCX43" s="1"/>
      <c r="XCY43" s="1"/>
      <c r="XCZ43" s="1"/>
      <c r="XDA43" s="1"/>
      <c r="XDB43" s="1"/>
      <c r="XDC43" s="1"/>
      <c r="XDD43" s="1"/>
      <c r="XDE43" s="1"/>
      <c r="XDF43" s="1"/>
      <c r="XDG43" s="1"/>
      <c r="XDH43" s="1"/>
      <c r="XDI43" s="1"/>
      <c r="XDJ43" s="1"/>
      <c r="XDK43" s="1"/>
      <c r="XDL43" s="1"/>
      <c r="XDM43" s="1"/>
      <c r="XDN43" s="1"/>
      <c r="XDO43" s="1"/>
      <c r="XDP43" s="1"/>
      <c r="XDQ43" s="1"/>
      <c r="XDR43" s="1"/>
      <c r="XDS43" s="1"/>
      <c r="XDT43" s="1"/>
      <c r="XDU43" s="1"/>
      <c r="XDV43" s="1"/>
      <c r="XDW43" s="1"/>
      <c r="XDX43" s="1"/>
      <c r="XDY43" s="1"/>
      <c r="XDZ43" s="1"/>
      <c r="XEA43" s="1"/>
      <c r="XEB43" s="1"/>
      <c r="XEC43" s="1"/>
      <c r="XED43" s="1"/>
      <c r="XEE43" s="1"/>
      <c r="XEF43" s="1"/>
      <c r="XEG43" s="1"/>
      <c r="XEH43" s="1"/>
      <c r="XEI43" s="1"/>
      <c r="XEJ43" s="1"/>
      <c r="XEK43" s="1"/>
      <c r="XEL43" s="1"/>
      <c r="XEM43" s="1"/>
      <c r="XEN43" s="1"/>
      <c r="XEO43" s="1"/>
      <c r="XEP43" s="1"/>
      <c r="XEQ43" s="1"/>
      <c r="XER43" s="1"/>
      <c r="XES43" s="1"/>
      <c r="XET43" s="1"/>
      <c r="XEU43" s="1"/>
      <c r="XEV43" s="1"/>
      <c r="XEW43" s="1"/>
      <c r="XEX43" s="1"/>
      <c r="XEY43" s="1"/>
      <c r="XEZ43" s="1"/>
      <c r="XFA43" s="1"/>
    </row>
    <row r="44" spans="1:68 16322:16381" s="116" customFormat="1" ht="15.75" outlineLevel="1" thickBot="1" x14ac:dyDescent="0.3">
      <c r="A44" s="357"/>
      <c r="B44" s="116" t="s">
        <v>276</v>
      </c>
      <c r="L44" s="116">
        <f>SUM(C42:L42)/SUM(C41:L41)*200000</f>
        <v>3.607963388552311</v>
      </c>
      <c r="M44" s="116">
        <f>SUM(C42:M42)/SUM(C41:M41)*200000</f>
        <v>3.306036321251475</v>
      </c>
      <c r="N44" s="116">
        <f>SUM(C42:N42)/SUM(C41:N41)*200000</f>
        <v>3.2431866705180461</v>
      </c>
      <c r="O44" s="116">
        <f>SUM(D42:O42)/SUM(D41:O41)*200000</f>
        <v>3.2462790147405696</v>
      </c>
      <c r="P44" s="116">
        <f>SUM(E42:P42)/SUM(E41:P41)*200000</f>
        <v>3.1277148737588503</v>
      </c>
      <c r="Q44" s="116">
        <f>SUM(F42:Q42)/SUM(F41:Q41)*200000</f>
        <v>3.2459421951539493</v>
      </c>
      <c r="R44" s="116">
        <f>SUM(G42:R42)/SUM(G41:R41)*200000</f>
        <v>2.6718025582185061</v>
      </c>
      <c r="S44" s="116">
        <f>SUM(H42:S42)/SUM(H41:S41)*200000</f>
        <v>2.6666585143106367</v>
      </c>
      <c r="T44" s="116">
        <f>SUM(I42:T42)/SUM(I41:T41)*200000</f>
        <v>3.2326206257378036</v>
      </c>
      <c r="U44" s="116">
        <f>SUM(J42:U42)/SUM(J41:U41)*200000</f>
        <v>3.7979539757290808</v>
      </c>
      <c r="V44" s="116">
        <f>SUM(K42:V42)/SUM(K41:V41)*200000</f>
        <v>3.465467789908677</v>
      </c>
      <c r="W44" s="116">
        <f>SUM(L42:W42)/SUM(L41:W41)*200000</f>
        <v>3.9780992753428062</v>
      </c>
      <c r="X44" s="116">
        <f>SUM(M42:X42)/SUM(M41:X41)*200000</f>
        <v>3.9515560305618602</v>
      </c>
      <c r="Y44" s="116">
        <f>SUM(N42:Y42)/SUM(N41:Y41)*200000</f>
        <v>4.3232639816001877</v>
      </c>
      <c r="Z44" s="116">
        <f>SUM(O42:Z42)/SUM(O41:Z41)*200000</f>
        <v>4.1303420294931197</v>
      </c>
      <c r="AA44" s="116">
        <f>SUM(P42:AA42)/SUM(P41:AA41)*200000</f>
        <v>3.9668632406677995</v>
      </c>
      <c r="AB44" s="116">
        <f>SUM(Q42:AB42)/SUM(Q41:AB41)*200000</f>
        <v>3.5535505384367823</v>
      </c>
      <c r="AC44" s="116">
        <f>SUM(R42:AC42)/SUM(R41:AC41)*200000</f>
        <v>3.3568309322869667</v>
      </c>
      <c r="AD44" s="116">
        <f>SUM(S42:AD42)/SUM(S41:AD41)*200000</f>
        <v>3.5358485964518778</v>
      </c>
      <c r="AE44" s="116">
        <f>SUM(T42:AE42)/SUM(T41:AE41)*200000</f>
        <v>3.7204855393609741</v>
      </c>
      <c r="AF44" s="116">
        <f>SUM(U42:AF42)/SUM(U41:AF41)*200000</f>
        <v>3.5359305208262817</v>
      </c>
      <c r="AG44" s="116">
        <f>SUM(V42:AG42)/SUM(V41:AG41)*200000</f>
        <v>3.1630174345334927</v>
      </c>
      <c r="AH44" s="116">
        <f>SUM(W42:AH42)/SUM(W41:AH41)*200000</f>
        <v>2.6072825778910538</v>
      </c>
      <c r="AI44" s="116">
        <f>SUM(X42:AI42)/SUM(X41:AI41)*200000</f>
        <v>2.5626397942888497</v>
      </c>
      <c r="AJ44" s="116">
        <f>SUM(Y42:AJ42)/SUM(Y41:AJ41)*200000</f>
        <v>2.5144879858572264</v>
      </c>
      <c r="AK44" s="116">
        <f>SUM(Z42:AK42)/SUM(Z41:AK41)*200000</f>
        <v>2.6505862549008019</v>
      </c>
      <c r="AL44" s="116">
        <f>SUM(AA42:AL42)/SUM(AA41:AL41)*200000</f>
        <v>2.7850384843145197</v>
      </c>
      <c r="AM44" s="116">
        <f>SUM(AB42:AM42)/SUM(AB41:AM41)*200000</f>
        <v>2.5743926756674811</v>
      </c>
      <c r="AN44" s="116">
        <f>SUM(AC42:AN42)/SUM(AC41:AN41)*200000</f>
        <v>2.7111489851093364</v>
      </c>
      <c r="AO44" s="116">
        <f>SUM(AD42:AO42)/SUM(AD41:AO41)*200000</f>
        <v>2.8333636975476253</v>
      </c>
      <c r="AP44" s="116">
        <f>SUM(AE42:AP42)/SUM(AE41:AP41)*200000</f>
        <v>2.9703065876202075</v>
      </c>
      <c r="AQ44" s="116">
        <f>SUM(AF42:AQ42)/SUM(AF41:AQ41)*200000</f>
        <v>2.7703594161640281</v>
      </c>
      <c r="AR44" s="116">
        <f>SUM(AG42:AR42)/SUM(AG41:AR41)*200000</f>
        <v>2.4938153745448846</v>
      </c>
      <c r="AS44" s="116">
        <f>SUM(AH42:AS42)/SUM(AH41:AS41)*200000</f>
        <v>2.2138335457022347</v>
      </c>
      <c r="AT44" s="116">
        <f>SUM(AI42:AT42)/SUM(AI41:AT41)*200000</f>
        <v>2.6773631967138263</v>
      </c>
      <c r="AU44" s="116">
        <f>SUM(AJ42:AU42)/SUM(AJ41:AU41)*200000</f>
        <v>2.2936333497500141</v>
      </c>
      <c r="AV44" s="116">
        <f>SUM(AK42:AV42)/SUM(AK41:AV41)*200000</f>
        <v>2.2025266578225438</v>
      </c>
      <c r="AW44" s="116">
        <f>SUM(AL42:AW42)/SUM(AL41:AW41)*200000</f>
        <v>1.7645852885183411</v>
      </c>
      <c r="AX44" s="116">
        <f>SUM(AM42:AX42)/SUM(AM41:AX41)*200000</f>
        <v>1.6883199420766692</v>
      </c>
      <c r="AY44" s="116">
        <f>SUM(AN42:AY42)/SUM(AN41:AY41)*200000</f>
        <v>1.6215467499873601</v>
      </c>
      <c r="AZ44" s="116">
        <f>SUM(AO42:AZ42)/SUM(AO41:AZ41)*200000</f>
        <v>1.3512515034167147</v>
      </c>
      <c r="BA44" s="116">
        <f>SUM(AP42:BA42)/SUM(AP41:BA41)*200000</f>
        <v>1.4002605184694614</v>
      </c>
      <c r="BB44" s="116">
        <f>SUM(AQ42:BB42)/SUM(AQ41:BB41)*200000</f>
        <v>1.3546615046580446</v>
      </c>
      <c r="BC44" s="116">
        <f>SUM(AR42:BC42)/SUM(AR41:BC41)*200000</f>
        <v>1.2150791112072041</v>
      </c>
      <c r="BD44" s="116">
        <f>SUM(AS42:BD42)/SUM(AS41:BD41)*200000</f>
        <v>1.1225628949071025</v>
      </c>
      <c r="BE44" s="116">
        <f>SUM(AT42:BE42)/SUM(AT41:BE41)*200000</f>
        <v>1.4043799474111203</v>
      </c>
      <c r="BF44" s="116">
        <f>SUM(AU42:BF42)/SUM(AU41:BF41)*200000</f>
        <v>1.1234174944357833</v>
      </c>
      <c r="BG44" s="116">
        <f>SUM(AV42:BG42)/SUM(AV41:BG41)*200000</f>
        <v>1.1281008796314904</v>
      </c>
      <c r="BH44" s="116">
        <f>SUM(AW42:BH42)/SUM(AW41:BH41)*200000</f>
        <v>1.1278597871781215</v>
      </c>
      <c r="BI44" s="116">
        <f>SUM(AX42:BI42)/SUM(AX41:BI41)*200000</f>
        <v>1.3138550012446664</v>
      </c>
      <c r="BJ44" s="116">
        <f>SUM(AY42:BJ42)/SUM(AY41:BJ41)*200000</f>
        <v>1.2720636197905058</v>
      </c>
      <c r="BK44" s="116">
        <f>SUM(AZ42:BK42)/SUM(AZ41:BK41)*200000</f>
        <v>1.6661455333692852</v>
      </c>
      <c r="BL44" s="116">
        <f>SUM(BA42:BL42)/SUM(BA41:BL41)*200000</f>
        <v>1.9283002416734099</v>
      </c>
      <c r="BM44" s="116">
        <f>SUM(BB42:BM42)/SUM(BB41:BM41)*200000</f>
        <v>1.9141897711878721</v>
      </c>
      <c r="BN44" s="116">
        <f>SUM(BC42:BN42)/SUM(BC41:BN41)*200000</f>
        <v>1.7859898644207823</v>
      </c>
      <c r="BO44" s="116">
        <f>SUM(BD42:BO42)/SUM(BD41:BO41)*200000</f>
        <v>1.7355372256468147</v>
      </c>
      <c r="BP44" s="116">
        <f>SUM(BE42:BP42)/SUM(BE41:BP41)*200000</f>
        <v>1.7459379493883489</v>
      </c>
      <c r="XCT44" s="1"/>
      <c r="XCU44" s="1"/>
      <c r="XCV44" s="1"/>
      <c r="XCW44" s="1"/>
      <c r="XCX44" s="1"/>
      <c r="XCY44" s="1"/>
      <c r="XCZ44" s="1"/>
      <c r="XDA44" s="1"/>
      <c r="XDB44" s="1"/>
      <c r="XDC44" s="1"/>
      <c r="XDD44" s="1"/>
      <c r="XDE44" s="1"/>
      <c r="XDF44" s="1"/>
      <c r="XDG44" s="1"/>
      <c r="XDH44" s="1"/>
      <c r="XDI44" s="1"/>
      <c r="XDJ44" s="1"/>
      <c r="XDK44" s="1"/>
      <c r="XDL44" s="1"/>
      <c r="XDM44" s="1"/>
      <c r="XDN44" s="1"/>
      <c r="XDO44" s="1"/>
      <c r="XDP44" s="1"/>
      <c r="XDQ44" s="1"/>
      <c r="XDR44" s="1"/>
      <c r="XDS44" s="1"/>
      <c r="XDT44" s="1"/>
      <c r="XDU44" s="1"/>
      <c r="XDV44" s="1"/>
      <c r="XDW44" s="1"/>
      <c r="XDX44" s="1"/>
      <c r="XDY44" s="1"/>
      <c r="XDZ44" s="1"/>
      <c r="XEA44" s="1"/>
      <c r="XEB44" s="1"/>
      <c r="XEC44" s="1"/>
      <c r="XED44" s="1"/>
      <c r="XEE44" s="1"/>
      <c r="XEF44" s="1"/>
      <c r="XEG44" s="1"/>
      <c r="XEH44" s="1"/>
      <c r="XEI44" s="1"/>
      <c r="XEJ44" s="1"/>
      <c r="XEK44" s="1"/>
      <c r="XEL44" s="1"/>
      <c r="XEM44" s="1"/>
      <c r="XEN44" s="1"/>
      <c r="XEO44" s="1"/>
      <c r="XEP44" s="1"/>
      <c r="XEQ44" s="1"/>
      <c r="XER44" s="1"/>
      <c r="XES44" s="1"/>
      <c r="XET44" s="1"/>
      <c r="XEU44" s="1"/>
      <c r="XEV44" s="1"/>
      <c r="XEW44" s="1"/>
      <c r="XEX44" s="1"/>
      <c r="XEY44" s="1"/>
      <c r="XEZ44" s="1"/>
      <c r="XFA44" s="1"/>
    </row>
    <row r="45" spans="1:68 16322:16381" ht="13.5" customHeight="1" thickTop="1" x14ac:dyDescent="0.25">
      <c r="A45" s="348" t="s">
        <v>278</v>
      </c>
      <c r="B45" s="118" t="s">
        <v>263</v>
      </c>
      <c r="C45" s="118"/>
      <c r="D45" s="118"/>
      <c r="E45" s="118"/>
      <c r="F45" s="123"/>
      <c r="G45" s="115"/>
      <c r="H45" s="115"/>
      <c r="I45" s="115"/>
      <c r="J45" s="115"/>
      <c r="K45" s="115"/>
      <c r="L45" s="115"/>
      <c r="M45" s="115"/>
      <c r="N45" s="115"/>
      <c r="O45" s="115"/>
      <c r="P45" s="115"/>
      <c r="Q45" s="115"/>
      <c r="R45" s="110"/>
      <c r="S45" s="110"/>
      <c r="T45" s="110"/>
      <c r="U45" s="110"/>
      <c r="V45" s="110"/>
      <c r="W45" s="115"/>
      <c r="X45" s="115"/>
      <c r="Y45" s="115"/>
      <c r="Z45" s="115"/>
      <c r="AA45" s="115"/>
      <c r="AB45" s="115"/>
      <c r="AC45" s="115"/>
      <c r="AD45" s="115"/>
      <c r="AE45" s="115"/>
      <c r="AF45" s="115"/>
      <c r="AG45" s="115"/>
      <c r="AH45" s="115"/>
      <c r="AI45" s="115"/>
      <c r="AJ45" s="115"/>
      <c r="AK45" s="115"/>
      <c r="AL45" s="115"/>
      <c r="AM45" s="115"/>
      <c r="AN45" s="115"/>
      <c r="AO45" s="115"/>
      <c r="AP45" s="115"/>
      <c r="AQ45" s="115"/>
      <c r="AR45" s="115"/>
      <c r="AS45" s="115"/>
      <c r="AT45" s="115"/>
      <c r="AU45" s="115"/>
      <c r="AV45" s="115"/>
      <c r="AW45" s="115"/>
      <c r="AX45" s="115"/>
      <c r="AY45" s="115"/>
      <c r="AZ45" s="115"/>
      <c r="BA45" s="115"/>
      <c r="BB45" s="115"/>
      <c r="BC45" s="115"/>
      <c r="BD45" s="115"/>
      <c r="BE45" s="115"/>
      <c r="BF45" s="115"/>
      <c r="BG45" s="115"/>
      <c r="BH45" s="115"/>
      <c r="BI45" s="115"/>
      <c r="BJ45" s="115"/>
      <c r="BK45" s="115"/>
      <c r="BL45" s="115"/>
      <c r="BM45" s="115"/>
      <c r="BN45" s="115"/>
      <c r="BO45" s="115"/>
      <c r="BP45" s="115"/>
    </row>
    <row r="46" spans="1:68 16322:16381" x14ac:dyDescent="0.25">
      <c r="A46" s="349"/>
      <c r="B46" s="126" t="s">
        <v>279</v>
      </c>
      <c r="C46" s="126">
        <v>21197.989999999998</v>
      </c>
      <c r="D46" s="126">
        <v>22051.15</v>
      </c>
      <c r="E46" s="126">
        <v>31336.81</v>
      </c>
      <c r="F46" s="1">
        <v>22646.410000000003</v>
      </c>
      <c r="G46" s="1">
        <v>22536.9</v>
      </c>
      <c r="H46" s="1">
        <v>19298.05</v>
      </c>
      <c r="I46" s="1">
        <v>22270.65</v>
      </c>
      <c r="J46" s="1">
        <v>21504.75</v>
      </c>
      <c r="K46" s="1">
        <v>35531.699999999997</v>
      </c>
      <c r="L46" s="1">
        <v>22714</v>
      </c>
      <c r="M46" s="1">
        <v>23459.5</v>
      </c>
      <c r="N46" s="1">
        <v>23809.050000000003</v>
      </c>
      <c r="O46" s="1">
        <v>23489.75</v>
      </c>
      <c r="P46" s="1">
        <v>35583.899999999994</v>
      </c>
      <c r="Q46" s="1">
        <v>23663.25</v>
      </c>
      <c r="R46" s="1">
        <v>24695.7</v>
      </c>
      <c r="S46" s="1">
        <v>24744.400000000001</v>
      </c>
      <c r="T46" s="1">
        <v>21340.449999999993</v>
      </c>
      <c r="U46" s="1">
        <v>25042.25</v>
      </c>
      <c r="V46" s="1">
        <v>35974</v>
      </c>
      <c r="W46" s="1">
        <v>23859.5</v>
      </c>
      <c r="X46" s="1">
        <v>24791.24</v>
      </c>
      <c r="Y46" s="1">
        <v>23770.760000000002</v>
      </c>
      <c r="Z46" s="1">
        <v>23578.400000000001</v>
      </c>
      <c r="AA46" s="1">
        <v>36172.21</v>
      </c>
      <c r="AB46" s="1">
        <v>23587.25</v>
      </c>
      <c r="AC46" s="1">
        <v>24010.400000000001</v>
      </c>
      <c r="AD46" s="1">
        <v>24995.700000000004</v>
      </c>
      <c r="AE46" s="1">
        <v>25353.7</v>
      </c>
      <c r="AF46" s="1">
        <v>21182.95</v>
      </c>
      <c r="AG46" s="1">
        <v>25434.84</v>
      </c>
      <c r="AH46" s="1">
        <v>37209.109999999993</v>
      </c>
      <c r="AI46" s="1">
        <v>24293.489999999998</v>
      </c>
      <c r="AJ46" s="1">
        <v>25781.030000000002</v>
      </c>
      <c r="AK46" s="1">
        <v>24318.15</v>
      </c>
      <c r="AL46" s="1">
        <v>23964.95</v>
      </c>
      <c r="AM46" s="1">
        <v>37402.65</v>
      </c>
      <c r="AN46" s="1">
        <v>24656.75</v>
      </c>
      <c r="AO46" s="1">
        <v>25595.75</v>
      </c>
      <c r="AP46" s="1">
        <v>24968.95</v>
      </c>
      <c r="AQ46" s="1">
        <v>25808.400000000001</v>
      </c>
      <c r="AR46" s="1">
        <f>AR96</f>
        <v>34826.75</v>
      </c>
      <c r="AS46" s="1">
        <f>AS96</f>
        <v>26163.97</v>
      </c>
      <c r="AT46" s="1">
        <f>AT96</f>
        <v>25526.510000000002</v>
      </c>
      <c r="AU46" s="1">
        <f>AU96</f>
        <v>26596.25</v>
      </c>
      <c r="AV46" s="1">
        <f>AV96</f>
        <v>25708.25</v>
      </c>
      <c r="AW46" s="1">
        <f>AW96</f>
        <v>25475.15</v>
      </c>
      <c r="AX46" s="1">
        <f>AX96</f>
        <v>25564.050000000003</v>
      </c>
      <c r="AY46" s="1">
        <f>AY96</f>
        <v>38856.949999999997</v>
      </c>
      <c r="AZ46" s="1">
        <f>AZ96</f>
        <v>25806.81</v>
      </c>
      <c r="BA46" s="1">
        <f>BA96</f>
        <v>27168.400000000001</v>
      </c>
      <c r="BB46" s="1">
        <f>BB96</f>
        <v>26242.26</v>
      </c>
      <c r="BC46" s="1">
        <f>BC96</f>
        <v>27653</v>
      </c>
      <c r="BD46" s="1">
        <f>BD96</f>
        <v>37720.1</v>
      </c>
      <c r="BE46" s="1">
        <f>BE96</f>
        <v>28064.799999999996</v>
      </c>
      <c r="BF46" s="1">
        <f>BF96</f>
        <v>27222.050000000003</v>
      </c>
      <c r="BG46" s="1">
        <f>BG96</f>
        <v>27391.61</v>
      </c>
      <c r="BH46" s="1">
        <f>BH96</f>
        <v>28148.1</v>
      </c>
      <c r="BI46" s="1">
        <f>BI96</f>
        <v>27108.45</v>
      </c>
      <c r="BJ46" s="1">
        <f>BJ96</f>
        <v>48337.67</v>
      </c>
      <c r="BK46" s="1">
        <f>BK96</f>
        <v>28358</v>
      </c>
      <c r="BL46" s="1">
        <f>BL96</f>
        <v>29575.300000000003</v>
      </c>
      <c r="BM46" s="1">
        <f>BM96</f>
        <v>32367.25</v>
      </c>
      <c r="BN46" s="1">
        <f>BN96</f>
        <v>37392.450290000001</v>
      </c>
      <c r="BO46" s="1">
        <f>BO96</f>
        <v>68111.971099999995</v>
      </c>
      <c r="BP46" s="1">
        <f>BP96</f>
        <v>96829.258000000002</v>
      </c>
    </row>
    <row r="47" spans="1:68 16322:16381" x14ac:dyDescent="0.25">
      <c r="A47" s="349"/>
      <c r="B47" s="126" t="s">
        <v>280</v>
      </c>
      <c r="C47" s="130">
        <v>0</v>
      </c>
      <c r="D47" s="130">
        <v>1</v>
      </c>
      <c r="E47" s="130">
        <v>2</v>
      </c>
      <c r="F47" s="1">
        <v>2</v>
      </c>
      <c r="G47" s="1">
        <v>0</v>
      </c>
      <c r="H47" s="1">
        <v>1</v>
      </c>
      <c r="I47" s="1">
        <v>1</v>
      </c>
      <c r="J47" s="1">
        <v>1</v>
      </c>
      <c r="K47" s="1">
        <v>1</v>
      </c>
      <c r="L47" s="1">
        <v>0</v>
      </c>
      <c r="M47" s="1">
        <v>0</v>
      </c>
      <c r="N47" s="1">
        <v>0</v>
      </c>
      <c r="O47" s="1">
        <v>0</v>
      </c>
      <c r="P47" s="1">
        <v>1</v>
      </c>
      <c r="Q47" s="1">
        <v>2</v>
      </c>
      <c r="R47" s="1">
        <v>0</v>
      </c>
      <c r="S47" s="1">
        <v>1</v>
      </c>
      <c r="T47" s="1">
        <v>0</v>
      </c>
      <c r="U47" s="1">
        <v>2</v>
      </c>
      <c r="V47" s="1">
        <v>0</v>
      </c>
      <c r="W47" s="1">
        <v>0</v>
      </c>
      <c r="X47" s="1">
        <v>0</v>
      </c>
      <c r="Y47" s="1">
        <v>1</v>
      </c>
      <c r="Z47" s="1">
        <v>0</v>
      </c>
      <c r="AA47" s="1">
        <v>2</v>
      </c>
      <c r="AB47" s="1">
        <v>0</v>
      </c>
      <c r="AC47" s="1">
        <v>0</v>
      </c>
      <c r="AD47" s="1">
        <v>0</v>
      </c>
      <c r="AE47" s="1">
        <v>0</v>
      </c>
      <c r="AF47" s="1">
        <v>3</v>
      </c>
      <c r="AG47" s="1">
        <v>1</v>
      </c>
      <c r="AH47" s="1">
        <v>1</v>
      </c>
      <c r="AI47" s="1">
        <v>0</v>
      </c>
      <c r="AJ47" s="1">
        <v>0</v>
      </c>
      <c r="AK47" s="1">
        <v>0</v>
      </c>
      <c r="AL47" s="1">
        <v>0</v>
      </c>
      <c r="AM47" s="1">
        <v>0</v>
      </c>
      <c r="AN47" s="1">
        <v>1</v>
      </c>
      <c r="AO47" s="1">
        <v>0</v>
      </c>
      <c r="AP47" s="1">
        <v>0</v>
      </c>
      <c r="AQ47" s="1">
        <v>1</v>
      </c>
      <c r="AR47" s="1">
        <v>0</v>
      </c>
      <c r="AS47" s="1">
        <v>1</v>
      </c>
      <c r="AT47" s="1">
        <v>0</v>
      </c>
      <c r="AU47" s="1">
        <v>0</v>
      </c>
      <c r="AV47" s="1">
        <v>0</v>
      </c>
      <c r="AW47" s="1">
        <v>1</v>
      </c>
      <c r="AX47" s="1">
        <v>3</v>
      </c>
      <c r="AY47" s="1">
        <v>0</v>
      </c>
      <c r="AZ47" s="111">
        <v>1</v>
      </c>
      <c r="BA47" s="111">
        <v>0</v>
      </c>
      <c r="BB47" s="111">
        <v>0</v>
      </c>
      <c r="BC47" s="111">
        <v>2</v>
      </c>
      <c r="BD47" s="111">
        <v>0</v>
      </c>
      <c r="BE47" s="111">
        <v>0</v>
      </c>
      <c r="BF47" s="111">
        <v>0</v>
      </c>
      <c r="BG47" s="111">
        <v>1</v>
      </c>
      <c r="BH47" s="111">
        <v>1</v>
      </c>
      <c r="BI47" s="111">
        <v>0</v>
      </c>
      <c r="BJ47" s="111">
        <v>0</v>
      </c>
      <c r="BK47" s="111">
        <v>0</v>
      </c>
      <c r="BL47" s="111">
        <v>0</v>
      </c>
      <c r="BM47" s="111">
        <v>1</v>
      </c>
      <c r="BN47" s="111">
        <v>1</v>
      </c>
      <c r="BO47" s="111">
        <v>0</v>
      </c>
      <c r="BP47" s="111">
        <v>1</v>
      </c>
    </row>
    <row r="48" spans="1:68 16322:16381" x14ac:dyDescent="0.25">
      <c r="A48" s="349"/>
      <c r="B48" s="126" t="s">
        <v>281</v>
      </c>
      <c r="C48" s="129">
        <f>C47/C46*200000</f>
        <v>0</v>
      </c>
      <c r="D48" s="129">
        <f>D47/D46*200000</f>
        <v>9.0698217553279523</v>
      </c>
      <c r="E48" s="129">
        <f>E47/E46*200000</f>
        <v>12.764541125915498</v>
      </c>
      <c r="F48" s="129">
        <f>F47/F46*200000</f>
        <v>17.66284369134004</v>
      </c>
      <c r="G48" s="129">
        <f>G47/G46*200000</f>
        <v>0</v>
      </c>
      <c r="H48" s="129">
        <f>H47/H46*200000</f>
        <v>10.363741414287972</v>
      </c>
      <c r="I48" s="129">
        <f>I47/I46*200000</f>
        <v>8.9804293992317241</v>
      </c>
      <c r="J48" s="129">
        <f>J47/J46*200000</f>
        <v>9.3002708703891006</v>
      </c>
      <c r="K48" s="129">
        <f>K47/K46*200000</f>
        <v>5.6287765572713946</v>
      </c>
      <c r="L48" s="129">
        <f>L47/L46*200000</f>
        <v>0</v>
      </c>
      <c r="M48" s="129">
        <f>M47/M46*200000</f>
        <v>0</v>
      </c>
      <c r="N48" s="129">
        <f>N47/N46*200000</f>
        <v>0</v>
      </c>
      <c r="O48" s="129">
        <f>O47/O46*200000</f>
        <v>0</v>
      </c>
      <c r="P48" s="129">
        <f>P47/P46*200000</f>
        <v>5.6205193921970338</v>
      </c>
      <c r="Q48" s="129">
        <f>Q47/Q46*200000</f>
        <v>16.903848795072527</v>
      </c>
      <c r="R48" s="129">
        <f>R47/R46*200000</f>
        <v>0</v>
      </c>
      <c r="S48" s="129">
        <f>S47/S46*200000</f>
        <v>8.0826368794555545</v>
      </c>
      <c r="T48" s="129">
        <f>T47/T46*200000</f>
        <v>0</v>
      </c>
      <c r="U48" s="129">
        <f>U47/U46*200000</f>
        <v>15.973005620501354</v>
      </c>
      <c r="V48" s="129">
        <f>V47/V46*200000</f>
        <v>0</v>
      </c>
      <c r="W48" s="129">
        <f>W47/W46*200000</f>
        <v>0</v>
      </c>
      <c r="X48" s="129">
        <f>X47/X46*200000</f>
        <v>0</v>
      </c>
      <c r="Y48" s="129">
        <f>Y47/Y46*200000</f>
        <v>8.4136981737226737</v>
      </c>
      <c r="Z48" s="129">
        <f>Z47/Z46*200000</f>
        <v>0</v>
      </c>
      <c r="AA48" s="129">
        <f>AA47/AA46*200000</f>
        <v>11.058212920913597</v>
      </c>
      <c r="AB48" s="129">
        <f>AB47/AB46*200000</f>
        <v>0</v>
      </c>
      <c r="AC48" s="129">
        <f>AC47/AC46*200000</f>
        <v>0</v>
      </c>
      <c r="AD48" s="129">
        <f>AD47/AD46*200000</f>
        <v>0</v>
      </c>
      <c r="AE48" s="129">
        <f>AE47/AE46*200000</f>
        <v>0</v>
      </c>
      <c r="AF48" s="129">
        <f>AF47/AF46*200000</f>
        <v>28.32466677209737</v>
      </c>
      <c r="AG48" s="129">
        <f>AG47/AG46*200000</f>
        <v>7.8632301205747712</v>
      </c>
      <c r="AH48" s="129">
        <f>AH47/AH46*200000</f>
        <v>5.3750277821748504</v>
      </c>
      <c r="AI48" s="129">
        <f>AI47/AI46*200000</f>
        <v>0</v>
      </c>
      <c r="AJ48" s="129">
        <f>AJ47/AJ46*200000</f>
        <v>0</v>
      </c>
      <c r="AK48" s="129">
        <f>AK47/AK46*200000</f>
        <v>0</v>
      </c>
      <c r="AL48" s="129">
        <f>AL47/AL46*200000</f>
        <v>0</v>
      </c>
      <c r="AM48" s="129">
        <f>AM47/AM46*200000</f>
        <v>0</v>
      </c>
      <c r="AN48" s="129">
        <f>AN47/AN46*200000</f>
        <v>8.1113690977115791</v>
      </c>
      <c r="AO48" s="129">
        <f>AO47/AO46*200000</f>
        <v>0</v>
      </c>
      <c r="AP48" s="129">
        <f>AP47/AP46*200000</f>
        <v>0</v>
      </c>
      <c r="AQ48" s="129">
        <f>AQ47/AQ46*200000</f>
        <v>7.7494149191736019</v>
      </c>
      <c r="AR48" s="129">
        <f>AR47/AR46*200000</f>
        <v>0</v>
      </c>
      <c r="AS48" s="129">
        <f>AS47/AS46*200000</f>
        <v>7.6440998823955235</v>
      </c>
      <c r="AT48" s="129">
        <f>AT47/AT46*200000</f>
        <v>0</v>
      </c>
      <c r="AU48" s="129">
        <f>AU47/AU46*200000</f>
        <v>0</v>
      </c>
      <c r="AV48" s="129">
        <f>AV47/AV46*200000</f>
        <v>0</v>
      </c>
      <c r="AW48" s="129">
        <f>AW47/AW46*200000</f>
        <v>7.8507879247030923</v>
      </c>
      <c r="AX48" s="129">
        <f>AX47/AX46*200000</f>
        <v>23.470459492920721</v>
      </c>
      <c r="AY48" s="129">
        <f>AY47/AY46*200000</f>
        <v>0</v>
      </c>
      <c r="AZ48" s="129">
        <f>AZ47/AZ46*200000</f>
        <v>7.7498923733696641</v>
      </c>
      <c r="BA48" s="129">
        <f>BA47/BA46*200000</f>
        <v>0</v>
      </c>
      <c r="BB48" s="129">
        <f>BB47/BB46*200000</f>
        <v>0</v>
      </c>
      <c r="BC48" s="129">
        <f>BC47/BC46*200000</f>
        <v>14.46497667522511</v>
      </c>
      <c r="BD48" s="129">
        <f>BD47/BD46*200000</f>
        <v>0</v>
      </c>
      <c r="BE48" s="129">
        <f>BE47/BE46*200000</f>
        <v>0</v>
      </c>
      <c r="BF48" s="129">
        <f>BF47/BF46*200000</f>
        <v>0</v>
      </c>
      <c r="BG48" s="129">
        <f>BG47/BG46*200000</f>
        <v>7.3015058260540355</v>
      </c>
      <c r="BH48" s="1">
        <f>BH47/BH46*200000</f>
        <v>7.1052753116551388</v>
      </c>
      <c r="BI48" s="1">
        <f>BI47/BI46*200000</f>
        <v>0</v>
      </c>
      <c r="BJ48" s="1">
        <f>BJ47/BJ46*200000</f>
        <v>0</v>
      </c>
      <c r="BK48" s="1">
        <f>BK47/BK46*200000</f>
        <v>0</v>
      </c>
      <c r="BL48" s="1">
        <f>BL47/BL46*200000</f>
        <v>0</v>
      </c>
      <c r="BM48" s="1">
        <f>BM47/BM46*200000</f>
        <v>6.1790853408924136</v>
      </c>
      <c r="BN48" s="1">
        <f>BN47/BN46*200000</f>
        <v>5.3486732869572533</v>
      </c>
      <c r="BO48" s="1">
        <f>BO47/BO46*200000</f>
        <v>0</v>
      </c>
      <c r="BP48" s="1">
        <f>BP47/BP46*200000</f>
        <v>2.0654914034351064</v>
      </c>
    </row>
    <row r="49" spans="1:68 16322:16381" s="112" customFormat="1" x14ac:dyDescent="0.25">
      <c r="A49" s="349"/>
      <c r="B49" s="112" t="s">
        <v>282</v>
      </c>
      <c r="F49" s="122"/>
      <c r="G49" s="122"/>
      <c r="H49" s="122"/>
      <c r="I49" s="122"/>
      <c r="J49" s="122"/>
      <c r="K49" s="122"/>
      <c r="L49" s="122">
        <f>SUM(C47:L47)/SUM(C46:L46)*200000</f>
        <v>7.4661407406519471</v>
      </c>
      <c r="M49" s="122">
        <f>SUM(C47:M47)/SUM(C46:M46)*200000</f>
        <v>6.804060557499775</v>
      </c>
      <c r="N49" s="122">
        <f>SUM(C47:N47)/SUM(C46:N46)*200000</f>
        <v>6.2422630617273818</v>
      </c>
      <c r="O49" s="122">
        <f>SUM(D47:O47)/SUM(D46:O46)*200000</f>
        <v>6.1930429282468538</v>
      </c>
      <c r="P49" s="122">
        <f>SUM(E47:P47)/SUM(E46:P46)*200000</f>
        <v>5.9175202223856704</v>
      </c>
      <c r="Q49" s="122">
        <f>SUM(F47:Q47)/SUM(F46:Q46)*200000</f>
        <v>6.0706643542831618</v>
      </c>
      <c r="R49" s="122">
        <f>SUM(G47:R47)/SUM(G46:R46)*200000</f>
        <v>4.6892186823831414</v>
      </c>
      <c r="S49" s="122">
        <f>SUM(H47:S47)/SUM(H46:S46)*200000</f>
        <v>5.3197732313665798</v>
      </c>
      <c r="T49" s="122">
        <f>SUM(I47:T47)/SUM(I46:T46)*200000</f>
        <v>4.623405461760969</v>
      </c>
      <c r="U49" s="122">
        <f>SUM(J47:U47)/SUM(J46:U46)*200000</f>
        <v>5.2359670356605346</v>
      </c>
      <c r="V49" s="122">
        <f>SUM(K47:V47)/SUM(K46:V46)*200000</f>
        <v>4.3743445318115617</v>
      </c>
      <c r="W49" s="122">
        <f>SUM(L47:W47)/SUM(L46:W46)*200000</f>
        <v>3.8913565674343715</v>
      </c>
      <c r="X49" s="122">
        <f>SUM(M47:X47)/SUM(M46:X46)*200000</f>
        <v>3.865319512625728</v>
      </c>
      <c r="Y49" s="122">
        <f>SUM(N47:Y47)/SUM(N46:Y46)*200000</f>
        <v>4.5050226980741828</v>
      </c>
      <c r="Z49" s="122">
        <f>SUM(O47:Z47)/SUM(O46:Z46)*200000</f>
        <v>4.5083688206364778</v>
      </c>
      <c r="AA49" s="122">
        <f>SUM(P47:AA47)/SUM(P46:AA46)*200000</f>
        <v>5.5690302022739822</v>
      </c>
      <c r="AB49" s="122">
        <f>SUM(Q47:AB47)/SUM(Q46:AB46)*200000</f>
        <v>5.1410675188928616</v>
      </c>
      <c r="AC49" s="122">
        <f>SUM(R47:AC47)/SUM(R46:AC46)*200000</f>
        <v>3.851504474677899</v>
      </c>
      <c r="AD49" s="122">
        <f>SUM(S47:AD47)/SUM(S46:AD46)*200000</f>
        <v>3.847799520410268</v>
      </c>
      <c r="AE49" s="122">
        <f>SUM(T47:AE47)/SUM(T46:AE46)*200000</f>
        <v>3.2002472126966865</v>
      </c>
      <c r="AF49" s="122">
        <f>SUM(U47:AF47)/SUM(U46:AF46)*200000</f>
        <v>5.1229777205541174</v>
      </c>
      <c r="AG49" s="122">
        <f>SUM(V47:AG47)/SUM(V46:AG46)*200000</f>
        <v>4.4769778608648023</v>
      </c>
      <c r="AH49" s="122">
        <f>SUM(W47:AH47)/SUM(W46:AH46)*200000</f>
        <v>5.0964168812948314</v>
      </c>
      <c r="AI49" s="122">
        <f>SUM(X47:AI47)/SUM(X46:AI46)*200000</f>
        <v>5.0893814667947286</v>
      </c>
      <c r="AJ49" s="122">
        <f>SUM(Y47:AJ47)/SUM(Y46:AJ46)*200000</f>
        <v>5.0734084147044625</v>
      </c>
      <c r="AK49" s="122">
        <f>SUM(Z47:AK47)/SUM(Z46:AK46)*200000</f>
        <v>4.4315405019219734</v>
      </c>
      <c r="AL49" s="122">
        <f>SUM(AA47:AL47)/SUM(AA46:AL46)*200000</f>
        <v>4.4261247842185121</v>
      </c>
      <c r="AM49" s="122">
        <f>SUM(AB47:AM47)/SUM(AB46:AM46)*200000</f>
        <v>3.1492668727169</v>
      </c>
      <c r="AN49" s="122">
        <f>SUM(AC47:AN47)/SUM(AC46:AN46)*200000</f>
        <v>3.7664343655497814</v>
      </c>
      <c r="AO49" s="122">
        <f>SUM(AD47:AO47)/SUM(AD46:AO46)*200000</f>
        <v>3.7477856442757398</v>
      </c>
      <c r="AP49" s="122">
        <f>SUM(AE47:AP47)/SUM(AE46:AP46)*200000</f>
        <v>3.7480987768954197</v>
      </c>
      <c r="AQ49" s="122">
        <f>SUM(AF47:AQ47)/SUM(AF46:AQ46)*200000</f>
        <v>4.3665804142275411</v>
      </c>
      <c r="AR49" s="122">
        <f>SUM(AG47:AR47)/SUM(AG46:AR46)*200000</f>
        <v>2.3933406254433289</v>
      </c>
      <c r="AS49" s="122">
        <f>SUM(AH47:AS47)/SUM(AH46:AS46)*200000</f>
        <v>2.3881313454328996</v>
      </c>
      <c r="AT49" s="122">
        <f>SUM(AI47:AT47)/SUM(AI46:AT46)*200000</f>
        <v>1.8558192382573424</v>
      </c>
      <c r="AU49" s="122">
        <f>SUM(AJ47:AU47)/SUM(AJ46:AU46)*200000</f>
        <v>1.8426946264045672</v>
      </c>
      <c r="AV49" s="122">
        <f>SUM(AK47:AV47)/SUM(AK46:AV46)*200000</f>
        <v>1.8431065954862993</v>
      </c>
      <c r="AW49" s="122">
        <f>SUM(AL47:AW47)/SUM(AL46:AW46)*200000</f>
        <v>2.4487722208095861</v>
      </c>
      <c r="AX49" s="122">
        <f>SUM(AM47:AX47)/SUM(AM46:AX46)*200000</f>
        <v>4.2644776656054306</v>
      </c>
      <c r="AY49" s="122">
        <f>SUM(AN47:AY47)/SUM(AN46:AY46)*200000</f>
        <v>4.2456698640503143</v>
      </c>
      <c r="AZ49" s="122">
        <f>SUM(AO47:AZ47)/SUM(AO46:AZ46)*200000</f>
        <v>4.2309137211221621</v>
      </c>
      <c r="BA49" s="122">
        <f>SUM(AP47:BA47)/SUM(AP46:BA46)*200000</f>
        <v>4.2109006743576956</v>
      </c>
      <c r="BB49" s="122">
        <f>SUM(AQ47:BB47)/SUM(AQ46:BB46)*200000</f>
        <v>4.1948351092717084</v>
      </c>
      <c r="BC49" s="122">
        <f>SUM(AR47:BC47)/SUM(AR46:BC46)*200000</f>
        <v>4.767745960192002</v>
      </c>
      <c r="BD49" s="122">
        <f>SUM(AS47:BD47)/SUM(AS46:BD46)*200000</f>
        <v>4.7269911490045118</v>
      </c>
      <c r="BE49" s="122">
        <f>SUM(AT47:BE47)/SUM(AT46:BE46)*200000</f>
        <v>4.1130195489175083</v>
      </c>
      <c r="BF49" s="122">
        <f>SUM(AU47:BF47)/SUM(AU46:BF46)*200000</f>
        <v>4.0926330062608223</v>
      </c>
      <c r="BG49" s="122">
        <f>SUM(AV47:BG47)/SUM(AV46:BG46)*200000</f>
        <v>4.6664449910860695</v>
      </c>
      <c r="BH49" s="112">
        <f>SUM(AW47:BH47)/SUM(AW46:BH46)*200000</f>
        <v>5.2126579087835836</v>
      </c>
      <c r="BI49" s="112">
        <f>SUM(AX47:BI47)/SUM(AX46:BI46)*200000</f>
        <v>4.61166096521257</v>
      </c>
      <c r="BJ49" s="112">
        <f>SUM(AY47:BJ47)/SUM(AY46:BJ46)*200000</f>
        <v>2.7047480770593548</v>
      </c>
      <c r="BK49" s="112">
        <f>SUM(AZ47:BK47)/SUM(AZ46:BK46)*200000</f>
        <v>2.7837996777751877</v>
      </c>
      <c r="BL49" s="112">
        <f>SUM(BA47:BL47)/SUM(BA46:BL46)*200000</f>
        <v>2.2039190418990904</v>
      </c>
      <c r="BM49" s="112">
        <f>SUM(BB47:BM47)/SUM(BB46:BM46)*200000</f>
        <v>2.7159994284450804</v>
      </c>
      <c r="BN49" s="112">
        <f>SUM(BC47:BN47)/SUM(BC46:BN46)*200000</f>
        <v>3.163399215557698</v>
      </c>
      <c r="BO49" s="112">
        <f>SUM(BD47:BO47)/SUM(BD46:BO46)*200000</f>
        <v>1.9056795739165002</v>
      </c>
      <c r="BP49" s="112">
        <f>SUM(BE47:BP47)/SUM(BE46:BP46)*200000</f>
        <v>2.0880884789775407</v>
      </c>
      <c r="XCT49" s="1"/>
      <c r="XCU49" s="1"/>
      <c r="XCV49" s="1"/>
      <c r="XCW49" s="1"/>
      <c r="XCX49" s="1"/>
      <c r="XCY49" s="1"/>
      <c r="XCZ49" s="1"/>
      <c r="XDA49" s="1"/>
      <c r="XDB49" s="1"/>
      <c r="XDC49" s="1"/>
      <c r="XDD49" s="1"/>
      <c r="XDE49" s="1"/>
      <c r="XDF49" s="1"/>
      <c r="XDG49" s="1"/>
      <c r="XDH49" s="1"/>
      <c r="XDI49" s="1"/>
      <c r="XDJ49" s="1"/>
      <c r="XDK49" s="1"/>
      <c r="XDL49" s="1"/>
      <c r="XDM49" s="1"/>
      <c r="XDN49" s="1"/>
      <c r="XDO49" s="1"/>
      <c r="XDP49" s="1"/>
      <c r="XDQ49" s="1"/>
      <c r="XDR49" s="1"/>
      <c r="XDS49" s="1"/>
      <c r="XDT49" s="1"/>
      <c r="XDU49" s="1"/>
      <c r="XDV49" s="1"/>
      <c r="XDW49" s="1"/>
      <c r="XDX49" s="1"/>
      <c r="XDY49" s="1"/>
      <c r="XDZ49" s="1"/>
      <c r="XEA49" s="1"/>
      <c r="XEB49" s="1"/>
      <c r="XEC49" s="1"/>
      <c r="XED49" s="1"/>
      <c r="XEE49" s="1"/>
      <c r="XEF49" s="1"/>
      <c r="XEG49" s="1"/>
      <c r="XEH49" s="1"/>
      <c r="XEI49" s="1"/>
      <c r="XEJ49" s="1"/>
      <c r="XEK49" s="1"/>
      <c r="XEL49" s="1"/>
      <c r="XEM49" s="1"/>
      <c r="XEN49" s="1"/>
      <c r="XEO49" s="1"/>
      <c r="XEP49" s="1"/>
      <c r="XEQ49" s="1"/>
      <c r="XER49" s="1"/>
      <c r="XES49" s="1"/>
      <c r="XET49" s="1"/>
      <c r="XEU49" s="1"/>
      <c r="XEV49" s="1"/>
      <c r="XEW49" s="1"/>
      <c r="XEX49" s="1"/>
      <c r="XEY49" s="1"/>
      <c r="XEZ49" s="1"/>
      <c r="XFA49" s="1"/>
    </row>
    <row r="50" spans="1:68 16322:16381" x14ac:dyDescent="0.25">
      <c r="A50" s="349"/>
      <c r="B50" s="118" t="s">
        <v>268</v>
      </c>
      <c r="C50" s="118"/>
      <c r="D50" s="118"/>
      <c r="E50" s="118"/>
      <c r="F50" s="123"/>
      <c r="G50" s="115"/>
      <c r="H50" s="115"/>
      <c r="I50" s="115"/>
      <c r="J50" s="115"/>
      <c r="K50" s="115"/>
      <c r="L50" s="115"/>
      <c r="M50" s="115"/>
      <c r="N50" s="115"/>
      <c r="O50" s="115"/>
      <c r="P50" s="115"/>
      <c r="Q50" s="115"/>
      <c r="R50" s="110"/>
      <c r="S50" s="110"/>
      <c r="T50" s="110"/>
      <c r="U50" s="110"/>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row>
    <row r="51" spans="1:68 16322:16381" x14ac:dyDescent="0.25">
      <c r="A51" s="349"/>
      <c r="B51" s="126" t="s">
        <v>279</v>
      </c>
      <c r="C51" s="126">
        <v>5625</v>
      </c>
      <c r="D51" s="126">
        <v>5593.25</v>
      </c>
      <c r="E51" s="126">
        <v>8407.15</v>
      </c>
      <c r="F51" s="7">
        <v>5447</v>
      </c>
      <c r="G51" s="7">
        <v>5777.65</v>
      </c>
      <c r="H51" s="7">
        <v>4765.75</v>
      </c>
      <c r="I51" s="7">
        <v>5740.25</v>
      </c>
      <c r="J51" s="7">
        <v>5759.25</v>
      </c>
      <c r="K51" s="7">
        <v>8258.75</v>
      </c>
      <c r="L51" s="7">
        <v>5463.75</v>
      </c>
      <c r="M51" s="7">
        <v>5456</v>
      </c>
      <c r="N51" s="7">
        <v>5472.75</v>
      </c>
      <c r="O51" s="7">
        <v>5495</v>
      </c>
      <c r="P51" s="7">
        <v>8396.25</v>
      </c>
      <c r="Q51" s="8">
        <v>5639.75</v>
      </c>
      <c r="R51" s="1">
        <v>5642.25</v>
      </c>
      <c r="S51" s="1">
        <v>5839.75</v>
      </c>
      <c r="T51" s="1">
        <v>4978.75</v>
      </c>
      <c r="U51" s="1">
        <v>5681.75</v>
      </c>
      <c r="V51" s="1">
        <v>8464.75</v>
      </c>
      <c r="W51" s="1">
        <v>5220.25</v>
      </c>
      <c r="X51" s="1">
        <v>5688</v>
      </c>
      <c r="Y51" s="1">
        <v>5370.5</v>
      </c>
      <c r="Z51" s="1">
        <v>5886.25</v>
      </c>
      <c r="AA51" s="1">
        <v>8399.9</v>
      </c>
      <c r="AB51" s="1">
        <v>5498.75</v>
      </c>
      <c r="AC51" s="1">
        <v>5581.25</v>
      </c>
      <c r="AD51" s="1">
        <f>IF(AD81="",AD86,SUM(AD81,AD86))</f>
        <v>5526.5</v>
      </c>
      <c r="AE51" s="1">
        <f>IF(AE81="",AE86,SUM(AE81,AE86))</f>
        <v>5604.25</v>
      </c>
      <c r="AF51" s="1">
        <f>IF(AF81="",AF86,SUM(AF81,AF86))</f>
        <v>5177.3100000000004</v>
      </c>
      <c r="AG51" s="1">
        <f>IF(AG81="",AG86,SUM(AG81,AG86))</f>
        <v>5616</v>
      </c>
      <c r="AH51" s="1">
        <f>IF(AH81="",AH86,SUM(AH81,AH86))</f>
        <v>8240</v>
      </c>
      <c r="AI51" s="1">
        <f>IF(AI81="",AI86,SUM(AI81,AI86))</f>
        <v>8101.78</v>
      </c>
      <c r="AJ51" s="1">
        <f>IF(AJ81="",AJ86,SUM(AJ81,AJ86))</f>
        <v>8548.85</v>
      </c>
      <c r="AK51" s="1">
        <f>IF(AK81="",AK86,SUM(AK81,AK86))</f>
        <v>8198</v>
      </c>
      <c r="AL51" s="1">
        <f>IF(AL81="",AL86,SUM(AL81,AL86))</f>
        <v>8294.25</v>
      </c>
      <c r="AM51" s="1">
        <f>IF(AM81="",AM86,SUM(AM81,AM86))</f>
        <v>11132.62</v>
      </c>
      <c r="AN51" s="1">
        <f>IF(AN81="",AN86,SUM(AN81,AN86))</f>
        <v>8297.75</v>
      </c>
      <c r="AO51" s="1">
        <f>IF(AO81="",AO86,SUM(AO81,AO86))</f>
        <v>8513.2999999999993</v>
      </c>
      <c r="AP51" s="1">
        <f>IF(AP81="",AP86,SUM(AP81,AP86))</f>
        <v>8364.41</v>
      </c>
      <c r="AQ51" s="1">
        <f>IF(AQ81="",AQ86,SUM(AQ81,AQ86))</f>
        <v>8313.75</v>
      </c>
      <c r="AR51" s="1">
        <f>IF(AR81="",AR86,SUM(AR81,AR86))</f>
        <v>11355.85</v>
      </c>
      <c r="AS51" s="1">
        <f>IF(AS81="",AS86,SUM(AS81,AS86))</f>
        <v>7698.95</v>
      </c>
      <c r="AT51" s="1">
        <f>IF(AT81="",AT86,SUM(AT81,AT86))</f>
        <v>8080.18</v>
      </c>
      <c r="AU51" s="1">
        <f>IF(AU81="",AU86,SUM(AU81,AU86))</f>
        <v>8268.5</v>
      </c>
      <c r="AV51" s="1">
        <f>IF(AV81="",AV86,SUM(AV81,AV86))</f>
        <v>8491.5</v>
      </c>
      <c r="AW51" s="1">
        <f>IF(AW81="",AW86,SUM(AW81,AW86))</f>
        <v>8461.32</v>
      </c>
      <c r="AX51" s="1">
        <f>IF(AX81="",AX86,SUM(AX81,AX86))</f>
        <v>8576.25</v>
      </c>
      <c r="AY51" s="1">
        <f>IF(AY81="",AY86,SUM(AY81,AY86))</f>
        <v>11213</v>
      </c>
      <c r="AZ51" s="1">
        <f>IF(AZ81="",AZ86,SUM(AZ81,AZ86))</f>
        <v>8122.75</v>
      </c>
      <c r="BA51" s="1">
        <f>IF(BA81="",BA86,SUM(BA81,BA86))</f>
        <v>8469</v>
      </c>
      <c r="BB51" s="1">
        <f>IF(BB81="",BB86,SUM(BB81,BB86))</f>
        <v>8384.5</v>
      </c>
      <c r="BC51" s="1">
        <f>IF(BC81="",BC86,SUM(BC81,BC86))</f>
        <v>8999.25</v>
      </c>
      <c r="BD51" s="1">
        <f>IF(BD81="",BD86,SUM(BD81,BD86))</f>
        <v>11477.5</v>
      </c>
      <c r="BE51" s="1">
        <f>IF(BE81="",BE86,SUM(BE81,BE86))</f>
        <v>8437.5</v>
      </c>
      <c r="BF51" s="1">
        <f>IF(BF81="",BF86,SUM(BF81,BF86))</f>
        <v>8882.7000000000007</v>
      </c>
      <c r="BG51" s="1">
        <f>IF(BG81="",BG86,SUM(BG81,BG86))</f>
        <v>8465.5</v>
      </c>
      <c r="BH51" s="1">
        <f>IF(BH81="",BH86,SUM(BH81,BH86))</f>
        <v>9387</v>
      </c>
      <c r="BI51" s="1">
        <f>IF(BI81="",BI86,SUM(BI81,BI86))</f>
        <v>8989.5</v>
      </c>
      <c r="BJ51" s="1">
        <f>IF(BJ81="",BJ86,SUM(BJ81,BJ86))</f>
        <v>14206.32</v>
      </c>
      <c r="BK51" s="1">
        <f>IF(BK81="",BK86,SUM(BK81,BK86))</f>
        <v>9026</v>
      </c>
      <c r="BL51" s="1">
        <f>IF(BL81="",BL86,SUM(BL81,BL86))</f>
        <v>10708.25</v>
      </c>
      <c r="BM51" s="1">
        <f>IF(BM81="",BM86,SUM(BM81,BM86))</f>
        <v>10704.95</v>
      </c>
      <c r="BN51" s="1">
        <f>IF(BN81="",BN86,SUM(BN81,BN86))</f>
        <v>13352.25009</v>
      </c>
      <c r="BO51" s="1">
        <f>IF(BO81="",BO86,SUM(BO81,BO86))</f>
        <v>21443.325000000001</v>
      </c>
      <c r="BP51" s="1">
        <f>IF(BP81="",BP86,SUM(BP81,BP86))</f>
        <v>21958.25</v>
      </c>
    </row>
    <row r="52" spans="1:68 16322:16381" x14ac:dyDescent="0.25">
      <c r="A52" s="349"/>
      <c r="B52" s="126" t="s">
        <v>280</v>
      </c>
      <c r="C52" s="130">
        <v>2</v>
      </c>
      <c r="D52" s="130">
        <v>1</v>
      </c>
      <c r="E52" s="130">
        <v>0</v>
      </c>
      <c r="F52" s="8">
        <v>1</v>
      </c>
      <c r="G52" s="8">
        <v>0</v>
      </c>
      <c r="H52" s="8">
        <v>1</v>
      </c>
      <c r="I52" s="8">
        <v>0</v>
      </c>
      <c r="J52" s="8">
        <v>0</v>
      </c>
      <c r="K52" s="8">
        <v>0</v>
      </c>
      <c r="L52" s="8">
        <v>1</v>
      </c>
      <c r="M52" s="8">
        <v>1</v>
      </c>
      <c r="N52" s="8">
        <v>1</v>
      </c>
      <c r="O52" s="8">
        <v>2</v>
      </c>
      <c r="P52" s="8">
        <v>1</v>
      </c>
      <c r="Q52" s="8">
        <v>0</v>
      </c>
      <c r="R52" s="1">
        <v>1</v>
      </c>
      <c r="S52" s="1">
        <v>0</v>
      </c>
      <c r="T52" s="1">
        <v>0</v>
      </c>
      <c r="U52" s="1">
        <v>0</v>
      </c>
      <c r="V52" s="1">
        <v>0</v>
      </c>
      <c r="W52" s="1">
        <v>0</v>
      </c>
      <c r="X52" s="1">
        <v>0</v>
      </c>
      <c r="Y52" s="1">
        <v>1</v>
      </c>
      <c r="Z52" s="1">
        <v>0</v>
      </c>
      <c r="AA52" s="1">
        <v>0</v>
      </c>
      <c r="AB52" s="1">
        <v>0</v>
      </c>
      <c r="AC52" s="1">
        <v>0</v>
      </c>
      <c r="AD52" s="1">
        <v>0</v>
      </c>
      <c r="AE52" s="1">
        <v>0</v>
      </c>
      <c r="AF52" s="1">
        <v>0</v>
      </c>
      <c r="AG52" s="1">
        <v>0</v>
      </c>
      <c r="AH52" s="1">
        <v>0</v>
      </c>
      <c r="AI52" s="1">
        <v>0</v>
      </c>
      <c r="AJ52" s="1">
        <v>0</v>
      </c>
      <c r="AK52" s="1">
        <v>0</v>
      </c>
      <c r="AL52" s="1">
        <v>0</v>
      </c>
      <c r="AM52" s="1">
        <v>0</v>
      </c>
      <c r="AN52" s="1">
        <v>0</v>
      </c>
      <c r="AO52" s="1">
        <v>0</v>
      </c>
      <c r="AP52" s="1">
        <v>0</v>
      </c>
      <c r="AQ52" s="1">
        <v>0</v>
      </c>
      <c r="AR52" s="1">
        <v>0</v>
      </c>
      <c r="AS52" s="1">
        <v>1</v>
      </c>
      <c r="AT52" s="1">
        <v>0</v>
      </c>
      <c r="AU52" s="1">
        <v>0</v>
      </c>
      <c r="AV52" s="1">
        <v>0</v>
      </c>
      <c r="AW52" s="1">
        <v>0</v>
      </c>
      <c r="AX52" s="1">
        <v>1</v>
      </c>
      <c r="AY52" s="1">
        <v>0</v>
      </c>
      <c r="AZ52" s="111">
        <v>0</v>
      </c>
      <c r="BA52" s="111">
        <v>0</v>
      </c>
      <c r="BB52" s="111">
        <v>0</v>
      </c>
      <c r="BC52" s="111">
        <v>0</v>
      </c>
      <c r="BD52" s="111">
        <v>1</v>
      </c>
      <c r="BE52" s="111">
        <v>0</v>
      </c>
      <c r="BF52" s="111">
        <v>0</v>
      </c>
      <c r="BG52" s="111">
        <v>0</v>
      </c>
      <c r="BH52" s="111">
        <v>0</v>
      </c>
      <c r="BI52" s="111">
        <v>0</v>
      </c>
      <c r="BJ52" s="111">
        <v>0</v>
      </c>
      <c r="BK52" s="111">
        <v>0</v>
      </c>
      <c r="BL52" s="111">
        <v>1</v>
      </c>
      <c r="BM52" s="111">
        <v>0</v>
      </c>
      <c r="BN52" s="111">
        <v>0</v>
      </c>
      <c r="BO52" s="111">
        <v>1</v>
      </c>
      <c r="BP52" s="111">
        <v>0</v>
      </c>
    </row>
    <row r="53" spans="1:68 16322:16381" x14ac:dyDescent="0.25">
      <c r="A53" s="349"/>
      <c r="B53" s="126" t="s">
        <v>283</v>
      </c>
      <c r="C53" s="129">
        <f>C52/C51*200000</f>
        <v>71.111111111111114</v>
      </c>
      <c r="D53" s="129">
        <f>D52/D51*200000</f>
        <v>35.757386135073531</v>
      </c>
      <c r="E53" s="129">
        <f>E52/E51*200000</f>
        <v>0</v>
      </c>
      <c r="F53" s="129">
        <f>F52/F51*200000</f>
        <v>36.717459151826695</v>
      </c>
      <c r="G53" s="129">
        <f>G52/G51*200000</f>
        <v>0</v>
      </c>
      <c r="H53" s="129">
        <f>H52/H51*200000</f>
        <v>41.966112364265854</v>
      </c>
      <c r="I53" s="129">
        <f>I52/I51*200000</f>
        <v>0</v>
      </c>
      <c r="J53" s="129">
        <f>J52/J51*200000</f>
        <v>0</v>
      </c>
      <c r="K53" s="129">
        <f>K52/K51*200000</f>
        <v>0</v>
      </c>
      <c r="L53" s="129">
        <f>L52/L51*200000</f>
        <v>36.604895904827274</v>
      </c>
      <c r="M53" s="129">
        <f>M52/M51*200000</f>
        <v>36.656891495601172</v>
      </c>
      <c r="N53" s="129">
        <f>N52/N51*200000</f>
        <v>36.544698734639809</v>
      </c>
      <c r="O53" s="129">
        <f>O52/O51*200000</f>
        <v>72.793448589626934</v>
      </c>
      <c r="P53" s="129">
        <f>P52/P51*200000</f>
        <v>23.820157808545481</v>
      </c>
      <c r="Q53" s="129">
        <f>Q52/Q51*200000</f>
        <v>0</v>
      </c>
      <c r="R53" s="129">
        <f>R52/R51*200000</f>
        <v>35.446851876467719</v>
      </c>
      <c r="S53" s="129">
        <f>S52/S51*200000</f>
        <v>0</v>
      </c>
      <c r="T53" s="129">
        <f>T52/T51*200000</f>
        <v>0</v>
      </c>
      <c r="U53" s="129">
        <f>U52/U51*200000</f>
        <v>0</v>
      </c>
      <c r="V53" s="129">
        <f>V52/V51*200000</f>
        <v>0</v>
      </c>
      <c r="W53" s="129">
        <f>W52/W51*200000</f>
        <v>0</v>
      </c>
      <c r="X53" s="129">
        <f>X52/X51*200000</f>
        <v>0</v>
      </c>
      <c r="Y53" s="129">
        <f>Y52/Y51*200000</f>
        <v>37.240480402197193</v>
      </c>
      <c r="Z53" s="129">
        <f>Z52/Z51*200000</f>
        <v>0</v>
      </c>
      <c r="AA53" s="129">
        <f>AA52/AA51*200000</f>
        <v>0</v>
      </c>
      <c r="AB53" s="129">
        <f>AB52/AB51*200000</f>
        <v>0</v>
      </c>
      <c r="AC53" s="129">
        <f>AC52/AC51*200000</f>
        <v>0</v>
      </c>
      <c r="AD53" s="129">
        <f>AD52/AD51*200000</f>
        <v>0</v>
      </c>
      <c r="AE53" s="129">
        <f>AE52/AE51*200000</f>
        <v>0</v>
      </c>
      <c r="AF53" s="129">
        <f>AF52/AF51*200000</f>
        <v>0</v>
      </c>
      <c r="AG53" s="129">
        <f>AG52/AG51*200000</f>
        <v>0</v>
      </c>
      <c r="AH53" s="129">
        <f>AH52/AH51*200000</f>
        <v>0</v>
      </c>
      <c r="AI53" s="129">
        <f>AI52/AI51*200000</f>
        <v>0</v>
      </c>
      <c r="AJ53" s="129">
        <f>AJ52/AJ51*200000</f>
        <v>0</v>
      </c>
      <c r="AK53" s="129">
        <f>AK52/AK51*200000</f>
        <v>0</v>
      </c>
      <c r="AL53" s="129">
        <f>AL52/AL51*200000</f>
        <v>0</v>
      </c>
      <c r="AM53" s="129">
        <f>AM52/AM51*200000</f>
        <v>0</v>
      </c>
      <c r="AN53" s="129">
        <f>AN52/AN51*200000</f>
        <v>0</v>
      </c>
      <c r="AO53" s="129">
        <f>AO52/AO51*200000</f>
        <v>0</v>
      </c>
      <c r="AP53" s="129">
        <f>AP52/AP51*200000</f>
        <v>0</v>
      </c>
      <c r="AQ53" s="129">
        <f>AQ52/AQ51*200000</f>
        <v>0</v>
      </c>
      <c r="AR53" s="129">
        <f>AR52/AR51*200000</f>
        <v>0</v>
      </c>
      <c r="AS53" s="129">
        <f>AS52/AS51*200000</f>
        <v>25.977568369712753</v>
      </c>
      <c r="AT53" s="129">
        <f>AT52/AT51*200000</f>
        <v>0</v>
      </c>
      <c r="AU53" s="129">
        <f>AU52/AU51*200000</f>
        <v>0</v>
      </c>
      <c r="AV53" s="129">
        <f>AV52/AV51*200000</f>
        <v>0</v>
      </c>
      <c r="AW53" s="129">
        <f>AW52/AW51*200000</f>
        <v>0</v>
      </c>
      <c r="AX53" s="129">
        <f>AX52/AX51*200000</f>
        <v>23.320215711995338</v>
      </c>
      <c r="AY53" s="129">
        <f>AY52/AY51*200000</f>
        <v>0</v>
      </c>
      <c r="AZ53" s="129">
        <f>AZ52/AZ51*200000</f>
        <v>0</v>
      </c>
      <c r="BA53" s="129">
        <f>BA52/BA51*200000</f>
        <v>0</v>
      </c>
      <c r="BB53" s="129">
        <f>BB52/BB51*200000</f>
        <v>0</v>
      </c>
      <c r="BC53" s="129">
        <f>BC52/BC51*200000</f>
        <v>0</v>
      </c>
      <c r="BD53" s="129">
        <f>BD52/BD51*200000</f>
        <v>17.425397516880857</v>
      </c>
      <c r="BE53" s="129">
        <f>BE52/BE51*200000</f>
        <v>0</v>
      </c>
      <c r="BF53" s="129">
        <f>BF52/BF51*200000</f>
        <v>0</v>
      </c>
      <c r="BG53" s="129">
        <f>BG52/BG51*200000</f>
        <v>0</v>
      </c>
      <c r="BH53" s="1">
        <f>BH52/BH51*200000</f>
        <v>0</v>
      </c>
      <c r="BI53" s="1">
        <f>BI52/BI51*200000</f>
        <v>0</v>
      </c>
      <c r="BJ53" s="1">
        <f>BJ52/BJ51*200000</f>
        <v>0</v>
      </c>
      <c r="BK53" s="1">
        <f>BK52/BK51*200000</f>
        <v>0</v>
      </c>
      <c r="BL53" s="1">
        <f>BL52/BL51*200000</f>
        <v>18.677188149324117</v>
      </c>
      <c r="BM53" s="1">
        <f>BM52/BM51*200000</f>
        <v>0</v>
      </c>
      <c r="BN53" s="1">
        <f>BN52/BN51*200000</f>
        <v>0</v>
      </c>
      <c r="BO53" s="1">
        <f>BO52/BO51*200000</f>
        <v>9.3269117545902969</v>
      </c>
      <c r="BP53" s="1">
        <f>BP52/BP51*200000</f>
        <v>0</v>
      </c>
    </row>
    <row r="54" spans="1:68 16322:16381" s="112" customFormat="1" x14ac:dyDescent="0.25">
      <c r="A54" s="349"/>
      <c r="B54" s="112" t="s">
        <v>282</v>
      </c>
      <c r="F54" s="122"/>
      <c r="G54" s="122"/>
      <c r="H54" s="122"/>
      <c r="I54" s="122"/>
      <c r="J54" s="122"/>
      <c r="K54" s="122"/>
      <c r="L54" s="122">
        <f>SUM(C52:L52)/SUM(C51:L51)*200000</f>
        <v>19.724579126792882</v>
      </c>
      <c r="M54" s="122">
        <f>SUM(C52:M52)/SUM(C51:M51)*200000</f>
        <v>21.11811360941747</v>
      </c>
      <c r="N54" s="122">
        <f>SUM(C52:N52)/SUM(C51:N51)*200000</f>
        <v>22.294509071426727</v>
      </c>
      <c r="O54" s="122">
        <f>SUM(D52:O52)/SUM(D51:O51)*200000</f>
        <v>22.3349672757831</v>
      </c>
      <c r="P54" s="122">
        <f>SUM(E52:P52)/SUM(E51:P51)*200000</f>
        <v>21.493950460474302</v>
      </c>
      <c r="Q54" s="122">
        <f>SUM(F52:Q52)/SUM(F51:Q51)*200000</f>
        <v>22.323873359456918</v>
      </c>
      <c r="R54" s="122">
        <f>SUM(G52:R52)/SUM(G51:R51)*200000</f>
        <v>22.263223659127785</v>
      </c>
      <c r="S54" s="122">
        <f>SUM(H52:S52)/SUM(H51:S51)*200000</f>
        <v>22.244002808305353</v>
      </c>
      <c r="T54" s="122">
        <f>SUM(I52:T52)/SUM(I51:T51)*200000</f>
        <v>19.406036663547841</v>
      </c>
      <c r="U54" s="122">
        <f>SUM(J52:U52)/SUM(J51:U51)*200000</f>
        <v>19.421785694467566</v>
      </c>
      <c r="V54" s="122">
        <f>SUM(K52:V52)/SUM(K51:V51)*200000</f>
        <v>18.719205236029122</v>
      </c>
      <c r="W54" s="122">
        <f>SUM(L52:W52)/SUM(L51:W51)*200000</f>
        <v>19.511923178771028</v>
      </c>
      <c r="X54" s="122">
        <f>SUM(M52:X52)/SUM(M51:X51)*200000</f>
        <v>16.672397803411592</v>
      </c>
      <c r="Y54" s="122">
        <f>SUM(N52:Y52)/SUM(N51:Y51)*200000</f>
        <v>16.692226638707186</v>
      </c>
      <c r="Z54" s="122">
        <f>SUM(O52:Z52)/SUM(O51:Z51)*200000</f>
        <v>13.830636935407469</v>
      </c>
      <c r="AA54" s="122">
        <f>SUM(P52:AA52)/SUM(P51:AA51)*200000</f>
        <v>7.9778587825920475</v>
      </c>
      <c r="AB54" s="122">
        <f>SUM(Q52:AB52)/SUM(Q51:AB51)*200000</f>
        <v>5.5316886240131993</v>
      </c>
      <c r="AC54" s="122">
        <f>SUM(R52:AC52)/SUM(R51:AC51)*200000</f>
        <v>5.53616743584793</v>
      </c>
      <c r="AD54" s="122">
        <f>SUM(S52:AD52)/SUM(S51:AD51)*200000</f>
        <v>2.7725253824698766</v>
      </c>
      <c r="AE54" s="122">
        <f>SUM(T52:AE52)/SUM(T51:AE51)*200000</f>
        <v>2.7816063498509758</v>
      </c>
      <c r="AF54" s="122">
        <f>SUM(U52:AF52)/SUM(U51:AF51)*200000</f>
        <v>2.7739458797610967</v>
      </c>
      <c r="AG54" s="122">
        <f>SUM(V52:AG52)/SUM(V51:AG51)*200000</f>
        <v>2.7764778462750286</v>
      </c>
      <c r="AH54" s="122">
        <f>SUM(W52:AH52)/SUM(W51:AH51)*200000</f>
        <v>2.7851677562242934</v>
      </c>
      <c r="AI54" s="122">
        <f>SUM(X52:AI52)/SUM(X51:AI51)*200000</f>
        <v>2.6777170694689514</v>
      </c>
      <c r="AJ54" s="122">
        <f>SUM(Y52:AJ52)/SUM(Y51:AJ51)*200000</f>
        <v>2.5789367404870109</v>
      </c>
      <c r="AK54" s="122">
        <f>SUM(Z52:AK52)/SUM(Z51:AK51)*200000</f>
        <v>0</v>
      </c>
      <c r="AL54" s="122">
        <f>SUM(AA52:AL52)/SUM(AA51:AL51)*200000</f>
        <v>0</v>
      </c>
      <c r="AM54" s="122">
        <f>SUM(AB52:AM52)/SUM(AB51:AM51)*200000</f>
        <v>0</v>
      </c>
      <c r="AN54" s="122">
        <f>SUM(AC52:AN52)/SUM(AC51:AN51)*200000</f>
        <v>0</v>
      </c>
      <c r="AO54" s="122">
        <f>SUM(AD52:AO52)/SUM(AD51:AO51)*200000</f>
        <v>0</v>
      </c>
      <c r="AP54" s="122">
        <f>SUM(AE52:AP52)/SUM(AE51:AP51)*200000</f>
        <v>0</v>
      </c>
      <c r="AQ54" s="122">
        <f>SUM(AF52:AQ52)/SUM(AF51:AQ51)*200000</f>
        <v>0</v>
      </c>
      <c r="AR54" s="122">
        <f>SUM(AG52:AR52)/SUM(AG51:AR51)*200000</f>
        <v>0</v>
      </c>
      <c r="AS54" s="122">
        <f>SUM(AH52:AS52)/SUM(AH51:AS51)*200000</f>
        <v>1.9036829697758915</v>
      </c>
      <c r="AT54" s="122">
        <f>SUM(AI52:AT52)/SUM(AI51:AT51)*200000</f>
        <v>1.9065833273673163</v>
      </c>
      <c r="AU54" s="122">
        <f>SUM(AJ52:AU52)/SUM(AJ51:AU51)*200000</f>
        <v>1.9035579496815396</v>
      </c>
      <c r="AV54" s="122">
        <f>SUM(AK52:AV52)/SUM(AK51:AV51)*200000</f>
        <v>1.9045975652005647</v>
      </c>
      <c r="AW54" s="122">
        <f>SUM(AL52:AW52)/SUM(AL51:AW51)*200000</f>
        <v>1.8998335555821952</v>
      </c>
      <c r="AX54" s="122">
        <f>SUM(AM52:AX52)/SUM(AM51:AX51)*200000</f>
        <v>3.7895158874506198</v>
      </c>
      <c r="AY54" s="122">
        <f>SUM(AN52:AY52)/SUM(AN51:AY51)*200000</f>
        <v>3.7866323547286895</v>
      </c>
      <c r="AZ54" s="122">
        <f>SUM(AO52:AZ52)/SUM(AO51:AZ51)*200000</f>
        <v>3.792915895124358</v>
      </c>
      <c r="BA54" s="122">
        <f>SUM(AP52:BA52)/SUM(AP51:BA51)*200000</f>
        <v>3.7945098375513422</v>
      </c>
      <c r="BB54" s="122">
        <f>SUM(AQ52:BB52)/SUM(AQ51:BB51)*200000</f>
        <v>3.7937868204794305</v>
      </c>
      <c r="BC54" s="122">
        <f>SUM(AR52:BC52)/SUM(AR51:BC51)*200000</f>
        <v>3.7692804584952753</v>
      </c>
      <c r="BD54" s="122">
        <f>SUM(AS52:BD52)/SUM(AS51:BD51)*200000</f>
        <v>5.6474468363473447</v>
      </c>
      <c r="BE54" s="122">
        <f>SUM(AT52:BE52)/SUM(AT51:BE51)*200000</f>
        <v>3.7389729508675584</v>
      </c>
      <c r="BF54" s="122">
        <f>SUM(AU52:BF52)/SUM(AU51:BF51)*200000</f>
        <v>3.7111338747939508</v>
      </c>
      <c r="BG54" s="122">
        <f>SUM(AV52:BG52)/SUM(AV51:BG51)*200000</f>
        <v>3.7043632861666018</v>
      </c>
      <c r="BH54" s="112">
        <f>SUM(AW52:BH52)/SUM(AW51:BH51)*200000</f>
        <v>3.6738951472161929</v>
      </c>
      <c r="BI54" s="112">
        <f>SUM(AX52:BI52)/SUM(AX51:BI51)*200000</f>
        <v>3.6561584103754465</v>
      </c>
      <c r="BJ54" s="112">
        <f>SUM(AY52:BJ52)/SUM(AY51:BJ51)*200000</f>
        <v>1.7386085498509494</v>
      </c>
      <c r="BK54" s="112">
        <f>SUM(AZ52:BK52)/SUM(AZ51:BK51)*200000</f>
        <v>1.7723030156090274</v>
      </c>
      <c r="BL54" s="112">
        <f>SUM(BA52:BL52)/SUM(BA51:BL51)*200000</f>
        <v>3.4652129867173196</v>
      </c>
      <c r="BM54" s="112">
        <f>SUM(BB52:BM52)/SUM(BB51:BM51)*200000</f>
        <v>3.3993668849145195</v>
      </c>
      <c r="BN54" s="112">
        <f>SUM(BC52:BN52)/SUM(BC51:BN51)*200000</f>
        <v>3.2616658347226681</v>
      </c>
      <c r="BO54" s="112">
        <f>SUM(BD52:BO52)/SUM(BD51:BO51)*200000</f>
        <v>4.4417861147488749</v>
      </c>
      <c r="BP54" s="112">
        <f>SUM(BE52:BP52)/SUM(BE51:BP51)*200000</f>
        <v>2.7479785251845326</v>
      </c>
      <c r="XCT54" s="1"/>
      <c r="XCU54" s="1"/>
      <c r="XCV54" s="1"/>
      <c r="XCW54" s="1"/>
      <c r="XCX54" s="1"/>
      <c r="XCY54" s="1"/>
      <c r="XCZ54" s="1"/>
      <c r="XDA54" s="1"/>
      <c r="XDB54" s="1"/>
      <c r="XDC54" s="1"/>
      <c r="XDD54" s="1"/>
      <c r="XDE54" s="1"/>
      <c r="XDF54" s="1"/>
      <c r="XDG54" s="1"/>
      <c r="XDH54" s="1"/>
      <c r="XDI54" s="1"/>
      <c r="XDJ54" s="1"/>
      <c r="XDK54" s="1"/>
      <c r="XDL54" s="1"/>
      <c r="XDM54" s="1"/>
      <c r="XDN54" s="1"/>
      <c r="XDO54" s="1"/>
      <c r="XDP54" s="1"/>
      <c r="XDQ54" s="1"/>
      <c r="XDR54" s="1"/>
      <c r="XDS54" s="1"/>
      <c r="XDT54" s="1"/>
      <c r="XDU54" s="1"/>
      <c r="XDV54" s="1"/>
      <c r="XDW54" s="1"/>
      <c r="XDX54" s="1"/>
      <c r="XDY54" s="1"/>
      <c r="XDZ54" s="1"/>
      <c r="XEA54" s="1"/>
      <c r="XEB54" s="1"/>
      <c r="XEC54" s="1"/>
      <c r="XED54" s="1"/>
      <c r="XEE54" s="1"/>
      <c r="XEF54" s="1"/>
      <c r="XEG54" s="1"/>
      <c r="XEH54" s="1"/>
      <c r="XEI54" s="1"/>
      <c r="XEJ54" s="1"/>
      <c r="XEK54" s="1"/>
      <c r="XEL54" s="1"/>
      <c r="XEM54" s="1"/>
      <c r="XEN54" s="1"/>
      <c r="XEO54" s="1"/>
      <c r="XEP54" s="1"/>
      <c r="XEQ54" s="1"/>
      <c r="XER54" s="1"/>
      <c r="XES54" s="1"/>
      <c r="XET54" s="1"/>
      <c r="XEU54" s="1"/>
      <c r="XEV54" s="1"/>
      <c r="XEW54" s="1"/>
      <c r="XEX54" s="1"/>
      <c r="XEY54" s="1"/>
      <c r="XEZ54" s="1"/>
      <c r="XFA54" s="1"/>
    </row>
    <row r="55" spans="1:68 16322:16381" x14ac:dyDescent="0.25">
      <c r="A55" s="349"/>
      <c r="B55" s="118" t="s">
        <v>270</v>
      </c>
      <c r="C55" s="118"/>
      <c r="D55" s="118"/>
      <c r="E55" s="118"/>
      <c r="F55" s="123"/>
      <c r="G55" s="115"/>
      <c r="H55" s="115"/>
      <c r="I55" s="115"/>
      <c r="J55" s="115"/>
      <c r="K55" s="115"/>
      <c r="L55" s="115"/>
      <c r="M55" s="115"/>
      <c r="N55" s="115"/>
      <c r="O55" s="115"/>
      <c r="P55" s="115"/>
      <c r="Q55" s="115"/>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row>
    <row r="56" spans="1:68 16322:16381" x14ac:dyDescent="0.25">
      <c r="A56" s="349"/>
      <c r="B56" s="126" t="s">
        <v>279</v>
      </c>
      <c r="C56" s="126"/>
      <c r="D56" s="126"/>
      <c r="E56" s="126"/>
      <c r="F56" s="129">
        <v>1041.5</v>
      </c>
      <c r="G56" s="8">
        <v>1034.1500000000001</v>
      </c>
      <c r="H56" s="8">
        <v>895.75</v>
      </c>
      <c r="I56" s="8">
        <v>1128.5</v>
      </c>
      <c r="J56" s="8">
        <v>1146.7</v>
      </c>
      <c r="K56" s="8">
        <v>1639</v>
      </c>
      <c r="L56" s="8">
        <v>1142</v>
      </c>
      <c r="M56" s="8">
        <v>1113.5</v>
      </c>
      <c r="N56" s="8">
        <v>1027.5</v>
      </c>
      <c r="O56" s="8">
        <v>1090.5</v>
      </c>
      <c r="P56" s="8">
        <v>1611.5</v>
      </c>
      <c r="Q56" s="8">
        <v>1037.25</v>
      </c>
      <c r="R56" s="7">
        <v>1129.75</v>
      </c>
      <c r="S56" s="1">
        <v>1079.25</v>
      </c>
      <c r="T56" s="1">
        <v>824</v>
      </c>
      <c r="U56" s="1">
        <v>1057.5</v>
      </c>
      <c r="V56" s="1">
        <v>1609.5</v>
      </c>
      <c r="W56" s="1">
        <v>1000</v>
      </c>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row>
    <row r="57" spans="1:68 16322:16381" x14ac:dyDescent="0.25">
      <c r="A57" s="349"/>
      <c r="B57" s="126" t="s">
        <v>280</v>
      </c>
      <c r="C57" s="126"/>
      <c r="D57" s="126"/>
      <c r="E57" s="126"/>
      <c r="F57" s="129">
        <v>0</v>
      </c>
      <c r="G57" s="8">
        <v>0</v>
      </c>
      <c r="H57" s="8">
        <v>0</v>
      </c>
      <c r="I57" s="8">
        <v>0</v>
      </c>
      <c r="J57" s="8">
        <v>0</v>
      </c>
      <c r="K57" s="8">
        <v>0</v>
      </c>
      <c r="L57" s="8">
        <v>0</v>
      </c>
      <c r="M57" s="8">
        <v>0</v>
      </c>
      <c r="N57" s="8">
        <v>0</v>
      </c>
      <c r="O57" s="8">
        <v>1</v>
      </c>
      <c r="P57" s="8">
        <v>0</v>
      </c>
      <c r="Q57" s="8">
        <v>0</v>
      </c>
      <c r="R57" s="1">
        <v>0</v>
      </c>
      <c r="S57" s="1">
        <v>0</v>
      </c>
      <c r="T57" s="1">
        <v>0</v>
      </c>
      <c r="U57" s="1">
        <v>0</v>
      </c>
      <c r="V57" s="1">
        <v>0</v>
      </c>
      <c r="W57" s="1">
        <v>1</v>
      </c>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row>
    <row r="58" spans="1:68 16322:16381" x14ac:dyDescent="0.25">
      <c r="A58" s="349"/>
      <c r="B58" s="126" t="s">
        <v>281</v>
      </c>
      <c r="C58" s="126"/>
      <c r="D58" s="126"/>
      <c r="E58" s="126"/>
      <c r="F58" s="129">
        <f t="shared" ref="F58:W58" si="4">F57/F56*200000</f>
        <v>0</v>
      </c>
      <c r="G58" s="129">
        <f t="shared" si="4"/>
        <v>0</v>
      </c>
      <c r="H58" s="129">
        <f t="shared" si="4"/>
        <v>0</v>
      </c>
      <c r="I58" s="129">
        <f t="shared" si="4"/>
        <v>0</v>
      </c>
      <c r="J58" s="129">
        <f t="shared" si="4"/>
        <v>0</v>
      </c>
      <c r="K58" s="129">
        <f t="shared" si="4"/>
        <v>0</v>
      </c>
      <c r="L58" s="129">
        <f t="shared" si="4"/>
        <v>0</v>
      </c>
      <c r="M58" s="129">
        <f t="shared" si="4"/>
        <v>0</v>
      </c>
      <c r="N58" s="129">
        <f t="shared" si="4"/>
        <v>0</v>
      </c>
      <c r="O58" s="129">
        <f t="shared" si="4"/>
        <v>183.40210912425493</v>
      </c>
      <c r="P58" s="129">
        <f t="shared" si="4"/>
        <v>0</v>
      </c>
      <c r="Q58" s="129">
        <f t="shared" si="4"/>
        <v>0</v>
      </c>
      <c r="R58" s="129">
        <f t="shared" si="4"/>
        <v>0</v>
      </c>
      <c r="S58" s="129">
        <f t="shared" si="4"/>
        <v>0</v>
      </c>
      <c r="T58" s="129">
        <f t="shared" si="4"/>
        <v>0</v>
      </c>
      <c r="U58" s="129">
        <f t="shared" si="4"/>
        <v>0</v>
      </c>
      <c r="V58" s="129">
        <f t="shared" si="4"/>
        <v>0</v>
      </c>
      <c r="W58" s="129">
        <f t="shared" si="4"/>
        <v>200</v>
      </c>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row>
    <row r="59" spans="1:68 16322:16381" s="112" customFormat="1" x14ac:dyDescent="0.25">
      <c r="A59" s="349"/>
      <c r="B59" s="112" t="s">
        <v>282</v>
      </c>
      <c r="F59" s="122"/>
      <c r="G59" s="122"/>
      <c r="H59" s="122"/>
      <c r="I59" s="122"/>
      <c r="J59" s="122"/>
      <c r="K59" s="122"/>
      <c r="L59" s="122"/>
      <c r="M59" s="122"/>
      <c r="N59" s="122"/>
      <c r="O59" s="122"/>
      <c r="P59" s="122"/>
      <c r="Q59" s="122">
        <f t="shared" ref="Q59:W59" si="5">SUM(F57:Q57)/SUM(F56:Q56)*200000</f>
        <v>14.380367921713278</v>
      </c>
      <c r="R59" s="122">
        <f t="shared" si="5"/>
        <v>14.289694986460512</v>
      </c>
      <c r="S59" s="122">
        <f t="shared" si="5"/>
        <v>14.243796826482068</v>
      </c>
      <c r="T59" s="122">
        <f t="shared" si="5"/>
        <v>14.31695592883041</v>
      </c>
      <c r="U59" s="122">
        <f t="shared" si="5"/>
        <v>14.390093859387198</v>
      </c>
      <c r="V59" s="122">
        <f t="shared" si="5"/>
        <v>13.926364348507267</v>
      </c>
      <c r="W59" s="122">
        <f t="shared" si="5"/>
        <v>29.149738563282259</v>
      </c>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XCT59" s="1"/>
      <c r="XCU59" s="1"/>
      <c r="XCV59" s="1"/>
      <c r="XCW59" s="1"/>
      <c r="XCX59" s="1"/>
      <c r="XCY59" s="1"/>
      <c r="XCZ59" s="1"/>
      <c r="XDA59" s="1"/>
      <c r="XDB59" s="1"/>
      <c r="XDC59" s="1"/>
      <c r="XDD59" s="1"/>
      <c r="XDE59" s="1"/>
      <c r="XDF59" s="1"/>
      <c r="XDG59" s="1"/>
      <c r="XDH59" s="1"/>
      <c r="XDI59" s="1"/>
      <c r="XDJ59" s="1"/>
      <c r="XDK59" s="1"/>
      <c r="XDL59" s="1"/>
      <c r="XDM59" s="1"/>
      <c r="XDN59" s="1"/>
      <c r="XDO59" s="1"/>
      <c r="XDP59" s="1"/>
      <c r="XDQ59" s="1"/>
      <c r="XDR59" s="1"/>
      <c r="XDS59" s="1"/>
      <c r="XDT59" s="1"/>
      <c r="XDU59" s="1"/>
      <c r="XDV59" s="1"/>
      <c r="XDW59" s="1"/>
      <c r="XDX59" s="1"/>
      <c r="XDY59" s="1"/>
      <c r="XDZ59" s="1"/>
      <c r="XEA59" s="1"/>
      <c r="XEB59" s="1"/>
      <c r="XEC59" s="1"/>
      <c r="XED59" s="1"/>
      <c r="XEE59" s="1"/>
      <c r="XEF59" s="1"/>
      <c r="XEG59" s="1"/>
      <c r="XEH59" s="1"/>
      <c r="XEI59" s="1"/>
      <c r="XEJ59" s="1"/>
      <c r="XEK59" s="1"/>
      <c r="XEL59" s="1"/>
      <c r="XEM59" s="1"/>
      <c r="XEN59" s="1"/>
      <c r="XEO59" s="1"/>
      <c r="XEP59" s="1"/>
      <c r="XEQ59" s="1"/>
      <c r="XER59" s="1"/>
      <c r="XES59" s="1"/>
      <c r="XET59" s="1"/>
      <c r="XEU59" s="1"/>
      <c r="XEV59" s="1"/>
      <c r="XEW59" s="1"/>
      <c r="XEX59" s="1"/>
      <c r="XEY59" s="1"/>
      <c r="XEZ59" s="1"/>
      <c r="XFA59" s="1"/>
    </row>
    <row r="60" spans="1:68 16322:16381" s="112" customFormat="1" outlineLevel="1" x14ac:dyDescent="0.25">
      <c r="A60" s="349"/>
      <c r="B60" s="124"/>
      <c r="C60" s="124"/>
      <c r="D60" s="124"/>
      <c r="E60" s="124"/>
      <c r="F60" s="125"/>
      <c r="G60" s="125"/>
      <c r="H60" s="125"/>
      <c r="I60" s="125"/>
      <c r="J60" s="125"/>
      <c r="K60" s="125"/>
      <c r="L60" s="125"/>
      <c r="M60" s="125"/>
      <c r="N60" s="125"/>
      <c r="O60" s="125"/>
      <c r="P60" s="125"/>
      <c r="Q60" s="125"/>
      <c r="R60" s="125"/>
      <c r="S60" s="125"/>
      <c r="T60" s="125"/>
      <c r="U60" s="125"/>
      <c r="V60" s="125"/>
      <c r="W60" s="125"/>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XCT60" s="1"/>
      <c r="XCU60" s="1"/>
      <c r="XCV60" s="1"/>
      <c r="XCW60" s="1"/>
      <c r="XCX60" s="1"/>
      <c r="XCY60" s="1"/>
      <c r="XCZ60" s="1"/>
      <c r="XDA60" s="1"/>
      <c r="XDB60" s="1"/>
      <c r="XDC60" s="1"/>
      <c r="XDD60" s="1"/>
      <c r="XDE60" s="1"/>
      <c r="XDF60" s="1"/>
      <c r="XDG60" s="1"/>
      <c r="XDH60" s="1"/>
      <c r="XDI60" s="1"/>
      <c r="XDJ60" s="1"/>
      <c r="XDK60" s="1"/>
      <c r="XDL60" s="1"/>
      <c r="XDM60" s="1"/>
      <c r="XDN60" s="1"/>
      <c r="XDO60" s="1"/>
      <c r="XDP60" s="1"/>
      <c r="XDQ60" s="1"/>
      <c r="XDR60" s="1"/>
      <c r="XDS60" s="1"/>
      <c r="XDT60" s="1"/>
      <c r="XDU60" s="1"/>
      <c r="XDV60" s="1"/>
      <c r="XDW60" s="1"/>
      <c r="XDX60" s="1"/>
      <c r="XDY60" s="1"/>
      <c r="XDZ60" s="1"/>
      <c r="XEA60" s="1"/>
      <c r="XEB60" s="1"/>
      <c r="XEC60" s="1"/>
      <c r="XED60" s="1"/>
      <c r="XEE60" s="1"/>
      <c r="XEF60" s="1"/>
      <c r="XEG60" s="1"/>
      <c r="XEH60" s="1"/>
      <c r="XEI60" s="1"/>
      <c r="XEJ60" s="1"/>
      <c r="XEK60" s="1"/>
      <c r="XEL60" s="1"/>
      <c r="XEM60" s="1"/>
      <c r="XEN60" s="1"/>
      <c r="XEO60" s="1"/>
      <c r="XEP60" s="1"/>
      <c r="XEQ60" s="1"/>
      <c r="XER60" s="1"/>
      <c r="XES60" s="1"/>
      <c r="XET60" s="1"/>
      <c r="XEU60" s="1"/>
      <c r="XEV60" s="1"/>
      <c r="XEW60" s="1"/>
      <c r="XEX60" s="1"/>
      <c r="XEY60" s="1"/>
      <c r="XEZ60" s="1"/>
      <c r="XFA60" s="1"/>
    </row>
    <row r="61" spans="1:68 16322:16381" ht="10.5" customHeight="1" outlineLevel="1" x14ac:dyDescent="0.25">
      <c r="A61" s="349"/>
      <c r="B61" s="118" t="s">
        <v>284</v>
      </c>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row>
    <row r="62" spans="1:68 16322:16381" outlineLevel="1" x14ac:dyDescent="0.25">
      <c r="A62" s="349"/>
      <c r="B62" s="1" t="s">
        <v>285</v>
      </c>
      <c r="C62" s="1">
        <f t="shared" ref="C62:AO63" si="6">C51+C46</f>
        <v>26822.989999999998</v>
      </c>
      <c r="D62" s="1">
        <f t="shared" si="6"/>
        <v>27644.400000000001</v>
      </c>
      <c r="E62" s="1">
        <f t="shared" si="6"/>
        <v>39743.96</v>
      </c>
      <c r="F62" s="1">
        <f t="shared" si="6"/>
        <v>28093.410000000003</v>
      </c>
      <c r="G62" s="1">
        <f t="shared" si="6"/>
        <v>28314.550000000003</v>
      </c>
      <c r="H62" s="1">
        <f t="shared" si="6"/>
        <v>24063.8</v>
      </c>
      <c r="I62" s="1">
        <f t="shared" si="6"/>
        <v>28010.9</v>
      </c>
      <c r="J62" s="1">
        <f t="shared" si="6"/>
        <v>27264</v>
      </c>
      <c r="K62" s="1">
        <f t="shared" si="6"/>
        <v>43790.45</v>
      </c>
      <c r="L62" s="1">
        <f t="shared" si="6"/>
        <v>28177.75</v>
      </c>
      <c r="M62" s="1">
        <f t="shared" si="6"/>
        <v>28915.5</v>
      </c>
      <c r="N62" s="1">
        <f t="shared" si="6"/>
        <v>29281.800000000003</v>
      </c>
      <c r="O62" s="1">
        <f t="shared" si="6"/>
        <v>28984.75</v>
      </c>
      <c r="P62" s="1">
        <f t="shared" si="6"/>
        <v>43980.149999999994</v>
      </c>
      <c r="Q62" s="1">
        <f t="shared" si="6"/>
        <v>29303</v>
      </c>
      <c r="R62" s="1">
        <f t="shared" si="6"/>
        <v>30337.95</v>
      </c>
      <c r="S62" s="1">
        <f t="shared" si="6"/>
        <v>30584.15</v>
      </c>
      <c r="T62" s="1">
        <f t="shared" si="6"/>
        <v>26319.199999999993</v>
      </c>
      <c r="U62" s="1">
        <f t="shared" si="6"/>
        <v>30724</v>
      </c>
      <c r="V62" s="1">
        <f t="shared" si="6"/>
        <v>44438.75</v>
      </c>
      <c r="W62" s="1">
        <f t="shared" si="6"/>
        <v>29079.75</v>
      </c>
      <c r="X62" s="1">
        <f t="shared" si="6"/>
        <v>30479.24</v>
      </c>
      <c r="Y62" s="1">
        <f t="shared" si="6"/>
        <v>29141.260000000002</v>
      </c>
      <c r="Z62" s="1">
        <f t="shared" si="6"/>
        <v>29464.65</v>
      </c>
      <c r="AA62" s="1">
        <f t="shared" si="6"/>
        <v>44572.11</v>
      </c>
      <c r="AB62" s="1">
        <f t="shared" si="6"/>
        <v>29086</v>
      </c>
      <c r="AC62" s="1">
        <f t="shared" si="6"/>
        <v>29591.65</v>
      </c>
      <c r="AD62" s="1">
        <f t="shared" si="6"/>
        <v>30522.200000000004</v>
      </c>
      <c r="AE62" s="1">
        <f t="shared" si="6"/>
        <v>30957.95</v>
      </c>
      <c r="AF62" s="1">
        <f t="shared" si="6"/>
        <v>26360.260000000002</v>
      </c>
      <c r="AG62" s="1">
        <f t="shared" si="6"/>
        <v>31050.84</v>
      </c>
      <c r="AH62" s="1">
        <f t="shared" si="6"/>
        <v>45449.109999999993</v>
      </c>
      <c r="AI62" s="1">
        <f t="shared" si="6"/>
        <v>32395.269999999997</v>
      </c>
      <c r="AJ62" s="1">
        <f t="shared" si="6"/>
        <v>34329.880000000005</v>
      </c>
      <c r="AK62" s="1">
        <f t="shared" si="6"/>
        <v>32516.15</v>
      </c>
      <c r="AL62" s="1">
        <f t="shared" si="6"/>
        <v>32259.200000000001</v>
      </c>
      <c r="AM62" s="1">
        <f t="shared" si="6"/>
        <v>48535.270000000004</v>
      </c>
      <c r="AN62" s="1">
        <f t="shared" si="6"/>
        <v>32954.5</v>
      </c>
      <c r="AO62" s="1">
        <f t="shared" si="6"/>
        <v>34109.050000000003</v>
      </c>
      <c r="AP62" s="1">
        <f>AP86+AP46</f>
        <v>30631.7</v>
      </c>
      <c r="AQ62" s="1">
        <f>AQ86+AQ46</f>
        <v>31518.15</v>
      </c>
      <c r="AR62" s="1">
        <f>AR86+AR46</f>
        <v>42830.25</v>
      </c>
      <c r="AS62" s="1">
        <f>AS86+AS46</f>
        <v>31834.920000000002</v>
      </c>
      <c r="AT62" s="1">
        <f>AT86+AT46</f>
        <v>30769.690000000002</v>
      </c>
      <c r="AU62" s="1">
        <f>AU86+AU46</f>
        <v>32214.75</v>
      </c>
      <c r="AV62" s="1">
        <f>AV86+AV46</f>
        <v>31347.75</v>
      </c>
      <c r="AW62" s="1">
        <f>AW86+AW46</f>
        <v>31149.65</v>
      </c>
      <c r="AX62" s="1">
        <f>AX86+AX46</f>
        <v>31213.300000000003</v>
      </c>
      <c r="AY62" s="1">
        <f>AY86+AY46</f>
        <v>47363.95</v>
      </c>
      <c r="AZ62" s="1">
        <f>AZ86+AZ46</f>
        <v>31153.56</v>
      </c>
      <c r="BA62" s="1">
        <f>BA86+BA46</f>
        <v>32712.400000000001</v>
      </c>
      <c r="BB62" s="1">
        <f>BB86+BB46</f>
        <v>32072.76</v>
      </c>
      <c r="BC62" s="1">
        <f>BC86+BC46</f>
        <v>33961.25</v>
      </c>
      <c r="BD62" s="1">
        <f>BD86+BD46</f>
        <v>46478.6</v>
      </c>
      <c r="BE62" s="1">
        <f>BE86+BE46</f>
        <v>33997.299999999996</v>
      </c>
      <c r="BF62" s="1">
        <f>BF86+BF46</f>
        <v>33328.75</v>
      </c>
      <c r="BG62" s="1">
        <f>BG86+BG46</f>
        <v>33023.11</v>
      </c>
      <c r="BH62" s="1">
        <f>BH86+BH46</f>
        <v>34453.1</v>
      </c>
      <c r="BI62" s="1">
        <f>BI86+BI46</f>
        <v>32975.949999999997</v>
      </c>
      <c r="BJ62" s="1">
        <f>BJ86+BJ46</f>
        <v>59416.99</v>
      </c>
      <c r="BK62" s="1">
        <f>BK86+BK46</f>
        <v>35033</v>
      </c>
      <c r="BL62" s="1">
        <f>BL86+BL46</f>
        <v>38283.550000000003</v>
      </c>
      <c r="BM62" s="1">
        <f>BM86+BM46</f>
        <v>41125.199999999997</v>
      </c>
      <c r="BN62" s="1">
        <f>BN86+BN46</f>
        <v>48008.700380000002</v>
      </c>
      <c r="BO62" s="1">
        <f>BO86+BO46</f>
        <v>86870.296099999992</v>
      </c>
      <c r="BP62" s="1">
        <f>BP86+BP46</f>
        <v>116102.508</v>
      </c>
    </row>
    <row r="63" spans="1:68 16322:16381" outlineLevel="1" x14ac:dyDescent="0.25">
      <c r="A63" s="349"/>
      <c r="B63" s="1" t="s">
        <v>286</v>
      </c>
      <c r="C63" s="1">
        <f t="shared" si="6"/>
        <v>2</v>
      </c>
      <c r="D63" s="1">
        <f t="shared" si="6"/>
        <v>2</v>
      </c>
      <c r="E63" s="1">
        <f t="shared" si="6"/>
        <v>2</v>
      </c>
      <c r="F63" s="1">
        <f t="shared" si="6"/>
        <v>3</v>
      </c>
      <c r="G63" s="1">
        <f t="shared" si="6"/>
        <v>0</v>
      </c>
      <c r="H63" s="1">
        <f t="shared" si="6"/>
        <v>2</v>
      </c>
      <c r="I63" s="1">
        <f t="shared" si="6"/>
        <v>1</v>
      </c>
      <c r="J63" s="1">
        <f t="shared" si="6"/>
        <v>1</v>
      </c>
      <c r="K63" s="1">
        <f t="shared" si="6"/>
        <v>1</v>
      </c>
      <c r="L63" s="1">
        <f t="shared" si="6"/>
        <v>1</v>
      </c>
      <c r="M63" s="1">
        <f t="shared" si="6"/>
        <v>1</v>
      </c>
      <c r="N63" s="1">
        <f t="shared" si="6"/>
        <v>1</v>
      </c>
      <c r="O63" s="1">
        <f t="shared" si="6"/>
        <v>2</v>
      </c>
      <c r="P63" s="1">
        <f t="shared" si="6"/>
        <v>2</v>
      </c>
      <c r="Q63" s="1">
        <f t="shared" si="6"/>
        <v>2</v>
      </c>
      <c r="R63" s="1">
        <f t="shared" si="6"/>
        <v>1</v>
      </c>
      <c r="S63" s="1">
        <f t="shared" si="6"/>
        <v>1</v>
      </c>
      <c r="T63" s="1">
        <f t="shared" si="6"/>
        <v>0</v>
      </c>
      <c r="U63" s="1">
        <f t="shared" si="6"/>
        <v>2</v>
      </c>
      <c r="V63" s="1">
        <f t="shared" si="6"/>
        <v>0</v>
      </c>
      <c r="W63" s="1">
        <f t="shared" si="6"/>
        <v>0</v>
      </c>
      <c r="X63" s="1">
        <f t="shared" si="6"/>
        <v>0</v>
      </c>
      <c r="Y63" s="1">
        <f t="shared" si="6"/>
        <v>2</v>
      </c>
      <c r="Z63" s="1">
        <f t="shared" si="6"/>
        <v>0</v>
      </c>
      <c r="AA63" s="1">
        <f t="shared" si="6"/>
        <v>2</v>
      </c>
      <c r="AB63" s="1">
        <f t="shared" si="6"/>
        <v>0</v>
      </c>
      <c r="AC63" s="1">
        <f t="shared" si="6"/>
        <v>0</v>
      </c>
      <c r="AD63" s="1">
        <f t="shared" si="6"/>
        <v>0</v>
      </c>
      <c r="AE63" s="1">
        <f t="shared" si="6"/>
        <v>0</v>
      </c>
      <c r="AF63" s="1">
        <f t="shared" si="6"/>
        <v>3</v>
      </c>
      <c r="AG63" s="1">
        <f t="shared" si="6"/>
        <v>1</v>
      </c>
      <c r="AH63" s="1">
        <f t="shared" si="6"/>
        <v>1</v>
      </c>
      <c r="AI63" s="1">
        <f t="shared" si="6"/>
        <v>0</v>
      </c>
      <c r="AJ63" s="1">
        <f t="shared" si="6"/>
        <v>0</v>
      </c>
      <c r="AK63" s="1">
        <f t="shared" si="6"/>
        <v>0</v>
      </c>
      <c r="AL63" s="1">
        <f t="shared" si="6"/>
        <v>0</v>
      </c>
      <c r="AM63" s="1">
        <f t="shared" si="6"/>
        <v>0</v>
      </c>
      <c r="AN63" s="1">
        <f t="shared" si="6"/>
        <v>1</v>
      </c>
      <c r="AO63" s="1">
        <f t="shared" si="6"/>
        <v>0</v>
      </c>
      <c r="AP63" s="1">
        <f t="shared" ref="AP63:BL63" si="7">AP52+AP47</f>
        <v>0</v>
      </c>
      <c r="AQ63" s="1">
        <f t="shared" si="7"/>
        <v>1</v>
      </c>
      <c r="AR63" s="1">
        <f t="shared" si="7"/>
        <v>0</v>
      </c>
      <c r="AS63" s="1">
        <f t="shared" si="7"/>
        <v>2</v>
      </c>
      <c r="AT63" s="1">
        <f t="shared" si="7"/>
        <v>0</v>
      </c>
      <c r="AU63" s="1">
        <f t="shared" si="7"/>
        <v>0</v>
      </c>
      <c r="AV63" s="1">
        <f t="shared" si="7"/>
        <v>0</v>
      </c>
      <c r="AW63" s="1">
        <f t="shared" si="7"/>
        <v>1</v>
      </c>
      <c r="AX63" s="1">
        <f t="shared" si="7"/>
        <v>4</v>
      </c>
      <c r="AY63" s="1">
        <f t="shared" si="7"/>
        <v>0</v>
      </c>
      <c r="AZ63" s="111">
        <f t="shared" si="7"/>
        <v>1</v>
      </c>
      <c r="BA63" s="111">
        <f t="shared" si="7"/>
        <v>0</v>
      </c>
      <c r="BB63" s="111">
        <f t="shared" si="7"/>
        <v>0</v>
      </c>
      <c r="BC63" s="111">
        <f t="shared" si="7"/>
        <v>2</v>
      </c>
      <c r="BD63" s="111">
        <f t="shared" si="7"/>
        <v>1</v>
      </c>
      <c r="BE63" s="111">
        <f t="shared" si="7"/>
        <v>0</v>
      </c>
      <c r="BF63" s="111">
        <f t="shared" si="7"/>
        <v>0</v>
      </c>
      <c r="BG63" s="111">
        <f t="shared" si="7"/>
        <v>1</v>
      </c>
      <c r="BH63" s="111">
        <f t="shared" si="7"/>
        <v>1</v>
      </c>
      <c r="BI63" s="111">
        <f t="shared" si="7"/>
        <v>0</v>
      </c>
      <c r="BJ63" s="111">
        <f t="shared" si="7"/>
        <v>0</v>
      </c>
      <c r="BK63" s="111">
        <f t="shared" si="7"/>
        <v>0</v>
      </c>
      <c r="BL63" s="111">
        <f t="shared" si="7"/>
        <v>1</v>
      </c>
      <c r="BM63" s="111">
        <f>BM52+BM47</f>
        <v>1</v>
      </c>
      <c r="BN63" s="111">
        <f t="shared" ref="BN63:BP63" si="8">BN52+BN47</f>
        <v>1</v>
      </c>
      <c r="BO63" s="111">
        <f t="shared" si="8"/>
        <v>1</v>
      </c>
      <c r="BP63" s="111">
        <f t="shared" si="8"/>
        <v>1</v>
      </c>
    </row>
    <row r="64" spans="1:68 16322:16381" outlineLevel="1" x14ac:dyDescent="0.25">
      <c r="A64" s="349"/>
      <c r="B64" s="126" t="s">
        <v>283</v>
      </c>
      <c r="C64" s="1">
        <f>C63/C62*200000</f>
        <v>14.912580588517539</v>
      </c>
      <c r="D64" s="1">
        <f>D63/D62*200000</f>
        <v>14.469476639029965</v>
      </c>
      <c r="E64" s="1">
        <f>E63/E62*200000</f>
        <v>10.064422367574846</v>
      </c>
      <c r="F64" s="1">
        <f>F63/F62*200000</f>
        <v>21.357321877265875</v>
      </c>
      <c r="G64" s="1">
        <f>G63/G62*200000</f>
        <v>0</v>
      </c>
      <c r="H64" s="1">
        <f>H63/H62*200000</f>
        <v>16.622478577780733</v>
      </c>
      <c r="I64" s="1">
        <f>I63/I62*200000</f>
        <v>7.1400776126436494</v>
      </c>
      <c r="J64" s="1">
        <f>J63/J62*200000</f>
        <v>7.335680751173709</v>
      </c>
      <c r="K64" s="1">
        <f>K63/K62*200000</f>
        <v>4.5672058633788879</v>
      </c>
      <c r="L64" s="1">
        <f>L63/L62*200000</f>
        <v>7.0977987951486554</v>
      </c>
      <c r="M64" s="1">
        <f>M63/M62*200000</f>
        <v>6.9167055731355154</v>
      </c>
      <c r="N64" s="1">
        <f>N63/N62*200000</f>
        <v>6.8301812047073609</v>
      </c>
      <c r="O64" s="1">
        <f>O63/O62*200000</f>
        <v>13.80036053441896</v>
      </c>
      <c r="P64" s="1">
        <f>P63/P62*200000</f>
        <v>9.095012181631942</v>
      </c>
      <c r="Q64" s="1">
        <f>Q63/Q62*200000</f>
        <v>13.650479473091492</v>
      </c>
      <c r="R64" s="1">
        <f>R63/R62*200000</f>
        <v>6.5924032441216367</v>
      </c>
      <c r="S64" s="1">
        <f>S63/S62*200000</f>
        <v>6.5393349169422716</v>
      </c>
      <c r="T64" s="1">
        <f>T63/T62*200000</f>
        <v>0</v>
      </c>
      <c r="U64" s="1">
        <f>U63/U62*200000</f>
        <v>13.019138133055591</v>
      </c>
      <c r="V64" s="1">
        <f>V63/V62*200000</f>
        <v>0</v>
      </c>
      <c r="W64" s="1">
        <f>W63/W62*200000</f>
        <v>0</v>
      </c>
      <c r="X64" s="1">
        <f>X63/X62*200000</f>
        <v>0</v>
      </c>
      <c r="Y64" s="1">
        <f>Y63/Y62*200000</f>
        <v>13.726242447992982</v>
      </c>
      <c r="Z64" s="1">
        <f>Z63/Z62*200000</f>
        <v>0</v>
      </c>
      <c r="AA64" s="1">
        <f>AA63/AA62*200000</f>
        <v>8.9742217723145696</v>
      </c>
      <c r="AB64" s="1">
        <f>AB63/AB62*200000</f>
        <v>0</v>
      </c>
      <c r="AC64" s="1">
        <f>AC63/AC62*200000</f>
        <v>0</v>
      </c>
      <c r="AD64" s="1">
        <f>AD63/AD62*200000</f>
        <v>0</v>
      </c>
      <c r="AE64" s="1">
        <f>AE63/AE62*200000</f>
        <v>0</v>
      </c>
      <c r="AF64" s="1">
        <f>AF63/AF62*200000</f>
        <v>22.761535735990464</v>
      </c>
      <c r="AG64" s="1">
        <f>AG63/AG62*200000</f>
        <v>6.4410495819114715</v>
      </c>
      <c r="AH64" s="1">
        <f>AH63/AH62*200000</f>
        <v>4.4005262149247812</v>
      </c>
      <c r="AI64" s="1">
        <f>AI63/AI62*200000</f>
        <v>0</v>
      </c>
      <c r="AJ64" s="1">
        <f>AJ63/AJ62*200000</f>
        <v>0</v>
      </c>
      <c r="AK64" s="1">
        <f>AK63/AK62*200000</f>
        <v>0</v>
      </c>
      <c r="AL64" s="1">
        <f>AL63/AL62*200000</f>
        <v>0</v>
      </c>
      <c r="AM64" s="1">
        <f>AM63/AM62*200000</f>
        <v>0</v>
      </c>
      <c r="AN64" s="1">
        <f>AN63/AN62*200000</f>
        <v>6.0689738882398458</v>
      </c>
      <c r="AO64" s="1">
        <f>AO63/AO62*200000</f>
        <v>0</v>
      </c>
      <c r="AP64" s="1">
        <f>AP63/AP62*200000</f>
        <v>0</v>
      </c>
      <c r="AQ64" s="1">
        <f>AQ63/AQ62*200000</f>
        <v>6.3455501036704236</v>
      </c>
      <c r="AR64" s="1">
        <f>AR63/AR62*200000</f>
        <v>0</v>
      </c>
      <c r="AS64" s="1">
        <f>AS63/AS62*200000</f>
        <v>12.564818758771814</v>
      </c>
      <c r="AT64" s="1">
        <f>AT63/AT62*200000</f>
        <v>0</v>
      </c>
      <c r="AU64" s="1">
        <f>AU63/AU62*200000</f>
        <v>0</v>
      </c>
      <c r="AV64" s="1">
        <f>AV63/AV62*200000</f>
        <v>0</v>
      </c>
      <c r="AW64" s="1">
        <f>AW63/AW62*200000</f>
        <v>6.4206178881624671</v>
      </c>
      <c r="AX64" s="1">
        <f>AX63/AX62*200000</f>
        <v>25.630099989427581</v>
      </c>
      <c r="AY64" s="1">
        <f>AY63/AY62*200000</f>
        <v>0</v>
      </c>
      <c r="AZ64" s="1">
        <f>AZ63/AZ62*200000</f>
        <v>6.4198120535823193</v>
      </c>
      <c r="BA64" s="1">
        <f>BA63/BA62*200000</f>
        <v>0</v>
      </c>
      <c r="BB64" s="1">
        <f>BB63/BB62*200000</f>
        <v>0</v>
      </c>
      <c r="BC64" s="1">
        <f>BC63/BC62*200000</f>
        <v>11.778129485811034</v>
      </c>
      <c r="BD64" s="1">
        <f>BD63/BD62*200000</f>
        <v>4.3030555997814046</v>
      </c>
      <c r="BE64" s="1">
        <f>BE63/BE62*200000</f>
        <v>0</v>
      </c>
      <c r="BF64" s="1">
        <f>BF63/BF62*200000</f>
        <v>0</v>
      </c>
      <c r="BG64" s="1">
        <f>BG63/BG62*200000</f>
        <v>6.0563647700050058</v>
      </c>
      <c r="BH64" s="1">
        <f>BH63/BH62*200000</f>
        <v>5.8049928743712469</v>
      </c>
      <c r="BI64" s="1">
        <f>BI63/BI62*200000</f>
        <v>0</v>
      </c>
      <c r="BJ64" s="1">
        <f>BJ63/BJ62*200000</f>
        <v>0</v>
      </c>
      <c r="BK64" s="1">
        <f>BK63/BK62*200000</f>
        <v>0</v>
      </c>
      <c r="BL64" s="1">
        <f>BL63/BL62*200000</f>
        <v>5.2241759188998929</v>
      </c>
      <c r="BM64" s="1">
        <f>BM63/BM62*200000</f>
        <v>4.8631982336864015</v>
      </c>
      <c r="BN64" s="1">
        <f>BN63/BN62*200000</f>
        <v>4.1659115622158813</v>
      </c>
      <c r="BO64" s="1">
        <f>BO63/BO62*200000</f>
        <v>2.3022829318985134</v>
      </c>
      <c r="BP64" s="1">
        <f>BP63/BP62*200000</f>
        <v>1.7226156733840754</v>
      </c>
    </row>
    <row r="65" spans="1:68 16322:16381" ht="15.75" outlineLevel="1" thickBot="1" x14ac:dyDescent="0.3">
      <c r="A65" s="349"/>
      <c r="B65" s="112" t="s">
        <v>282</v>
      </c>
      <c r="L65" s="1">
        <f>SUM(C63:L63)/SUM(C62:L62)*200000</f>
        <v>9.9362026238132835</v>
      </c>
      <c r="M65" s="1">
        <f>SUM(C63:M63)/SUM(C62:M62)*200000</f>
        <v>9.672299178963863</v>
      </c>
      <c r="N65" s="1">
        <f>SUM(C63:N63)/SUM(C62:N62)*200000</f>
        <v>9.4412053242511185</v>
      </c>
      <c r="O65" s="1">
        <f>SUM(D63:O63)/SUM(D62:O62)*200000</f>
        <v>9.3848695532114803</v>
      </c>
      <c r="P65" s="1">
        <f>SUM(E63:P63)/SUM(E62:P62)*200000</f>
        <v>8.9799557351570183</v>
      </c>
      <c r="Q65" s="1">
        <f>SUM(F63:Q63)/SUM(F62:Q62)*200000</f>
        <v>9.234611999357055</v>
      </c>
      <c r="R65" s="1">
        <f>SUM(G63:R63)/SUM(G62:R62)*200000</f>
        <v>8.0988141716289892</v>
      </c>
      <c r="S65" s="1">
        <f>SUM(H63:S63)/SUM(H62:S62)*200000</f>
        <v>8.5861277154299689</v>
      </c>
      <c r="T65" s="1">
        <f>SUM(I63:T63)/SUM(I62:T62)*200000</f>
        <v>7.4676703215578826</v>
      </c>
      <c r="U65" s="1">
        <f>SUM(J63:U63)/SUM(J62:U62)*200000</f>
        <v>7.9435962301810585</v>
      </c>
      <c r="V65" s="1">
        <f>SUM(K63:V63)/SUM(K62:V62)*200000</f>
        <v>7.0915258924906936</v>
      </c>
      <c r="W65" s="1">
        <f>SUM(L63:W63)/SUM(L62:W62)*200000</f>
        <v>6.8398238219225558</v>
      </c>
      <c r="X65" s="1">
        <f>SUM(M63:X63)/SUM(M62:X62)*200000</f>
        <v>6.2756871720561218</v>
      </c>
      <c r="Y65" s="1">
        <f>SUM(N63:Y63)/SUM(N62:Y62)*200000</f>
        <v>6.7946499971253402</v>
      </c>
      <c r="Z65" s="1">
        <f>SUM(O63:Z63)/SUM(O62:Z62)*200000</f>
        <v>6.2689889962264607</v>
      </c>
      <c r="AA65" s="1">
        <f>SUM(P63:AA63)/SUM(P62:AA62)*200000</f>
        <v>6.0237303350617184</v>
      </c>
      <c r="AB65" s="1">
        <f>SUM(Q63:AB63)/SUM(Q62:AB62)*200000</f>
        <v>5.2147151125520645</v>
      </c>
      <c r="AC65" s="1">
        <f>SUM(R63:AC63)/SUM(R62:AC62)*200000</f>
        <v>4.1686347181980787</v>
      </c>
      <c r="AD65" s="1">
        <f>SUM(S63:AD63)/SUM(S62:AD62)*200000</f>
        <v>3.6458052302513497</v>
      </c>
      <c r="AE65" s="1">
        <f>SUM(T63:AE63)/SUM(T62:AE62)*200000</f>
        <v>3.1219369245945039</v>
      </c>
      <c r="AF65" s="1">
        <f>SUM(U63:AF63)/SUM(U62:AF62)*200000</f>
        <v>4.6824052017151532</v>
      </c>
      <c r="AG65" s="1">
        <f>SUM(V63:AG63)/SUM(V62:AG62)*200000</f>
        <v>4.1586022272537839</v>
      </c>
      <c r="AH65" s="1">
        <f>SUM(W63:AH63)/SUM(W62:AH62)*200000</f>
        <v>4.6661738841402505</v>
      </c>
      <c r="AI65" s="1">
        <f>SUM(X63:AI63)/SUM(X62:AI62)*200000</f>
        <v>4.6264104190463762</v>
      </c>
      <c r="AJ65" s="1">
        <f>SUM(Y63:AJ63)/SUM(Y62:AJ62)*200000</f>
        <v>4.5810714505133063</v>
      </c>
      <c r="AK65" s="1">
        <f>SUM(Z63:AK63)/SUM(Z62:AK62)*200000</f>
        <v>3.5327122976516012</v>
      </c>
      <c r="AL65" s="1">
        <f>SUM(AA63:AL63)/SUM(AA62:AL62)*200000</f>
        <v>3.5079752062326084</v>
      </c>
      <c r="AM65" s="1">
        <f>SUM(AB63:AM63)/SUM(AB62:AM62)*200000</f>
        <v>2.4810584830639719</v>
      </c>
      <c r="AN65" s="1">
        <f>SUM(AC63:AN63)/SUM(AC62:AN62)*200000</f>
        <v>2.9489660777483109</v>
      </c>
      <c r="AO65" s="1">
        <f>SUM(AD63:AO63)/SUM(AD62:AO62)*200000</f>
        <v>2.9165879187928594</v>
      </c>
      <c r="AP65" s="1">
        <f>SUM(AE63:AP63)/SUM(AE62:AP62)*200000</f>
        <v>2.9158119085548901</v>
      </c>
      <c r="AQ65" s="1">
        <f>SUM(AF63:AQ63)/SUM(AF62:AQ62)*200000</f>
        <v>3.3971563568875816</v>
      </c>
      <c r="AR65" s="1">
        <f>SUM(AG63:AR63)/SUM(AG62:AR62)*200000</f>
        <v>1.8666320779742616</v>
      </c>
      <c r="AS65" s="1">
        <f>SUM(AH63:AS63)/SUM(AH62:AS62)*200000</f>
        <v>2.3290291709739153</v>
      </c>
      <c r="AT65" s="1">
        <f>SUM(AI63:AT63)/SUM(AI62:AT62)*200000</f>
        <v>1.9291796696390742</v>
      </c>
      <c r="AU65" s="1">
        <f>SUM(AJ63:AU63)/SUM(AJ62:AU62)*200000</f>
        <v>1.9300198447052959</v>
      </c>
      <c r="AV65" s="1">
        <f>SUM(AK63:AV63)/SUM(AK62:AV62)*200000</f>
        <v>1.9440059226084438</v>
      </c>
      <c r="AW65" s="1">
        <f>SUM(AL63:AW63)/SUM(AL62:AW62)*200000</f>
        <v>2.4381033818249338</v>
      </c>
      <c r="AX65" s="1">
        <f>SUM(AM63:AX63)/SUM(AM62:AX62)*200000</f>
        <v>4.399805645918601</v>
      </c>
      <c r="AY65" s="1">
        <f>SUM(AN63:AY63)/SUM(AN62:AY62)*200000</f>
        <v>4.41243890059084</v>
      </c>
      <c r="AZ65" s="1">
        <f>SUM(AO63:AZ63)/SUM(AO62:AZ62)*200000</f>
        <v>4.4320050646984095</v>
      </c>
      <c r="BA65" s="1">
        <f>SUM(AP63:BA63)/SUM(AP62:BA62)*200000</f>
        <v>4.4472987317514665</v>
      </c>
      <c r="BB65" s="1">
        <f>SUM(AQ63:BB63)/SUM(AQ62:BB62)*200000</f>
        <v>4.4315204893934874</v>
      </c>
      <c r="BC65" s="1">
        <f>SUM(AR63:BC63)/SUM(AR62:BC62)*200000</f>
        <v>4.894472361563091</v>
      </c>
      <c r="BD65" s="1">
        <f>SUM(AS63:BD63)/SUM(AS62:BD62)*200000</f>
        <v>5.3362753351193035</v>
      </c>
      <c r="BE65" s="1">
        <f>SUM(AT63:BE63)/SUM(AT62:BE62)*200000</f>
        <v>4.3432629332235866</v>
      </c>
      <c r="BF65" s="1">
        <f>SUM(AU63:BF63)/SUM(AU62:BF62)*200000</f>
        <v>4.3166086650355329</v>
      </c>
      <c r="BG65" s="1">
        <f>SUM(AV63:BG63)/SUM(AV62:BG62)*200000</f>
        <v>4.7869521470892531</v>
      </c>
      <c r="BH65" s="1">
        <f>SUM(AW63:BH63)/SUM(AW62:BH62)*200000</f>
        <v>5.226798757057753</v>
      </c>
      <c r="BI65" s="1">
        <f>SUM(AX63:BI63)/SUM(AX62:BI62)*200000</f>
        <v>4.7311071692051856</v>
      </c>
      <c r="BJ65" s="1">
        <f>SUM(AY63:BJ63)/SUM(AY62:BJ62)*200000</f>
        <v>2.6611213628347614</v>
      </c>
      <c r="BK65" s="1">
        <f>SUM(AZ63:BK63)/SUM(AZ62:BK62)*200000</f>
        <v>2.7359358817010513</v>
      </c>
      <c r="BL65" s="1">
        <f>SUM(BA63:BL63)/SUM(BA62:BL62)*200000</f>
        <v>2.6921719447146342</v>
      </c>
      <c r="BM65" s="1">
        <f>SUM(BB63:BM63)/SUM(BB62:BM62)*200000</f>
        <v>3.0826849199193327</v>
      </c>
      <c r="BN65" s="1">
        <f>SUM(BC63:BN63)/SUM(BC62:BN62)*200000</f>
        <v>3.403636144289961</v>
      </c>
      <c r="BO65" s="1">
        <f>SUM(BD63:BO63)/SUM(BD62:BO62)*200000</f>
        <v>2.6768921577149523</v>
      </c>
      <c r="BP65" s="332">
        <f>SUM(BE63:BP63)/SUM(BE62:BP62)*200000</f>
        <v>2.3623969004280276</v>
      </c>
    </row>
    <row r="66" spans="1:68 16322:16381" ht="15.75" customHeight="1" thickTop="1" x14ac:dyDescent="0.25">
      <c r="A66" s="350" t="s">
        <v>287</v>
      </c>
      <c r="B66" s="128" t="s">
        <v>263</v>
      </c>
      <c r="C66" s="132"/>
      <c r="D66" s="132"/>
      <c r="E66" s="132"/>
      <c r="F66" s="114"/>
      <c r="G66" s="114"/>
      <c r="H66" s="114"/>
      <c r="I66" s="114"/>
      <c r="J66" s="114"/>
      <c r="K66" s="114"/>
      <c r="L66" s="114"/>
      <c r="M66" s="114"/>
      <c r="N66" s="114"/>
      <c r="O66" s="114"/>
      <c r="P66" s="114"/>
      <c r="Q66" s="114"/>
      <c r="R66" s="114"/>
      <c r="S66" s="114"/>
      <c r="T66" s="114"/>
      <c r="U66" s="114"/>
      <c r="V66" s="114"/>
      <c r="W66" s="114"/>
      <c r="X66" s="114"/>
      <c r="Y66" s="114"/>
      <c r="Z66" s="114"/>
      <c r="AA66" s="114"/>
      <c r="AB66" s="114"/>
      <c r="AC66" s="114"/>
      <c r="AD66" s="114"/>
      <c r="AE66" s="114"/>
      <c r="AF66" s="114"/>
      <c r="AG66" s="114"/>
      <c r="AH66" s="114"/>
      <c r="AI66" s="114"/>
      <c r="AJ66" s="114"/>
      <c r="AK66" s="114"/>
      <c r="AL66" s="114"/>
      <c r="AM66" s="114"/>
      <c r="AN66" s="114"/>
      <c r="AO66" s="114"/>
      <c r="AP66" s="114"/>
      <c r="AQ66" s="114"/>
      <c r="AR66" s="114"/>
      <c r="AS66" s="114"/>
      <c r="AT66" s="114"/>
      <c r="AU66" s="114"/>
      <c r="AV66" s="114"/>
      <c r="AW66" s="114"/>
      <c r="AX66" s="114"/>
      <c r="AY66" s="114"/>
      <c r="AZ66" s="114"/>
      <c r="BA66" s="114"/>
      <c r="BB66" s="114"/>
      <c r="BC66" s="114"/>
      <c r="BD66" s="114"/>
      <c r="BE66" s="114"/>
      <c r="BF66" s="114"/>
      <c r="BG66" s="114"/>
      <c r="BH66" s="114"/>
      <c r="BI66" s="114"/>
      <c r="BJ66" s="114"/>
      <c r="BK66" s="114"/>
      <c r="BL66" s="114"/>
      <c r="BM66" s="114"/>
      <c r="BN66" s="114"/>
      <c r="BO66" s="114"/>
      <c r="BP66" s="115"/>
    </row>
    <row r="67" spans="1:68 16322:16381" x14ac:dyDescent="0.25">
      <c r="A67" s="351"/>
      <c r="B67" s="126" t="s">
        <v>288</v>
      </c>
      <c r="AD67" s="1">
        <v>32248.350000000035</v>
      </c>
      <c r="AE67" s="1">
        <v>31866</v>
      </c>
      <c r="AF67" s="1">
        <v>28198.749999999971</v>
      </c>
      <c r="AG67" s="1">
        <v>31650.119999999995</v>
      </c>
      <c r="AH67" s="1">
        <v>46608.400000000023</v>
      </c>
      <c r="AI67" s="1">
        <v>31879.040000000008</v>
      </c>
      <c r="AJ67" s="1">
        <v>33677.500000000029</v>
      </c>
      <c r="AK67" s="1">
        <v>31990</v>
      </c>
      <c r="AL67" s="1">
        <v>29431.25</v>
      </c>
      <c r="AM67" s="1">
        <v>47920.650000000023</v>
      </c>
      <c r="AN67" s="1">
        <v>32566.950000000012</v>
      </c>
      <c r="AO67" s="1">
        <v>34820.899999999965</v>
      </c>
      <c r="AP67" s="1">
        <v>35058.250000000029</v>
      </c>
      <c r="AQ67" s="1">
        <v>35979.75</v>
      </c>
      <c r="AR67" s="133">
        <f>IF(AR92=0,AR97,SUM(AR92,AR97))</f>
        <v>78263.12999999999</v>
      </c>
      <c r="AS67" s="133">
        <f>IF(AS92=0,AS97,SUM(AS92,AS97))</f>
        <v>59598.21</v>
      </c>
      <c r="AT67" s="133">
        <f>IF(AT92=0,AT97,SUM(AT92,AT97))</f>
        <v>58811.19</v>
      </c>
      <c r="AU67" s="133">
        <f>IF(AU92=0,AU97,SUM(AU92,AU97))</f>
        <v>57578.94</v>
      </c>
      <c r="AV67" s="133">
        <f>IF(AV92=0,AV97,SUM(AV92,AV97))</f>
        <v>57277.41</v>
      </c>
      <c r="AW67" s="133">
        <f>IF(AW92=0,AW97,SUM(AW92,AW97))</f>
        <v>58276.240000000013</v>
      </c>
      <c r="AX67" s="133">
        <f>IF(AX92=0,AX97,SUM(AX92,AX97))</f>
        <v>60799.16</v>
      </c>
      <c r="AY67" s="133">
        <f>IF(AY92=0,AY97,SUM(AY92,AY97))</f>
        <v>74119.490000000005</v>
      </c>
      <c r="AZ67" s="133">
        <f>IF(AZ92=0,AZ97,SUM(AZ92,AZ97))</f>
        <v>56210.699999999968</v>
      </c>
      <c r="BA67" s="133">
        <f>IF(BA92=0,BA97,SUM(BA92,BA97))</f>
        <v>58976.53</v>
      </c>
      <c r="BB67" s="133">
        <f>IF(BB92=0,BB97,SUM(BB92,BB97))</f>
        <v>58089.7</v>
      </c>
      <c r="BC67" s="133">
        <f>IF(BC92=0,BC97,SUM(BC92,BC97))</f>
        <v>62612.58</v>
      </c>
      <c r="BD67" s="133">
        <f>IF(BD92=0,BD97,SUM(BD92,BD97))</f>
        <v>88890.959999999992</v>
      </c>
      <c r="BE67" s="133">
        <f>IF(BE92=0,BE97,SUM(BE92,BE97))</f>
        <v>62335.65</v>
      </c>
      <c r="BF67" s="133">
        <f>IF(BF92=0,BF97,SUM(BF92,BF97))</f>
        <v>59250.160000000091</v>
      </c>
      <c r="BG67" s="133">
        <f>IF(BG92=0,BG97,SUM(BG92,BG97))</f>
        <v>59915.519999999917</v>
      </c>
      <c r="BH67" s="1">
        <f>IF(BH92=0,BH97,SUM(BH92,BH97))</f>
        <v>62177.87</v>
      </c>
      <c r="BI67" s="1">
        <f>IF(BI92=0,BI97,SUM(BI92,BI97))</f>
        <v>61149.55</v>
      </c>
      <c r="BJ67" s="1">
        <f>IF(BJ92=0,BJ97,SUM(BJ92,BJ97))</f>
        <v>100462.99</v>
      </c>
      <c r="BK67" s="1">
        <f>IF(BK92=0,BK97,SUM(BK92,BK97))</f>
        <v>61628.33</v>
      </c>
      <c r="BL67" s="1">
        <f>IF(BL92=0,BL97,SUM(BL92,BL97))</f>
        <v>61767.35</v>
      </c>
      <c r="BM67" s="1">
        <f>IF(BM92=0,BM97,SUM(BM92,BM97))</f>
        <v>63249.999999999978</v>
      </c>
      <c r="BN67" s="1">
        <f>IF(BN92=0,BN97,SUM(BN92,BN97))</f>
        <v>74821.231769999999</v>
      </c>
      <c r="BO67" s="1">
        <f>IF(BO92=0,BO97,SUM(BO92,BO97))</f>
        <v>111780.07999999999</v>
      </c>
      <c r="BP67" s="1">
        <f>IF(BP92=0,BP97,SUM(BP92,BP97))</f>
        <v>80671.402999999991</v>
      </c>
    </row>
    <row r="68" spans="1:68 16322:16381" x14ac:dyDescent="0.25">
      <c r="A68" s="351"/>
      <c r="B68" s="126" t="s">
        <v>289</v>
      </c>
      <c r="AD68" s="1">
        <v>0</v>
      </c>
      <c r="AE68" s="1">
        <v>1</v>
      </c>
      <c r="AF68" s="1">
        <v>0</v>
      </c>
      <c r="AG68" s="1">
        <v>0</v>
      </c>
      <c r="AH68" s="1">
        <v>0</v>
      </c>
      <c r="AI68" s="1">
        <v>1</v>
      </c>
      <c r="AJ68" s="1">
        <v>0</v>
      </c>
      <c r="AK68" s="1">
        <v>0</v>
      </c>
      <c r="AL68" s="1">
        <v>0</v>
      </c>
      <c r="AM68" s="1">
        <v>0</v>
      </c>
      <c r="AN68" s="1">
        <v>0</v>
      </c>
      <c r="AO68" s="1">
        <v>0</v>
      </c>
      <c r="AP68" s="1">
        <v>0</v>
      </c>
      <c r="AQ68" s="1">
        <v>0</v>
      </c>
      <c r="AR68" s="1">
        <v>0</v>
      </c>
      <c r="AS68" s="1">
        <v>0</v>
      </c>
      <c r="AT68" s="1">
        <v>0</v>
      </c>
      <c r="AU68" s="1">
        <v>0</v>
      </c>
      <c r="AV68" s="1">
        <v>0</v>
      </c>
      <c r="AW68" s="1">
        <v>0</v>
      </c>
      <c r="AX68" s="1">
        <v>0</v>
      </c>
      <c r="AY68" s="1">
        <v>0</v>
      </c>
      <c r="AZ68" s="111">
        <v>0</v>
      </c>
      <c r="BA68" s="111">
        <v>0</v>
      </c>
      <c r="BB68" s="111">
        <v>0</v>
      </c>
      <c r="BC68" s="111">
        <v>0</v>
      </c>
      <c r="BD68" s="111">
        <v>0</v>
      </c>
      <c r="BE68" s="111">
        <v>0</v>
      </c>
      <c r="BF68" s="111">
        <v>0</v>
      </c>
      <c r="BG68" s="111">
        <v>0</v>
      </c>
      <c r="BH68" s="111">
        <v>0</v>
      </c>
      <c r="BI68" s="111">
        <v>0</v>
      </c>
      <c r="BJ68" s="111">
        <v>0</v>
      </c>
      <c r="BK68" s="111">
        <v>1</v>
      </c>
      <c r="BL68" s="111">
        <v>0</v>
      </c>
      <c r="BM68" s="111">
        <v>0</v>
      </c>
      <c r="BN68" s="111">
        <v>0</v>
      </c>
      <c r="BO68" s="111">
        <v>0</v>
      </c>
      <c r="BP68" s="111">
        <v>0</v>
      </c>
    </row>
    <row r="69" spans="1:68 16322:16381" x14ac:dyDescent="0.25">
      <c r="A69" s="351"/>
      <c r="B69" s="126" t="s">
        <v>290</v>
      </c>
      <c r="AD69" s="1">
        <f>AD68/AD67*200000</f>
        <v>0</v>
      </c>
      <c r="AE69" s="1">
        <f>AE68/AE67*200000</f>
        <v>6.2762819305843216</v>
      </c>
      <c r="AF69" s="1">
        <f>AF68/AF67*200000</f>
        <v>0</v>
      </c>
      <c r="AG69" s="1">
        <f>AG68/AG67*200000</f>
        <v>0</v>
      </c>
      <c r="AH69" s="1">
        <f>AH68/AH67*200000</f>
        <v>0</v>
      </c>
      <c r="AI69" s="1">
        <f>AI68/AI67*200000</f>
        <v>6.2737146413442808</v>
      </c>
      <c r="AJ69" s="1">
        <f>AJ68/AJ67*200000</f>
        <v>0</v>
      </c>
      <c r="AK69" s="1">
        <f>AK68/AK67*200000</f>
        <v>0</v>
      </c>
      <c r="AL69" s="1">
        <f>AL68/AL67*200000</f>
        <v>0</v>
      </c>
      <c r="AM69" s="1">
        <f>AM68/AM67*200000</f>
        <v>0</v>
      </c>
      <c r="AN69" s="1">
        <f>AN68/AN67*200000</f>
        <v>0</v>
      </c>
      <c r="AO69" s="1">
        <f>AO68/AO67*200000</f>
        <v>0</v>
      </c>
      <c r="AP69" s="1">
        <f>AP68/AP67*200000</f>
        <v>0</v>
      </c>
      <c r="AQ69" s="1">
        <f>AQ68/AQ67*200000</f>
        <v>0</v>
      </c>
      <c r="AR69" s="1">
        <f>AR68/AR67*200000</f>
        <v>0</v>
      </c>
      <c r="AS69" s="1">
        <f>AS68/AS67*200000</f>
        <v>0</v>
      </c>
      <c r="AT69" s="1">
        <f>AT68/AT67*200000</f>
        <v>0</v>
      </c>
      <c r="AU69" s="1">
        <f>AU68/AU67*200000</f>
        <v>0</v>
      </c>
      <c r="AV69" s="1">
        <f>AV68/AV67*200000</f>
        <v>0</v>
      </c>
      <c r="AW69" s="1">
        <f>AW68/AW67*200000</f>
        <v>0</v>
      </c>
      <c r="AX69" s="1">
        <f>AX68/AX67*200000</f>
        <v>0</v>
      </c>
      <c r="AY69" s="1">
        <f>AY68/AY67*200000</f>
        <v>0</v>
      </c>
      <c r="AZ69" s="1">
        <f>AZ68/AZ67*200000</f>
        <v>0</v>
      </c>
      <c r="BA69" s="1">
        <f>BA68/BA67*200000</f>
        <v>0</v>
      </c>
      <c r="BB69" s="1">
        <f>BB68/BB67*200000</f>
        <v>0</v>
      </c>
      <c r="BC69" s="1">
        <f>BC68/BC67*200000</f>
        <v>0</v>
      </c>
      <c r="BD69" s="1">
        <f>BD68/BD67*200000</f>
        <v>0</v>
      </c>
      <c r="BE69" s="1">
        <f>BE68/BE67*200000</f>
        <v>0</v>
      </c>
      <c r="BF69" s="1">
        <f>BF68/BF67*200000</f>
        <v>0</v>
      </c>
      <c r="BG69" s="1">
        <f>BG68/BG67*200000</f>
        <v>0</v>
      </c>
      <c r="BH69" s="1">
        <f>BH68/BH67*200000</f>
        <v>0</v>
      </c>
      <c r="BI69" s="1">
        <f>BI68/BI67*200000</f>
        <v>0</v>
      </c>
      <c r="BJ69" s="1">
        <f>BJ68/BJ67*200000</f>
        <v>0</v>
      </c>
      <c r="BK69" s="1">
        <f>BK68/BK67*200000</f>
        <v>3.2452607429083344</v>
      </c>
      <c r="BL69" s="1">
        <f>BL68/BL67*200000</f>
        <v>0</v>
      </c>
      <c r="BM69" s="1">
        <f>BM68/BM67*200000</f>
        <v>0</v>
      </c>
      <c r="BN69" s="1">
        <f>BN68/BN67*200000</f>
        <v>0</v>
      </c>
      <c r="BO69" s="1">
        <f>BO68/BO67*200000</f>
        <v>0</v>
      </c>
      <c r="BP69" s="1">
        <f>BP68/BP67*200000</f>
        <v>0</v>
      </c>
    </row>
    <row r="70" spans="1:68 16322:16381" x14ac:dyDescent="0.25">
      <c r="A70" s="351"/>
      <c r="B70" s="112" t="s">
        <v>291</v>
      </c>
      <c r="AO70" s="30">
        <f>SUM(AD68:AO68)/SUM(AD67:AO68)*200000</f>
        <v>0.96885163783521633</v>
      </c>
      <c r="AP70" s="30">
        <f>SUM(AE68:AP68)/SUM(AE67:AP68)*200000</f>
        <v>0.96230226582969769</v>
      </c>
      <c r="AQ70" s="30">
        <f>SUM(AF68:AQ68)/SUM(AF67:AQ68)*200000</f>
        <v>0.47643713450125219</v>
      </c>
      <c r="AR70" s="30">
        <f>SUM(AG68:AR68)/SUM(AG67:AR68)*200000</f>
        <v>0.42567053858007459</v>
      </c>
      <c r="AS70" s="30">
        <f>SUM(AH68:AS68)/SUM(AH67:AS68)*200000</f>
        <v>0.40177178948532288</v>
      </c>
      <c r="AT70" s="30">
        <f>SUM(AI68:AT68)/SUM(AI67:AT68)*200000</f>
        <v>0.39215853903061776</v>
      </c>
      <c r="AU70" s="30">
        <f>SUM(AJ68:AU68)/SUM(AJ67:AU68)*200000</f>
        <v>0</v>
      </c>
      <c r="AV70" s="30">
        <f>SUM(AK68:AV68)/SUM(AK67:AV68)*200000</f>
        <v>0</v>
      </c>
      <c r="AW70" s="30">
        <f>SUM(AL68:AW68)/SUM(AL67:AW68)*200000</f>
        <v>0</v>
      </c>
      <c r="AX70" s="30">
        <f>SUM(AM68:AX68)/SUM(AM67:AX68)*200000</f>
        <v>0</v>
      </c>
      <c r="AY70" s="30">
        <f>SUM(AN68:AY68)/SUM(AN67:AY68)*200000</f>
        <v>0</v>
      </c>
      <c r="AZ70" s="30">
        <f>SUM(AO68:AZ68)/SUM(AO67:AZ68)*200000</f>
        <v>0</v>
      </c>
      <c r="BA70" s="30">
        <f>SUM(AP68:BA68)/SUM(AP67:BA68)*200000</f>
        <v>0</v>
      </c>
      <c r="BB70" s="30">
        <f>SUM(AQ68:BB68)/SUM(AQ67:BB68)*200000</f>
        <v>0</v>
      </c>
      <c r="BC70" s="30">
        <f>SUM(AR68:BC68)/SUM(AR67:BC68)*200000</f>
        <v>0</v>
      </c>
      <c r="BD70" s="30">
        <f>SUM(AS68:BD68)/SUM(AS67:BD68)*200000</f>
        <v>0</v>
      </c>
      <c r="BE70" s="30">
        <f>SUM(AT68:BE68)/SUM(AT67:BE68)*200000</f>
        <v>0</v>
      </c>
      <c r="BF70" s="30">
        <f>SUM(AU68:BF68)/SUM(AU67:BF68)*200000</f>
        <v>0</v>
      </c>
      <c r="BG70" s="30">
        <f>SUM(AV68:BG68)/SUM(AV67:BG68)*200000</f>
        <v>0</v>
      </c>
      <c r="BH70" s="1">
        <f>SUM(AW68:BH68)/SUM(AW67:BH68)*200000</f>
        <v>0</v>
      </c>
      <c r="BI70" s="1">
        <f>SUM(AX68:BI68)/SUM(AX67:BI68)*200000</f>
        <v>0</v>
      </c>
      <c r="BJ70" s="1">
        <f>SUM(AY68:BJ68)/SUM(AY67:BJ68)*200000</f>
        <v>0</v>
      </c>
      <c r="BK70" s="1">
        <f>SUM(AZ68:BK68)/SUM(AZ67:BK68)*200000</f>
        <v>0.25262045088354884</v>
      </c>
      <c r="BL70" s="1">
        <f>SUM(BA68:BL68)/SUM(BA67:BL68)*200000</f>
        <v>0.2508597622559387</v>
      </c>
      <c r="BM70" s="1">
        <f>SUM(BB68:BM68)/SUM(BB67:BM68)*200000</f>
        <v>0.24952227089819509</v>
      </c>
      <c r="BN70" s="1">
        <f>SUM(BC68:BN68)/SUM(BC67:BN68)*200000</f>
        <v>0.24442013524692022</v>
      </c>
      <c r="BO70" s="1">
        <f>SUM(BD68:BO68)/SUM(BD67:BO68)*200000</f>
        <v>0.23056597131915896</v>
      </c>
      <c r="BP70" s="1">
        <f>SUM(BE68:BP68)/SUM(BE67:BP68)*200000</f>
        <v>0.23277165751993834</v>
      </c>
    </row>
    <row r="71" spans="1:68 16322:16381" x14ac:dyDescent="0.25">
      <c r="A71" s="351"/>
      <c r="B71" s="118" t="s">
        <v>268</v>
      </c>
      <c r="F71" s="110"/>
      <c r="G71" s="110"/>
      <c r="H71" s="110"/>
      <c r="I71" s="110"/>
      <c r="J71" s="110"/>
      <c r="K71" s="110"/>
      <c r="L71" s="110"/>
      <c r="M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row>
    <row r="72" spans="1:68 16322:16381" x14ac:dyDescent="0.25">
      <c r="A72" s="351"/>
      <c r="B72" s="126" t="s">
        <v>288</v>
      </c>
      <c r="AD72" s="1">
        <f>IF(AD82="",AD87,SUM(AD82,AD87))</f>
        <v>7219.7500000000146</v>
      </c>
      <c r="AE72" s="1">
        <f>IF(AE82="",AE87,SUM(AE82,AE87))</f>
        <v>7319.7899999999936</v>
      </c>
      <c r="AF72" s="1">
        <f>IF(AF82="",AF87,SUM(AF82,AF87))</f>
        <v>6267.3199999999924</v>
      </c>
      <c r="AG72" s="1">
        <f>IF(AG82="",AG87,SUM(AG82,AG87))</f>
        <v>7281.4399999999878</v>
      </c>
      <c r="AH72" s="1">
        <f>IF(AH82="",AH87,SUM(AH82,AH87))</f>
        <v>10787.240000000005</v>
      </c>
      <c r="AI72" s="1">
        <f>IF(AI82="",AI87,SUM(AI82,AI87))</f>
        <v>24626.46</v>
      </c>
      <c r="AJ72" s="1">
        <f>IF(AJ82="",AJ87,SUM(AJ82,AJ87))</f>
        <v>25331.820000000014</v>
      </c>
      <c r="AK72" s="1">
        <f>IF(AK82="",AK87,SUM(AK82,AK87))</f>
        <v>24089.950000000004</v>
      </c>
      <c r="AL72" s="1">
        <f>IF(AL82="",AL87,SUM(AL82,AL87))</f>
        <v>24514.50999999998</v>
      </c>
      <c r="AM72" s="1">
        <f>IF(AM82="",AM87,SUM(AM82,AM87))</f>
        <v>26140.200000000033</v>
      </c>
      <c r="AN72" s="1">
        <f>IF(AN82="",AN87,SUM(AN82,AN87))</f>
        <v>19363.919999999976</v>
      </c>
      <c r="AO72" s="1">
        <f>IF(AO82="",AO87,SUM(AO82,AO87))</f>
        <v>20858.07</v>
      </c>
      <c r="AP72" s="1">
        <f>IF(AP82="",AP87,SUM(AP82,AP87))</f>
        <v>19862.60999999999</v>
      </c>
      <c r="AQ72" s="1">
        <f>IF(AQ82="",AQ87,SUM(AQ82,AQ87))</f>
        <v>18635.219999999987</v>
      </c>
      <c r="AR72" s="1">
        <f>IF(AR82="",AR87,SUM(AR82,AR87))</f>
        <v>24419.83</v>
      </c>
      <c r="AS72" s="1">
        <f>IF(AS82="",AS87,SUM(AS82,AS87))</f>
        <v>17261.789999999994</v>
      </c>
      <c r="AT72" s="1">
        <f>IF(AT82="",AT87,SUM(AT82,AT87))</f>
        <v>19640.25</v>
      </c>
      <c r="AU72" s="1">
        <f>IF(AU82="",AU87,SUM(AU82,AU87))</f>
        <v>19458.830000000002</v>
      </c>
      <c r="AV72" s="1">
        <f>IF(AV82="",AV87,SUM(AV82,AV87))</f>
        <v>20077.339999999997</v>
      </c>
      <c r="AW72" s="1">
        <f>IF(AW82="",AW87,SUM(AW82,AW87))</f>
        <v>19960.089999999993</v>
      </c>
      <c r="AX72" s="1">
        <f>IF(AX82="",AX87,SUM(AX82,AX87))</f>
        <v>19075.130000000005</v>
      </c>
      <c r="AY72" s="1">
        <f>IF(AY82="",AY87,SUM(AY82,AY87))</f>
        <v>22090.78</v>
      </c>
      <c r="AZ72" s="1">
        <f>IF(AZ82="",AZ87,SUM(AZ82,AZ87))</f>
        <v>19301.249999999985</v>
      </c>
      <c r="BA72" s="1">
        <f>IF(BA82="",BA87,SUM(BA82,BA87))</f>
        <v>20111.449999999997</v>
      </c>
      <c r="BB72" s="1">
        <f>IF(BB82="",BB87,SUM(BB82,BB87))</f>
        <v>18258.25</v>
      </c>
      <c r="BC72" s="1">
        <f>IF(BC82="",BC87,SUM(BC82,BC87))</f>
        <v>17464.669999999998</v>
      </c>
      <c r="BD72" s="1">
        <f>IF(BD82="",BD87,SUM(BD82,BD87))</f>
        <v>21270.070000000007</v>
      </c>
      <c r="BE72" s="1">
        <f>IF(BE82="",BE87,SUM(BE82,BE87))</f>
        <v>15790.219999999987</v>
      </c>
      <c r="BF72" s="1">
        <f>IF(BF82="",BF87,SUM(BF82,BF87))</f>
        <v>15816.740000000005</v>
      </c>
      <c r="BG72" s="1">
        <f>IF(BG82="",BG87,SUM(BG82,BG87))</f>
        <v>15404.779999999984</v>
      </c>
      <c r="BH72" s="1">
        <f>IF(BH82="",BH87,SUM(BH82,BH87))</f>
        <v>16267.59</v>
      </c>
      <c r="BI72" s="1">
        <f>IF(BI82="",BI87,SUM(BI82,BI87))</f>
        <v>15796.65</v>
      </c>
      <c r="BJ72" s="1">
        <f>IF(BJ82="",BJ87,SUM(BJ82,BJ87))</f>
        <v>25600.6</v>
      </c>
      <c r="BK72" s="1">
        <f>IF(BK82="",BK87,SUM(BK82,BK87))</f>
        <v>15765.38</v>
      </c>
      <c r="BL72" s="1">
        <f>IF(BL82="",BL87,SUM(BL82,BL87))</f>
        <v>17207.01999999996</v>
      </c>
      <c r="BM72" s="1">
        <f>IF(BM82="",BM87,SUM(BM82,BM87))</f>
        <v>17073.090000000026</v>
      </c>
      <c r="BN72" s="1">
        <f>IF(BN82="",BN87,SUM(BN82,BN87))</f>
        <v>19667.60657</v>
      </c>
      <c r="BO72" s="1">
        <f>IF(BO82="",BO87,SUM(BO82,BO87))</f>
        <v>34156.566900000005</v>
      </c>
      <c r="BP72" s="1">
        <f>IF(BP82="",BP87,SUM(BP82,BP87))</f>
        <v>29371.526999999998</v>
      </c>
    </row>
    <row r="73" spans="1:68 16322:16381" x14ac:dyDescent="0.25">
      <c r="A73" s="351"/>
      <c r="B73" s="126" t="s">
        <v>289</v>
      </c>
      <c r="AD73" s="1">
        <v>0</v>
      </c>
      <c r="AE73" s="1">
        <v>0</v>
      </c>
      <c r="AF73" s="1">
        <v>0</v>
      </c>
      <c r="AG73" s="1">
        <v>0</v>
      </c>
      <c r="AH73" s="1">
        <v>0</v>
      </c>
      <c r="AI73" s="1">
        <v>0</v>
      </c>
      <c r="AJ73" s="1">
        <v>0</v>
      </c>
      <c r="AK73" s="1">
        <v>0</v>
      </c>
      <c r="AL73" s="1">
        <v>0</v>
      </c>
      <c r="AM73" s="1">
        <v>0</v>
      </c>
      <c r="AN73" s="1">
        <v>0</v>
      </c>
      <c r="AO73" s="1">
        <v>0</v>
      </c>
      <c r="AP73" s="1">
        <v>0</v>
      </c>
      <c r="AQ73" s="1">
        <v>0</v>
      </c>
      <c r="AR73" s="1">
        <v>0</v>
      </c>
      <c r="AS73" s="1">
        <v>0</v>
      </c>
      <c r="AT73" s="1">
        <v>0</v>
      </c>
      <c r="AU73" s="1">
        <v>0</v>
      </c>
      <c r="AV73" s="1">
        <v>0</v>
      </c>
      <c r="AW73" s="1">
        <v>0</v>
      </c>
      <c r="AX73" s="1">
        <v>0</v>
      </c>
      <c r="AY73" s="1">
        <v>0</v>
      </c>
      <c r="AZ73" s="111">
        <v>1</v>
      </c>
      <c r="BA73" s="111">
        <v>0</v>
      </c>
      <c r="BB73" s="111">
        <v>0</v>
      </c>
      <c r="BC73" s="111">
        <v>0</v>
      </c>
      <c r="BD73" s="111">
        <v>0</v>
      </c>
      <c r="BE73" s="111">
        <v>0</v>
      </c>
      <c r="BF73" s="111">
        <v>0</v>
      </c>
      <c r="BG73" s="111">
        <v>0</v>
      </c>
      <c r="BH73" s="111">
        <v>0</v>
      </c>
      <c r="BI73" s="111">
        <v>0</v>
      </c>
      <c r="BJ73" s="111">
        <v>0</v>
      </c>
      <c r="BK73" s="111">
        <v>0</v>
      </c>
      <c r="BL73" s="111">
        <v>0</v>
      </c>
      <c r="BM73" s="111">
        <v>0</v>
      </c>
      <c r="BN73" s="111">
        <v>0</v>
      </c>
      <c r="BO73" s="111">
        <v>0</v>
      </c>
      <c r="BP73" s="111">
        <v>0</v>
      </c>
    </row>
    <row r="74" spans="1:68 16322:16381" x14ac:dyDescent="0.25">
      <c r="A74" s="351"/>
      <c r="B74" s="126" t="s">
        <v>290</v>
      </c>
      <c r="AD74" s="1">
        <f>AD73/AD72*200000</f>
        <v>0</v>
      </c>
      <c r="AE74" s="1">
        <f>AE73/AE72*200000</f>
        <v>0</v>
      </c>
      <c r="AF74" s="1">
        <f>AF73/AF72*200000</f>
        <v>0</v>
      </c>
      <c r="AG74" s="1">
        <f>AG73/AG72*200000</f>
        <v>0</v>
      </c>
      <c r="AH74" s="1">
        <f>AH73/AH72*200000</f>
        <v>0</v>
      </c>
      <c r="AI74" s="1">
        <f>AI73/AI72*200000</f>
        <v>0</v>
      </c>
      <c r="AJ74" s="1">
        <f>AJ73/AJ72*200000</f>
        <v>0</v>
      </c>
      <c r="AK74" s="1">
        <f>AK73/AK72*200000</f>
        <v>0</v>
      </c>
      <c r="AL74" s="1">
        <f>AL73/AL72*200000</f>
        <v>0</v>
      </c>
      <c r="AM74" s="1">
        <f>AM73/AM72*200000</f>
        <v>0</v>
      </c>
      <c r="AN74" s="1">
        <f>AN73/AN72*200000</f>
        <v>0</v>
      </c>
      <c r="AO74" s="1">
        <f>AO73/AO72*200000</f>
        <v>0</v>
      </c>
      <c r="AP74" s="1">
        <f>AP73/AP72*200000</f>
        <v>0</v>
      </c>
      <c r="AQ74" s="1">
        <f>AQ73/AQ72*200000</f>
        <v>0</v>
      </c>
      <c r="AR74" s="1">
        <f>AR73/AR72*200000</f>
        <v>0</v>
      </c>
      <c r="AS74" s="1">
        <f>AS73/AS72*200000</f>
        <v>0</v>
      </c>
      <c r="AT74" s="1">
        <f>AT73/AT72*200000</f>
        <v>0</v>
      </c>
      <c r="AU74" s="1">
        <f>AU73/AU72*200000</f>
        <v>0</v>
      </c>
      <c r="AV74" s="1">
        <f>AV73/AV72*200000</f>
        <v>0</v>
      </c>
      <c r="AW74" s="1">
        <f>AW73/AW72*200000</f>
        <v>0</v>
      </c>
      <c r="AX74" s="1">
        <f>AX73/AX72*200000</f>
        <v>0</v>
      </c>
      <c r="AY74" s="1">
        <f>AY73/AY72*200000</f>
        <v>0</v>
      </c>
      <c r="AZ74" s="1">
        <f>AZ73/AZ72*200000</f>
        <v>10.362023185026885</v>
      </c>
      <c r="BA74" s="1">
        <f>BA73/BA72*200000</f>
        <v>0</v>
      </c>
      <c r="BB74" s="1">
        <f>BB73/BB72*200000</f>
        <v>0</v>
      </c>
      <c r="BC74" s="1">
        <f>BC73/BC72*200000</f>
        <v>0</v>
      </c>
      <c r="BD74" s="1">
        <f>BD73/BD72*200000</f>
        <v>0</v>
      </c>
      <c r="BE74" s="1">
        <f>BE73/BE72*200000</f>
        <v>0</v>
      </c>
      <c r="BF74" s="1">
        <f>BF73/BF72*200000</f>
        <v>0</v>
      </c>
      <c r="BG74" s="1">
        <f>BG73/BG72*200000</f>
        <v>0</v>
      </c>
      <c r="BH74" s="1">
        <f>BH73/BH72*200000</f>
        <v>0</v>
      </c>
      <c r="BI74" s="1">
        <f>BI73/BI72*200000</f>
        <v>0</v>
      </c>
      <c r="BJ74" s="1">
        <f>BJ73/BJ72*200000</f>
        <v>0</v>
      </c>
      <c r="BK74" s="1">
        <f>BK73/BK72*200000</f>
        <v>0</v>
      </c>
      <c r="BL74" s="1">
        <f>BL73/BL72*200000</f>
        <v>0</v>
      </c>
      <c r="BM74" s="1">
        <f>BM73/BM72*200000</f>
        <v>0</v>
      </c>
      <c r="BN74" s="1">
        <f>BN73/BN72*200000</f>
        <v>0</v>
      </c>
      <c r="BO74" s="1">
        <f>BO73/BO72*200000</f>
        <v>0</v>
      </c>
      <c r="BP74" s="1">
        <f>BP73/BP72*200000</f>
        <v>0</v>
      </c>
    </row>
    <row r="75" spans="1:68 16322:16381" x14ac:dyDescent="0.25">
      <c r="A75" s="351"/>
      <c r="B75" s="112" t="s">
        <v>291</v>
      </c>
      <c r="AO75" s="30">
        <f>SUM(AD73:AO73)/SUM(AD72:AO72)*200000</f>
        <v>0</v>
      </c>
      <c r="AP75" s="30">
        <f>SUM(AE73:AP73)/SUM(AE72:AP72)*200000</f>
        <v>0</v>
      </c>
      <c r="AQ75" s="30">
        <f>SUM(AF73:AQ73)/SUM(AF72:AQ72)*200000</f>
        <v>0</v>
      </c>
      <c r="AR75" s="30">
        <f>SUM(AG73:AR73)/SUM(AG72:AR72)*200000</f>
        <v>0</v>
      </c>
      <c r="AS75" s="30">
        <f>SUM(AH73:AS73)/SUM(AH72:AS72)*200000</f>
        <v>0</v>
      </c>
      <c r="AT75" s="30">
        <f>SUM(AI73:AT73)/SUM(AI72:AT72)*200000</f>
        <v>0</v>
      </c>
      <c r="AU75" s="30">
        <f>SUM(AJ73:AU73)/SUM(AJ72:AU72)*200000</f>
        <v>0</v>
      </c>
      <c r="AV75" s="30">
        <f>SUM(AK73:AV73)/SUM(AK72:AV72)*200000</f>
        <v>0</v>
      </c>
      <c r="AW75" s="30">
        <f>SUM(AL73:AW73)/SUM(AL72:AW72)*200000</f>
        <v>0</v>
      </c>
      <c r="AX75" s="30">
        <f>SUM(AM73:AX73)/SUM(AM72:AX72)*200000</f>
        <v>0</v>
      </c>
      <c r="AY75" s="30">
        <f>SUM(AN73:AY73)/SUM(AN72:AY72)*200000</f>
        <v>0</v>
      </c>
      <c r="AZ75" s="30">
        <f>SUM(AO73:AZ73)/SUM(AO72:AZ72)*200000</f>
        <v>0.83111291130167719</v>
      </c>
      <c r="BA75" s="30">
        <f>SUM(AP73:BA73)/SUM(AP72:BA72)*200000</f>
        <v>0.83369957060720479</v>
      </c>
      <c r="BB75" s="30">
        <f>SUM(AQ73:BB73)/SUM(AQ72:BB72)*200000</f>
        <v>0.83931270193601337</v>
      </c>
      <c r="BC75" s="30">
        <f>SUM(AR73:BC73)/SUM(AR72:BC72)*200000</f>
        <v>0.8434560002321192</v>
      </c>
      <c r="BD75" s="30">
        <f>SUM(AS73:BD73)/SUM(AS72:BD72)*200000</f>
        <v>0.85481081113425295</v>
      </c>
      <c r="BE75" s="30">
        <f>SUM(AT73:BE73)/SUM(AT72:BE72)*200000</f>
        <v>0.86022123255681038</v>
      </c>
      <c r="BF75" s="30">
        <f>SUM(AU73:BF73)/SUM(AU72:BF72)*200000</f>
        <v>0.87460438363961568</v>
      </c>
      <c r="BG75" s="30">
        <f>SUM(AV73:BG73)/SUM(AV72:BG72)*200000</f>
        <v>0.89038961089840485</v>
      </c>
      <c r="BH75" s="1">
        <f>SUM(AW73:BH73)/SUM(AW72:BH72)*200000</f>
        <v>0.90575189589722493</v>
      </c>
      <c r="BI75" s="1">
        <f>SUM(AX73:BI73)/SUM(AX72:BI72)*200000</f>
        <v>0.923158246217198</v>
      </c>
      <c r="BJ75" s="1">
        <f>SUM(AY73:BJ73)/SUM(AY72:BJ72)*200000</f>
        <v>0.89616555403979126</v>
      </c>
      <c r="BK75" s="1">
        <f>SUM(AZ73:BK73)/SUM(AZ72:BK72)*200000</f>
        <v>0.92230651335165503</v>
      </c>
      <c r="BL75" s="1">
        <f>SUM(BA73:BL73)/SUM(BA72:BL72)*200000</f>
        <v>0</v>
      </c>
      <c r="BM75" s="1">
        <f>SUM(BB73:BM73)/SUM(BB72:BM72)*200000</f>
        <v>0</v>
      </c>
      <c r="BN75" s="1">
        <f>SUM(BC73:BN73)/SUM(BC72:BN72)*200000</f>
        <v>0</v>
      </c>
      <c r="BO75" s="1">
        <f>SUM(BD73:BO73)/SUM(BD72:BO72)*200000</f>
        <v>0</v>
      </c>
      <c r="BP75" s="1">
        <f>SUM(BE73:BP73)/SUM(BE72:BP72)*200000</f>
        <v>0</v>
      </c>
    </row>
    <row r="77" spans="1:68 16322:16381" s="113" customFormat="1" x14ac:dyDescent="0.25">
      <c r="XCT77" s="1"/>
      <c r="XCU77" s="1"/>
      <c r="XCV77" s="1"/>
      <c r="XCW77" s="1"/>
      <c r="XCX77" s="1"/>
      <c r="XCY77" s="1"/>
      <c r="XCZ77" s="1"/>
      <c r="XDA77" s="1"/>
      <c r="XDB77" s="1"/>
      <c r="XDC77" s="1"/>
      <c r="XDD77" s="1"/>
      <c r="XDE77" s="1"/>
      <c r="XDF77" s="1"/>
      <c r="XDG77" s="1"/>
      <c r="XDH77" s="1"/>
      <c r="XDI77" s="1"/>
      <c r="XDJ77" s="1"/>
      <c r="XDK77" s="1"/>
      <c r="XDL77" s="1"/>
      <c r="XDM77" s="1"/>
      <c r="XDN77" s="1"/>
      <c r="XDO77" s="1"/>
      <c r="XDP77" s="1"/>
      <c r="XDQ77" s="1"/>
      <c r="XDR77" s="1"/>
      <c r="XDS77" s="1"/>
      <c r="XDT77" s="1"/>
      <c r="XDU77" s="1"/>
      <c r="XDV77" s="1"/>
      <c r="XDW77" s="1"/>
      <c r="XDX77" s="1"/>
      <c r="XDY77" s="1"/>
      <c r="XDZ77" s="1"/>
      <c r="XEA77" s="1"/>
      <c r="XEB77" s="1"/>
      <c r="XEC77" s="1"/>
      <c r="XED77" s="1"/>
      <c r="XEE77" s="1"/>
      <c r="XEF77" s="1"/>
      <c r="XEG77" s="1"/>
      <c r="XEH77" s="1"/>
      <c r="XEI77" s="1"/>
      <c r="XEJ77" s="1"/>
      <c r="XEK77" s="1"/>
      <c r="XEL77" s="1"/>
      <c r="XEM77" s="1"/>
      <c r="XEN77" s="1"/>
      <c r="XEO77" s="1"/>
      <c r="XEP77" s="1"/>
      <c r="XEQ77" s="1"/>
      <c r="XER77" s="1"/>
      <c r="XES77" s="1"/>
      <c r="XET77" s="1"/>
      <c r="XEU77" s="1"/>
      <c r="XEV77" s="1"/>
      <c r="XEW77" s="1"/>
      <c r="XEX77" s="1"/>
      <c r="XEY77" s="1"/>
      <c r="XEZ77" s="1"/>
      <c r="XFA77" s="1"/>
    </row>
    <row r="78" spans="1:68 16322:16381" s="110" customFormat="1" x14ac:dyDescent="0.25">
      <c r="A78" s="134"/>
      <c r="B78" s="118" t="s">
        <v>292</v>
      </c>
      <c r="XCT78" s="1"/>
      <c r="XCU78" s="1"/>
      <c r="XCV78" s="1"/>
      <c r="XCW78" s="1"/>
      <c r="XCX78" s="1"/>
      <c r="XCY78" s="1"/>
      <c r="XCZ78" s="1"/>
      <c r="XDA78" s="1"/>
      <c r="XDB78" s="1"/>
      <c r="XDC78" s="1"/>
      <c r="XDD78" s="1"/>
      <c r="XDE78" s="1"/>
      <c r="XDF78" s="1"/>
      <c r="XDG78" s="1"/>
      <c r="XDH78" s="1"/>
      <c r="XDI78" s="1"/>
      <c r="XDJ78" s="1"/>
      <c r="XDK78" s="1"/>
      <c r="XDL78" s="1"/>
      <c r="XDM78" s="1"/>
      <c r="XDN78" s="1"/>
      <c r="XDO78" s="1"/>
      <c r="XDP78" s="1"/>
      <c r="XDQ78" s="1"/>
      <c r="XDR78" s="1"/>
      <c r="XDS78" s="1"/>
      <c r="XDT78" s="1"/>
      <c r="XDU78" s="1"/>
      <c r="XDV78" s="1"/>
      <c r="XDW78" s="1"/>
      <c r="XDX78" s="1"/>
      <c r="XDY78" s="1"/>
      <c r="XDZ78" s="1"/>
      <c r="XEA78" s="1"/>
      <c r="XEB78" s="1"/>
      <c r="XEC78" s="1"/>
      <c r="XED78" s="1"/>
      <c r="XEE78" s="1"/>
      <c r="XEF78" s="1"/>
      <c r="XEG78" s="1"/>
      <c r="XEH78" s="1"/>
      <c r="XEI78" s="1"/>
      <c r="XEJ78" s="1"/>
      <c r="XEK78" s="1"/>
      <c r="XEL78" s="1"/>
      <c r="XEM78" s="1"/>
      <c r="XEN78" s="1"/>
      <c r="XEO78" s="1"/>
      <c r="XEP78" s="1"/>
      <c r="XEQ78" s="1"/>
      <c r="XER78" s="1"/>
      <c r="XES78" s="1"/>
      <c r="XET78" s="1"/>
      <c r="XEU78" s="1"/>
      <c r="XEV78" s="1"/>
      <c r="XEW78" s="1"/>
      <c r="XEX78" s="1"/>
      <c r="XEY78" s="1"/>
      <c r="XEZ78" s="1"/>
      <c r="XFA78" s="1"/>
    </row>
    <row r="79" spans="1:68 16322:16381" x14ac:dyDescent="0.25">
      <c r="A79" s="134"/>
      <c r="B79" s="1" t="s">
        <v>264</v>
      </c>
      <c r="AI79" s="1">
        <v>42863.63</v>
      </c>
      <c r="AJ79" s="1">
        <v>44048.780000000021</v>
      </c>
      <c r="AK79" s="1">
        <v>41269.65999999996</v>
      </c>
      <c r="AL79" s="1">
        <v>43412.929999999935</v>
      </c>
      <c r="AM79" s="1">
        <v>41233.549999999974</v>
      </c>
      <c r="AN79" s="1">
        <v>42849.04</v>
      </c>
      <c r="AO79" s="1">
        <v>46858.6</v>
      </c>
      <c r="AP79" s="1">
        <v>40496.78</v>
      </c>
      <c r="AQ79" s="1">
        <v>41799</v>
      </c>
      <c r="AR79" s="1">
        <v>53757.02</v>
      </c>
      <c r="AS79" s="133">
        <v>40101</v>
      </c>
      <c r="AT79" s="1">
        <v>44849</v>
      </c>
      <c r="AU79" s="133">
        <v>43018</v>
      </c>
      <c r="AV79" s="1">
        <v>43912</v>
      </c>
      <c r="AW79" s="1">
        <v>42609.05</v>
      </c>
      <c r="AX79" s="133">
        <v>43826</v>
      </c>
      <c r="AY79" s="133">
        <v>41420</v>
      </c>
      <c r="AZ79" s="133">
        <v>40570</v>
      </c>
      <c r="BA79" s="133">
        <v>44446</v>
      </c>
      <c r="BB79" s="133">
        <v>40163</v>
      </c>
      <c r="BC79" s="133">
        <v>40007</v>
      </c>
      <c r="BD79" s="1">
        <v>40862</v>
      </c>
      <c r="BE79" s="1">
        <v>37437</v>
      </c>
      <c r="BF79" s="1">
        <v>42988</v>
      </c>
      <c r="BG79" s="1">
        <v>36474</v>
      </c>
      <c r="BH79" s="61">
        <v>40023</v>
      </c>
      <c r="BI79" s="61">
        <v>39701</v>
      </c>
      <c r="BJ79" s="61">
        <v>38094</v>
      </c>
      <c r="BK79" s="61">
        <v>35849</v>
      </c>
      <c r="BL79" s="61">
        <v>32599</v>
      </c>
      <c r="BM79" s="61">
        <f>31882+1249</f>
        <v>33131</v>
      </c>
      <c r="BN79" s="61">
        <v>34636</v>
      </c>
      <c r="BO79" s="61">
        <v>33799</v>
      </c>
      <c r="BP79" s="61">
        <v>33799</v>
      </c>
    </row>
    <row r="80" spans="1:68 16322:16381" x14ac:dyDescent="0.25">
      <c r="A80" s="134"/>
      <c r="B80" s="129" t="s">
        <v>273</v>
      </c>
      <c r="AI80" s="1">
        <v>18976.439999999999</v>
      </c>
      <c r="AJ80" s="1">
        <v>19524.429999999997</v>
      </c>
      <c r="AK80" s="1">
        <v>18234.800000000003</v>
      </c>
      <c r="AL80" s="1">
        <v>18827.21</v>
      </c>
      <c r="AM80" s="1">
        <v>18030.62</v>
      </c>
      <c r="AN80" s="1">
        <v>17315.390000000021</v>
      </c>
      <c r="AO80" s="1">
        <v>19741.04</v>
      </c>
      <c r="AP80" s="1">
        <v>17889.5</v>
      </c>
      <c r="AQ80" s="1">
        <v>17710</v>
      </c>
      <c r="AR80" s="1">
        <v>22203.22</v>
      </c>
      <c r="AS80" s="133">
        <v>17487</v>
      </c>
      <c r="AT80" s="1">
        <v>18682</v>
      </c>
      <c r="AU80" s="133">
        <v>17611</v>
      </c>
      <c r="AV80" s="1">
        <v>18382</v>
      </c>
      <c r="AW80" s="1">
        <v>18174.419999999998</v>
      </c>
      <c r="AX80" s="133">
        <v>19455</v>
      </c>
      <c r="AY80" s="133">
        <v>17805</v>
      </c>
      <c r="AZ80" s="133">
        <v>18629</v>
      </c>
      <c r="BA80" s="133">
        <v>19574</v>
      </c>
      <c r="BB80" s="133">
        <v>16971</v>
      </c>
      <c r="BC80" s="133">
        <v>17251</v>
      </c>
      <c r="BD80" s="1">
        <v>18032</v>
      </c>
      <c r="BE80" s="1">
        <v>16243</v>
      </c>
      <c r="BF80" s="1">
        <v>18520</v>
      </c>
      <c r="BG80" s="1">
        <v>17286</v>
      </c>
      <c r="BH80" s="61">
        <v>17197</v>
      </c>
      <c r="BI80" s="61">
        <v>18756</v>
      </c>
      <c r="BJ80" s="61">
        <v>18371</v>
      </c>
      <c r="BK80" s="61">
        <v>18272</v>
      </c>
      <c r="BL80" s="61">
        <v>21680</v>
      </c>
      <c r="BM80" s="61">
        <f>1427+818+2842+1792+1791+7119+2861+3201</f>
        <v>21851</v>
      </c>
      <c r="BN80" s="61">
        <v>20340</v>
      </c>
      <c r="BO80" s="61">
        <v>26494</v>
      </c>
      <c r="BP80" s="61">
        <v>26494</v>
      </c>
    </row>
    <row r="81" spans="1:68 16322:16381" x14ac:dyDescent="0.25">
      <c r="A81" s="134"/>
      <c r="B81" s="126" t="s">
        <v>279</v>
      </c>
      <c r="AI81" s="1">
        <v>2793</v>
      </c>
      <c r="AJ81" s="1">
        <v>2899.25</v>
      </c>
      <c r="AK81" s="1">
        <v>2721.5</v>
      </c>
      <c r="AL81" s="1">
        <v>2859.5</v>
      </c>
      <c r="AM81" s="1">
        <v>2768.58</v>
      </c>
      <c r="AN81" s="1">
        <v>2680.5</v>
      </c>
      <c r="AO81" s="1">
        <v>2969.25</v>
      </c>
      <c r="AP81" s="1">
        <v>2701.66</v>
      </c>
      <c r="AQ81" s="1">
        <v>2604</v>
      </c>
      <c r="AR81" s="1">
        <v>3352.35</v>
      </c>
      <c r="AS81" s="133">
        <v>2028</v>
      </c>
      <c r="AT81" s="133">
        <v>2837</v>
      </c>
      <c r="AU81" s="133">
        <v>2650</v>
      </c>
      <c r="AV81" s="1">
        <v>2852</v>
      </c>
      <c r="AW81" s="1">
        <v>2786.82</v>
      </c>
      <c r="AX81" s="133">
        <v>2927</v>
      </c>
      <c r="AY81" s="133">
        <v>2706</v>
      </c>
      <c r="AZ81" s="133">
        <v>2776</v>
      </c>
      <c r="BA81" s="133">
        <v>2925</v>
      </c>
      <c r="BB81" s="133">
        <v>2554</v>
      </c>
      <c r="BC81" s="133">
        <v>2691</v>
      </c>
      <c r="BD81" s="1">
        <v>2719</v>
      </c>
      <c r="BE81" s="1">
        <v>2505</v>
      </c>
      <c r="BF81" s="1">
        <v>2776</v>
      </c>
      <c r="BG81" s="1">
        <v>2834</v>
      </c>
      <c r="BH81" s="61">
        <v>3082</v>
      </c>
      <c r="BI81" s="61">
        <v>3122</v>
      </c>
      <c r="BJ81" s="61">
        <v>3127</v>
      </c>
      <c r="BK81" s="61">
        <v>2351</v>
      </c>
      <c r="BL81" s="61">
        <v>2000</v>
      </c>
      <c r="BM81" s="61">
        <v>1947</v>
      </c>
      <c r="BN81" s="61">
        <v>2736</v>
      </c>
      <c r="BO81" s="61">
        <v>2685</v>
      </c>
      <c r="BP81" s="61">
        <v>2685</v>
      </c>
    </row>
    <row r="82" spans="1:68 16322:16381" x14ac:dyDescent="0.25">
      <c r="A82" s="134"/>
      <c r="B82" s="126" t="s">
        <v>288</v>
      </c>
      <c r="AI82" s="1">
        <v>17573.18</v>
      </c>
      <c r="AJ82" s="1">
        <v>17289.57</v>
      </c>
      <c r="AK82" s="1">
        <v>16358.6</v>
      </c>
      <c r="AL82" s="1">
        <v>16434.5</v>
      </c>
      <c r="AM82" s="1">
        <v>13945.99</v>
      </c>
      <c r="AN82" s="1">
        <v>11662.99</v>
      </c>
      <c r="AO82" s="1">
        <v>12561.07</v>
      </c>
      <c r="AP82" s="1">
        <v>10792.2</v>
      </c>
      <c r="AQ82" s="1">
        <v>9159</v>
      </c>
      <c r="AR82" s="1">
        <v>11330.56</v>
      </c>
      <c r="AS82" s="133">
        <v>8383</v>
      </c>
      <c r="AT82" s="133">
        <v>9633</v>
      </c>
      <c r="AU82" s="133">
        <v>9916</v>
      </c>
      <c r="AV82" s="1">
        <v>9488</v>
      </c>
      <c r="AW82" s="1">
        <v>9742.5799999999981</v>
      </c>
      <c r="AX82" s="133">
        <v>9651</v>
      </c>
      <c r="AY82" s="133">
        <v>8284</v>
      </c>
      <c r="AZ82" s="133">
        <v>9012</v>
      </c>
      <c r="BA82" s="133">
        <v>9544</v>
      </c>
      <c r="BB82" s="133">
        <v>6823</v>
      </c>
      <c r="BC82" s="133">
        <v>6159</v>
      </c>
      <c r="BD82" s="1">
        <v>4033</v>
      </c>
      <c r="BE82" s="1">
        <v>3570</v>
      </c>
      <c r="BF82" s="1">
        <v>4018</v>
      </c>
      <c r="BG82" s="1">
        <v>2891</v>
      </c>
      <c r="BH82" s="61">
        <v>3109</v>
      </c>
      <c r="BI82" s="61">
        <v>3038</v>
      </c>
      <c r="BJ82" s="61">
        <v>2912</v>
      </c>
      <c r="BK82" s="61">
        <v>2754</v>
      </c>
      <c r="BL82" s="61">
        <v>2569</v>
      </c>
      <c r="BM82" s="61">
        <f>2448+158</f>
        <v>2606</v>
      </c>
      <c r="BN82" s="61">
        <v>2289</v>
      </c>
      <c r="BO82" s="61">
        <v>6285</v>
      </c>
      <c r="BP82" s="61">
        <v>6285</v>
      </c>
    </row>
    <row r="83" spans="1:68 16322:16381" s="110" customFormat="1" x14ac:dyDescent="0.25">
      <c r="A83" s="134"/>
      <c r="B83" s="118" t="s">
        <v>293</v>
      </c>
      <c r="XCT83" s="1"/>
      <c r="XCU83" s="1"/>
      <c r="XCV83" s="1"/>
      <c r="XCW83" s="1"/>
      <c r="XCX83" s="1"/>
      <c r="XCY83" s="1"/>
      <c r="XCZ83" s="1"/>
      <c r="XDA83" s="1"/>
      <c r="XDB83" s="1"/>
      <c r="XDC83" s="1"/>
      <c r="XDD83" s="1"/>
      <c r="XDE83" s="1"/>
      <c r="XDF83" s="1"/>
      <c r="XDG83" s="1"/>
      <c r="XDH83" s="1"/>
      <c r="XDI83" s="1"/>
      <c r="XDJ83" s="1"/>
      <c r="XDK83" s="1"/>
      <c r="XDL83" s="1"/>
      <c r="XDM83" s="1"/>
      <c r="XDN83" s="1"/>
      <c r="XDO83" s="1"/>
      <c r="XDP83" s="1"/>
      <c r="XDQ83" s="1"/>
      <c r="XDR83" s="1"/>
      <c r="XDS83" s="1"/>
      <c r="XDT83" s="1"/>
      <c r="XDU83" s="1"/>
      <c r="XDV83" s="1"/>
      <c r="XDW83" s="1"/>
      <c r="XDX83" s="1"/>
      <c r="XDY83" s="1"/>
      <c r="XDZ83" s="1"/>
      <c r="XEA83" s="1"/>
      <c r="XEB83" s="1"/>
      <c r="XEC83" s="1"/>
      <c r="XED83" s="1"/>
      <c r="XEE83" s="1"/>
      <c r="XEF83" s="1"/>
      <c r="XEG83" s="1"/>
      <c r="XEH83" s="1"/>
      <c r="XEI83" s="1"/>
      <c r="XEJ83" s="1"/>
      <c r="XEK83" s="1"/>
      <c r="XEL83" s="1"/>
      <c r="XEM83" s="1"/>
      <c r="XEN83" s="1"/>
      <c r="XEO83" s="1"/>
      <c r="XEP83" s="1"/>
      <c r="XEQ83" s="1"/>
      <c r="XER83" s="1"/>
      <c r="XES83" s="1"/>
      <c r="XET83" s="1"/>
      <c r="XEU83" s="1"/>
      <c r="XEV83" s="1"/>
      <c r="XEW83" s="1"/>
      <c r="XEX83" s="1"/>
      <c r="XEY83" s="1"/>
      <c r="XEZ83" s="1"/>
      <c r="XFA83" s="1"/>
    </row>
    <row r="84" spans="1:68 16322:16381" x14ac:dyDescent="0.25">
      <c r="A84" s="134"/>
      <c r="B84" s="1" t="s">
        <v>264</v>
      </c>
      <c r="AD84" s="1">
        <v>44230.47</v>
      </c>
      <c r="AE84" s="1">
        <v>46371.35</v>
      </c>
      <c r="AF84" s="1">
        <v>37830.119999999995</v>
      </c>
      <c r="AG84" s="1">
        <v>44690.15</v>
      </c>
      <c r="AH84" s="1">
        <v>67201.850000000006</v>
      </c>
      <c r="AI84" s="1">
        <v>43729.900000000009</v>
      </c>
      <c r="AJ84" s="1">
        <v>46830.8</v>
      </c>
      <c r="AK84" s="1">
        <v>44961.200000000004</v>
      </c>
      <c r="AL84" s="1">
        <v>44744.350000000006</v>
      </c>
      <c r="AM84" s="1">
        <v>65965.95</v>
      </c>
      <c r="AN84" s="1">
        <v>44424.94</v>
      </c>
      <c r="AO84" s="1">
        <v>45653.780000000006</v>
      </c>
      <c r="AP84" s="1">
        <v>45741.130000000005</v>
      </c>
      <c r="AQ84" s="1">
        <v>48369.19</v>
      </c>
      <c r="AR84" s="1">
        <v>64102.759999999995</v>
      </c>
      <c r="AS84" s="1">
        <v>45631.22</v>
      </c>
      <c r="AT84" s="1">
        <v>47563.8</v>
      </c>
      <c r="AU84" s="1">
        <v>45824.250000000007</v>
      </c>
      <c r="AV84" s="1">
        <v>46293.2</v>
      </c>
      <c r="AW84" s="1">
        <v>45435.03</v>
      </c>
      <c r="AX84" s="1">
        <v>44937.88</v>
      </c>
      <c r="AY84" s="1">
        <v>68213.790000000008</v>
      </c>
      <c r="AZ84" s="1">
        <v>46227.040000000001</v>
      </c>
      <c r="BA84" s="1">
        <v>46512.089999999989</v>
      </c>
      <c r="BB84" s="1">
        <v>46850.349999999991</v>
      </c>
      <c r="BC84" s="1">
        <v>49243.040000000001</v>
      </c>
      <c r="BD84" s="1">
        <v>67204.33</v>
      </c>
      <c r="BE84" s="1">
        <v>49676.110000000008</v>
      </c>
      <c r="BF84" s="1">
        <v>51296.5</v>
      </c>
      <c r="BG84" s="1">
        <v>48274.179999999993</v>
      </c>
      <c r="BH84" s="61">
        <v>52238.1</v>
      </c>
      <c r="BI84" s="61">
        <v>50372.37</v>
      </c>
      <c r="BJ84" s="61">
        <v>97949.81</v>
      </c>
      <c r="BK84" s="61">
        <v>59248.63</v>
      </c>
      <c r="BL84" s="61">
        <v>86627.040000000037</v>
      </c>
      <c r="BM84" s="61">
        <v>88130.98</v>
      </c>
      <c r="BN84" s="61">
        <v>111214.0071</v>
      </c>
      <c r="BO84" s="61">
        <v>176959.587</v>
      </c>
      <c r="BP84" s="333">
        <v>150473.101</v>
      </c>
    </row>
    <row r="85" spans="1:68 16322:16381" x14ac:dyDescent="0.25">
      <c r="A85" s="134"/>
      <c r="B85" s="129" t="s">
        <v>273</v>
      </c>
      <c r="AD85" s="1">
        <v>30161.4</v>
      </c>
      <c r="AE85" s="1">
        <v>31274.5</v>
      </c>
      <c r="AF85" s="1">
        <v>25386.63</v>
      </c>
      <c r="AG85" s="1">
        <v>30401.200000000001</v>
      </c>
      <c r="AH85" s="1">
        <v>44826.130000000005</v>
      </c>
      <c r="AI85" s="1">
        <v>28612.34</v>
      </c>
      <c r="AJ85" s="1">
        <v>31639.85</v>
      </c>
      <c r="AK85" s="1">
        <v>30067.449999999997</v>
      </c>
      <c r="AL85" s="1">
        <v>29577.75</v>
      </c>
      <c r="AM85" s="1">
        <v>43838.19</v>
      </c>
      <c r="AN85" s="1">
        <v>29597.67</v>
      </c>
      <c r="AO85" s="1">
        <v>30784.25</v>
      </c>
      <c r="AP85" s="1">
        <v>30784.36</v>
      </c>
      <c r="AQ85" s="1">
        <v>31981.55</v>
      </c>
      <c r="AR85" s="1">
        <v>40799.760000000002</v>
      </c>
      <c r="AS85" s="1">
        <v>31288.06</v>
      </c>
      <c r="AT85" s="1">
        <v>31703.920000000002</v>
      </c>
      <c r="AU85" s="1">
        <v>31033.25</v>
      </c>
      <c r="AV85" s="1">
        <v>30734.9</v>
      </c>
      <c r="AW85" s="1">
        <v>30581.5</v>
      </c>
      <c r="AX85" s="1">
        <v>29776</v>
      </c>
      <c r="AY85" s="1">
        <v>46235.25</v>
      </c>
      <c r="AZ85" s="1">
        <v>30891.65</v>
      </c>
      <c r="BA85" s="1">
        <v>31881.429999999997</v>
      </c>
      <c r="BB85" s="1">
        <v>31422.25</v>
      </c>
      <c r="BC85" s="1">
        <v>33103.25</v>
      </c>
      <c r="BD85" s="1">
        <v>45871.49</v>
      </c>
      <c r="BE85" s="1">
        <v>33207.160000000003</v>
      </c>
      <c r="BF85" s="1">
        <v>34391.9</v>
      </c>
      <c r="BG85" s="1">
        <v>31813.579999999998</v>
      </c>
      <c r="BH85" s="61">
        <v>35245.67</v>
      </c>
      <c r="BI85" s="61">
        <v>33636.1</v>
      </c>
      <c r="BJ85" s="61">
        <v>62519.3</v>
      </c>
      <c r="BK85" s="61">
        <v>37965.5</v>
      </c>
      <c r="BL85" s="61">
        <v>50293.35</v>
      </c>
      <c r="BM85" s="61">
        <v>50916.38</v>
      </c>
      <c r="BN85" s="61">
        <v>61287.642650000002</v>
      </c>
      <c r="BO85" s="61">
        <v>121482.576</v>
      </c>
      <c r="BP85" s="333">
        <v>118164.065</v>
      </c>
    </row>
    <row r="86" spans="1:68 16322:16381" x14ac:dyDescent="0.25">
      <c r="A86" s="134"/>
      <c r="B86" s="126" t="s">
        <v>279</v>
      </c>
      <c r="AD86" s="1">
        <v>5526.5</v>
      </c>
      <c r="AE86" s="1">
        <v>5604.25</v>
      </c>
      <c r="AF86" s="1">
        <v>5177.3100000000004</v>
      </c>
      <c r="AG86" s="1">
        <v>5616</v>
      </c>
      <c r="AH86" s="1">
        <v>8240</v>
      </c>
      <c r="AI86" s="1">
        <v>5308.78</v>
      </c>
      <c r="AJ86" s="1">
        <v>5649.6</v>
      </c>
      <c r="AK86" s="1">
        <v>5476.5</v>
      </c>
      <c r="AL86" s="1">
        <v>5434.75</v>
      </c>
      <c r="AM86" s="1">
        <v>8364.0400000000009</v>
      </c>
      <c r="AN86" s="1">
        <v>5617.25</v>
      </c>
      <c r="AO86" s="1">
        <v>5544.05</v>
      </c>
      <c r="AP86" s="1">
        <v>5662.75</v>
      </c>
      <c r="AQ86" s="1">
        <v>5709.75</v>
      </c>
      <c r="AR86" s="1">
        <v>8003.5</v>
      </c>
      <c r="AS86" s="1">
        <v>5670.95</v>
      </c>
      <c r="AT86" s="1">
        <v>5243.18</v>
      </c>
      <c r="AU86" s="1">
        <v>5618.5</v>
      </c>
      <c r="AV86" s="1">
        <v>5639.5</v>
      </c>
      <c r="AW86" s="1">
        <v>5674.5</v>
      </c>
      <c r="AX86" s="1">
        <v>5649.25</v>
      </c>
      <c r="AY86" s="1">
        <v>8507</v>
      </c>
      <c r="AZ86" s="1">
        <v>5346.75</v>
      </c>
      <c r="BA86" s="1">
        <v>5544</v>
      </c>
      <c r="BB86" s="1">
        <v>5830.5</v>
      </c>
      <c r="BC86" s="1">
        <v>6308.25</v>
      </c>
      <c r="BD86" s="1">
        <v>8758.5</v>
      </c>
      <c r="BE86" s="1">
        <v>5932.5</v>
      </c>
      <c r="BF86" s="1">
        <v>6106.7</v>
      </c>
      <c r="BG86" s="1">
        <v>5631.5</v>
      </c>
      <c r="BH86" s="61">
        <v>6305</v>
      </c>
      <c r="BI86" s="61">
        <v>5867.5</v>
      </c>
      <c r="BJ86" s="61">
        <v>11079.32</v>
      </c>
      <c r="BK86" s="61">
        <v>6675</v>
      </c>
      <c r="BL86" s="61">
        <v>8708.25</v>
      </c>
      <c r="BM86" s="61">
        <v>8757.9500000000007</v>
      </c>
      <c r="BN86" s="61">
        <v>10616.25009</v>
      </c>
      <c r="BO86" s="61">
        <v>18758.325000000001</v>
      </c>
      <c r="BP86" s="333">
        <v>19273.25</v>
      </c>
    </row>
    <row r="87" spans="1:68 16322:16381" x14ac:dyDescent="0.25">
      <c r="A87" s="134"/>
      <c r="B87" s="126" t="s">
        <v>288</v>
      </c>
      <c r="AD87" s="1">
        <v>7219.7500000000146</v>
      </c>
      <c r="AE87" s="1">
        <v>7319.7899999999936</v>
      </c>
      <c r="AF87" s="1">
        <v>6267.3199999999924</v>
      </c>
      <c r="AG87" s="1">
        <v>7281.4399999999878</v>
      </c>
      <c r="AH87" s="1">
        <v>10787.240000000005</v>
      </c>
      <c r="AI87" s="1">
        <v>7053.2799999999988</v>
      </c>
      <c r="AJ87" s="1">
        <v>8042.2500000000146</v>
      </c>
      <c r="AK87" s="1">
        <v>7731.3500000000058</v>
      </c>
      <c r="AL87" s="1">
        <v>8080.0099999999802</v>
      </c>
      <c r="AM87" s="1">
        <v>12194.210000000036</v>
      </c>
      <c r="AN87" s="1">
        <v>7700.9299999999785</v>
      </c>
      <c r="AO87" s="1">
        <v>8297</v>
      </c>
      <c r="AP87" s="1">
        <v>9070.4099999999889</v>
      </c>
      <c r="AQ87" s="1">
        <v>9476.2199999999866</v>
      </c>
      <c r="AR87" s="1">
        <v>13089.270000000004</v>
      </c>
      <c r="AS87" s="1">
        <v>8878.7899999999936</v>
      </c>
      <c r="AT87" s="1">
        <v>10007.25</v>
      </c>
      <c r="AU87" s="1">
        <v>9542.8300000000017</v>
      </c>
      <c r="AV87" s="1">
        <v>10589.339999999997</v>
      </c>
      <c r="AW87" s="1">
        <v>10217.509999999995</v>
      </c>
      <c r="AX87" s="1">
        <v>9424.1300000000047</v>
      </c>
      <c r="AY87" s="1">
        <v>13806.779999999999</v>
      </c>
      <c r="AZ87" s="1">
        <v>10289.249999999985</v>
      </c>
      <c r="BA87" s="1">
        <v>10567.449999999997</v>
      </c>
      <c r="BB87" s="1">
        <v>11435.25</v>
      </c>
      <c r="BC87" s="1">
        <v>11305.669999999998</v>
      </c>
      <c r="BD87" s="1">
        <v>17237.070000000007</v>
      </c>
      <c r="BE87" s="1">
        <v>12220.219999999987</v>
      </c>
      <c r="BF87" s="1">
        <v>11798.740000000005</v>
      </c>
      <c r="BG87" s="1">
        <v>12513.779999999984</v>
      </c>
      <c r="BH87" s="61">
        <v>13158.59</v>
      </c>
      <c r="BI87" s="61">
        <v>12758.65</v>
      </c>
      <c r="BJ87" s="61">
        <v>22688.6</v>
      </c>
      <c r="BK87" s="61">
        <v>13011.38</v>
      </c>
      <c r="BL87" s="61">
        <v>14638.01999999996</v>
      </c>
      <c r="BM87" s="61">
        <v>14467.090000000026</v>
      </c>
      <c r="BN87" s="61">
        <v>17378.60657</v>
      </c>
      <c r="BO87" s="61">
        <v>27871.566900000002</v>
      </c>
      <c r="BP87" s="333">
        <v>23086.526999999998</v>
      </c>
    </row>
    <row r="88" spans="1:68 16322:16381" x14ac:dyDescent="0.25">
      <c r="A88" s="134"/>
      <c r="B88" s="118" t="s">
        <v>294</v>
      </c>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row>
    <row r="89" spans="1:68 16322:16381" x14ac:dyDescent="0.25">
      <c r="A89" s="134"/>
      <c r="B89" s="1" t="s">
        <v>264</v>
      </c>
      <c r="AP89" s="1">
        <v>95492.460909090922</v>
      </c>
      <c r="AQ89" s="1">
        <f>AVERAGE(AR89:BB89)</f>
        <v>95492.460909090922</v>
      </c>
      <c r="AR89" s="1">
        <v>94525.23000000004</v>
      </c>
      <c r="AS89" s="133">
        <v>81881.439999999973</v>
      </c>
      <c r="AT89" s="1">
        <v>89678.249999999971</v>
      </c>
      <c r="AU89" s="1">
        <v>93535.34</v>
      </c>
      <c r="AV89" s="1">
        <v>101219.45</v>
      </c>
      <c r="AW89" s="1">
        <v>97555.51999999999</v>
      </c>
      <c r="AX89" s="1">
        <v>104579.71</v>
      </c>
      <c r="AY89" s="1">
        <v>94517.640000000014</v>
      </c>
      <c r="AZ89" s="1">
        <v>99859.380000000063</v>
      </c>
      <c r="BA89" s="1">
        <v>101059.88000000014</v>
      </c>
      <c r="BB89" s="1">
        <v>92005.23000000001</v>
      </c>
      <c r="BC89" s="1">
        <v>101846.91000000003</v>
      </c>
      <c r="BD89" s="1">
        <v>97841.770099999951</v>
      </c>
      <c r="BE89" s="133">
        <v>86085.300000000047</v>
      </c>
      <c r="BF89" s="1">
        <v>97169.319999999876</v>
      </c>
      <c r="BG89" s="1">
        <v>94357.799999999988</v>
      </c>
      <c r="BH89" s="1">
        <v>94555.18</v>
      </c>
      <c r="BI89" s="1">
        <v>103190.77</v>
      </c>
      <c r="BJ89" s="61">
        <v>104226.24000000001</v>
      </c>
      <c r="BK89" s="61">
        <v>95574.63</v>
      </c>
      <c r="BL89" s="61">
        <v>97815.529999999926</v>
      </c>
      <c r="BM89" s="61">
        <v>92264.8</v>
      </c>
      <c r="BN89" s="61">
        <v>92264.8</v>
      </c>
      <c r="BO89" s="61">
        <v>92264.8</v>
      </c>
      <c r="BP89" s="333">
        <v>91388.12</v>
      </c>
    </row>
    <row r="90" spans="1:68 16322:16381" x14ac:dyDescent="0.25">
      <c r="A90" s="134"/>
      <c r="B90" s="129" t="s">
        <v>273</v>
      </c>
      <c r="AP90" s="1">
        <v>68737.019090909103</v>
      </c>
      <c r="AQ90" s="1">
        <f>AVERAGE(AR90:BB90)</f>
        <v>68737.019090909103</v>
      </c>
      <c r="AR90" s="1">
        <v>74139.399999999994</v>
      </c>
      <c r="AS90" s="133">
        <v>66505.740000000005</v>
      </c>
      <c r="AT90" s="1">
        <v>70907.840000000011</v>
      </c>
      <c r="AU90" s="1">
        <v>72454.179999999993</v>
      </c>
      <c r="AV90" s="1">
        <v>70776.08</v>
      </c>
      <c r="AW90" s="1">
        <v>65057.699999999946</v>
      </c>
      <c r="AX90" s="1">
        <v>72687.080000000016</v>
      </c>
      <c r="AY90" s="1">
        <v>66101.800000000017</v>
      </c>
      <c r="AZ90" s="1">
        <v>67051.559999999983</v>
      </c>
      <c r="BA90" s="1">
        <v>68969.660000000018</v>
      </c>
      <c r="BB90" s="1">
        <v>61456.170000000064</v>
      </c>
      <c r="BC90" s="1">
        <v>68373.710000000079</v>
      </c>
      <c r="BD90" s="1">
        <v>63103.539999999972</v>
      </c>
      <c r="BE90" s="133">
        <v>56535.900000000031</v>
      </c>
      <c r="BF90" s="1">
        <v>61845.919999999976</v>
      </c>
      <c r="BG90" s="1">
        <v>59881.769999999953</v>
      </c>
      <c r="BH90" s="1">
        <v>58229.61</v>
      </c>
      <c r="BI90" s="1">
        <v>58093.23</v>
      </c>
      <c r="BJ90" s="61">
        <v>61224.160000000003</v>
      </c>
      <c r="BK90" s="61">
        <v>57384.160000000003</v>
      </c>
      <c r="BL90" s="61">
        <v>58182.25999999998</v>
      </c>
      <c r="BM90" s="61">
        <v>60328.81</v>
      </c>
      <c r="BN90" s="61">
        <v>60328.81</v>
      </c>
      <c r="BO90" s="61">
        <v>60328.81</v>
      </c>
      <c r="BP90" s="333">
        <v>57009.93</v>
      </c>
    </row>
    <row r="91" spans="1:68 16322:16381" s="110" customFormat="1" x14ac:dyDescent="0.25">
      <c r="A91" s="134"/>
      <c r="B91" s="135" t="s">
        <v>279</v>
      </c>
      <c r="AS91" s="136"/>
      <c r="BC91" s="110">
        <v>460</v>
      </c>
    </row>
    <row r="92" spans="1:68 16322:16381" x14ac:dyDescent="0.25">
      <c r="A92" s="134"/>
      <c r="B92" s="126" t="s">
        <v>288</v>
      </c>
      <c r="AP92" s="1">
        <v>20564.937272727275</v>
      </c>
      <c r="AQ92" s="1">
        <f>AVERAGE(AR92:BB92)</f>
        <v>20564.937272727275</v>
      </c>
      <c r="AR92" s="1">
        <v>27220.629999999994</v>
      </c>
      <c r="AS92" s="133">
        <v>22948.21</v>
      </c>
      <c r="AT92" s="1">
        <v>22738.69</v>
      </c>
      <c r="AU92" s="1">
        <v>21241.94</v>
      </c>
      <c r="AV92" s="1">
        <v>20678.91</v>
      </c>
      <c r="AW92" s="1">
        <v>20228.04</v>
      </c>
      <c r="AX92" s="1">
        <v>24342.41</v>
      </c>
      <c r="AY92" s="1">
        <v>17668.55</v>
      </c>
      <c r="AZ92" s="1">
        <v>17167.95</v>
      </c>
      <c r="BA92" s="1">
        <v>17201.03</v>
      </c>
      <c r="BB92" s="1">
        <v>14777.949999999999</v>
      </c>
      <c r="BC92" s="1">
        <v>18900.580000000002</v>
      </c>
      <c r="BD92" s="1">
        <v>8314.7099999999991</v>
      </c>
      <c r="BE92" s="133">
        <v>4501.3999999999996</v>
      </c>
      <c r="BF92" s="1">
        <v>3902.56</v>
      </c>
      <c r="BG92" s="1">
        <v>2584.0500000000002</v>
      </c>
      <c r="BH92" s="1">
        <v>2248.87</v>
      </c>
      <c r="BI92" s="30">
        <v>1974</v>
      </c>
      <c r="BJ92" s="61">
        <v>2007.74</v>
      </c>
      <c r="BK92" s="61">
        <v>1637.71</v>
      </c>
      <c r="BL92" s="61">
        <v>1519.3500000000001</v>
      </c>
      <c r="BM92" s="61">
        <v>1429.15</v>
      </c>
      <c r="BN92" s="61">
        <v>1429.15</v>
      </c>
      <c r="BO92" s="61">
        <v>1429.15</v>
      </c>
      <c r="BP92" s="333">
        <v>744.43</v>
      </c>
    </row>
    <row r="93" spans="1:68 16322:16381" x14ac:dyDescent="0.25">
      <c r="A93" s="134"/>
      <c r="B93" s="118" t="s">
        <v>295</v>
      </c>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row>
    <row r="94" spans="1:68 16322:16381" x14ac:dyDescent="0.25">
      <c r="A94" s="134"/>
      <c r="B94" s="1" t="s">
        <v>264</v>
      </c>
      <c r="AP94" s="1">
        <v>115183.18</v>
      </c>
      <c r="AQ94" s="1">
        <v>119222.62</v>
      </c>
      <c r="AR94" s="1">
        <v>156215.22</v>
      </c>
      <c r="AS94" s="1">
        <v>119397.2</v>
      </c>
      <c r="AT94" s="1">
        <v>115295.9</v>
      </c>
      <c r="AU94" s="1">
        <v>120795.76999999999</v>
      </c>
      <c r="AV94" s="1">
        <v>116146.25</v>
      </c>
      <c r="AW94" s="1">
        <v>115360.9</v>
      </c>
      <c r="AX94" s="1">
        <v>113474.87999999999</v>
      </c>
      <c r="AY94" s="1">
        <v>172513.9</v>
      </c>
      <c r="AZ94" s="1">
        <v>114797.54</v>
      </c>
      <c r="BA94" s="1">
        <v>122442.5</v>
      </c>
      <c r="BB94" s="1">
        <v>118751.79</v>
      </c>
      <c r="BC94" s="1">
        <v>124422.92</v>
      </c>
      <c r="BD94" s="1">
        <v>167364.62999999998</v>
      </c>
      <c r="BE94" s="1">
        <v>125306.01999999997</v>
      </c>
      <c r="BF94" s="1">
        <v>122714.65</v>
      </c>
      <c r="BG94" s="1">
        <v>122959.52</v>
      </c>
      <c r="BH94" s="61">
        <v>130985.45</v>
      </c>
      <c r="BI94" s="61">
        <v>124082.1</v>
      </c>
      <c r="BJ94" s="61">
        <v>222890.32</v>
      </c>
      <c r="BK94" s="61">
        <v>123727.5</v>
      </c>
      <c r="BL94" s="61">
        <v>124168.46999999999</v>
      </c>
      <c r="BM94" s="61">
        <v>135134.94999999998</v>
      </c>
      <c r="BN94" s="61">
        <v>146875.0698</v>
      </c>
      <c r="BO94" s="61">
        <v>246395.46599999999</v>
      </c>
      <c r="BP94" s="61">
        <v>243005.59700000001</v>
      </c>
    </row>
    <row r="95" spans="1:68 16322:16381" x14ac:dyDescent="0.25">
      <c r="A95" s="134"/>
      <c r="B95" s="129" t="s">
        <v>273</v>
      </c>
      <c r="AP95" s="1">
        <v>50785.65</v>
      </c>
      <c r="AQ95" s="1">
        <v>53266.6</v>
      </c>
      <c r="AR95" s="1">
        <v>69013.100000000006</v>
      </c>
      <c r="AS95" s="1">
        <v>52312.7</v>
      </c>
      <c r="AT95" s="1">
        <v>51058.35</v>
      </c>
      <c r="AU95" s="1">
        <v>54286.47</v>
      </c>
      <c r="AV95" s="1">
        <v>51611.3</v>
      </c>
      <c r="AW95" s="1">
        <v>52232.350000000006</v>
      </c>
      <c r="AX95" s="1">
        <v>53753.090000000004</v>
      </c>
      <c r="AY95" s="1">
        <v>81700.23</v>
      </c>
      <c r="AZ95" s="1">
        <v>54870.75</v>
      </c>
      <c r="BA95" s="1">
        <v>58792.5</v>
      </c>
      <c r="BB95" s="1">
        <v>56919.199999999997</v>
      </c>
      <c r="BC95" s="1">
        <v>57071.55</v>
      </c>
      <c r="BD95" s="1">
        <v>77334.92</v>
      </c>
      <c r="BE95" s="1">
        <v>59816.65</v>
      </c>
      <c r="BF95" s="1">
        <v>57758.7</v>
      </c>
      <c r="BG95" s="1">
        <v>57534.400000000001</v>
      </c>
      <c r="BH95" s="61">
        <v>61286.77</v>
      </c>
      <c r="BI95" s="61">
        <v>58769.75</v>
      </c>
      <c r="BJ95" s="117">
        <v>103571.29</v>
      </c>
      <c r="BK95" s="117">
        <v>57748.45</v>
      </c>
      <c r="BL95" s="117">
        <v>58695.8</v>
      </c>
      <c r="BM95" s="117">
        <v>62177.17</v>
      </c>
      <c r="BN95" s="117">
        <v>70326.714760000003</v>
      </c>
      <c r="BO95" s="117">
        <v>147839.70699999999</v>
      </c>
      <c r="BP95" s="117">
        <v>102809.386</v>
      </c>
    </row>
    <row r="96" spans="1:68 16322:16381" x14ac:dyDescent="0.25">
      <c r="A96" s="134"/>
      <c r="B96" s="126" t="s">
        <v>279</v>
      </c>
      <c r="AP96" s="1">
        <v>24968.95</v>
      </c>
      <c r="AQ96" s="1">
        <v>25808.400000000001</v>
      </c>
      <c r="AR96" s="1">
        <v>34826.75</v>
      </c>
      <c r="AS96" s="1">
        <v>26163.97</v>
      </c>
      <c r="AT96" s="133">
        <v>25526.510000000002</v>
      </c>
      <c r="AU96" s="1">
        <v>26596.25</v>
      </c>
      <c r="AV96" s="1">
        <v>25708.25</v>
      </c>
      <c r="AW96" s="1">
        <v>25475.15</v>
      </c>
      <c r="AX96" s="1">
        <v>25564.050000000003</v>
      </c>
      <c r="AY96" s="1">
        <v>38856.949999999997</v>
      </c>
      <c r="AZ96" s="1">
        <v>25806.81</v>
      </c>
      <c r="BA96" s="1">
        <v>27168.400000000001</v>
      </c>
      <c r="BB96" s="1">
        <v>26242.26</v>
      </c>
      <c r="BC96" s="1">
        <v>27653</v>
      </c>
      <c r="BD96" s="1">
        <v>37720.1</v>
      </c>
      <c r="BE96" s="1">
        <v>28064.799999999996</v>
      </c>
      <c r="BF96" s="1">
        <v>27222.050000000003</v>
      </c>
      <c r="BG96" s="1">
        <v>27391.61</v>
      </c>
      <c r="BH96" s="61">
        <v>28148.1</v>
      </c>
      <c r="BI96" s="61">
        <v>27108.45</v>
      </c>
      <c r="BJ96" s="61">
        <v>48337.67</v>
      </c>
      <c r="BK96" s="61">
        <v>28358</v>
      </c>
      <c r="BL96" s="61">
        <v>29575.300000000003</v>
      </c>
      <c r="BM96" s="61">
        <v>32367.25</v>
      </c>
      <c r="BN96" s="61">
        <v>37392.450290000001</v>
      </c>
      <c r="BO96" s="61">
        <v>68111.971099999995</v>
      </c>
      <c r="BP96" s="61">
        <v>96829.258000000002</v>
      </c>
    </row>
    <row r="97" spans="1:68" x14ac:dyDescent="0.25">
      <c r="A97" s="134"/>
      <c r="B97" s="126" t="s">
        <v>288</v>
      </c>
      <c r="AP97" s="1">
        <v>35058.250000000029</v>
      </c>
      <c r="AQ97" s="1">
        <v>35979.75</v>
      </c>
      <c r="AR97" s="1">
        <v>51042.5</v>
      </c>
      <c r="AS97" s="1">
        <v>36650</v>
      </c>
      <c r="AT97" s="133">
        <v>36072.5</v>
      </c>
      <c r="AU97" s="1">
        <v>36337</v>
      </c>
      <c r="AV97" s="1">
        <v>36598.5</v>
      </c>
      <c r="AW97" s="1">
        <v>38048.200000000012</v>
      </c>
      <c r="AX97" s="1">
        <v>36456.75</v>
      </c>
      <c r="AY97" s="1">
        <v>56450.94</v>
      </c>
      <c r="AZ97" s="1">
        <v>39042.749999999971</v>
      </c>
      <c r="BA97" s="1">
        <v>41775.5</v>
      </c>
      <c r="BB97" s="1">
        <v>43311.75</v>
      </c>
      <c r="BC97" s="1">
        <v>43712</v>
      </c>
      <c r="BD97" s="1">
        <v>80576.25</v>
      </c>
      <c r="BE97" s="1">
        <v>57834.25</v>
      </c>
      <c r="BF97" s="1">
        <v>55347.600000000093</v>
      </c>
      <c r="BG97" s="1">
        <v>57331.469999999914</v>
      </c>
      <c r="BH97" s="61">
        <v>59929</v>
      </c>
      <c r="BI97" s="61">
        <v>59175.55</v>
      </c>
      <c r="BJ97" s="61">
        <v>98455.25</v>
      </c>
      <c r="BK97" s="61">
        <v>59990.62</v>
      </c>
      <c r="BL97" s="61">
        <v>60248</v>
      </c>
      <c r="BM97" s="61">
        <v>61820.849999999977</v>
      </c>
      <c r="BN97" s="61">
        <v>73392.081770000004</v>
      </c>
      <c r="BO97" s="61">
        <v>110350.93</v>
      </c>
      <c r="BP97" s="61">
        <v>79926.972999999998</v>
      </c>
    </row>
    <row r="100" spans="1:68" x14ac:dyDescent="0.25">
      <c r="A100" s="137" t="s">
        <v>296</v>
      </c>
    </row>
    <row r="101" spans="1:68" x14ac:dyDescent="0.25">
      <c r="A101" s="118" t="s">
        <v>244</v>
      </c>
    </row>
    <row r="102" spans="1:68" ht="15" customHeight="1" x14ac:dyDescent="0.25">
      <c r="A102" s="352" t="s">
        <v>262</v>
      </c>
      <c r="B102" s="118" t="s">
        <v>263</v>
      </c>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row>
    <row r="103" spans="1:68" x14ac:dyDescent="0.25">
      <c r="A103" s="353"/>
      <c r="B103" s="138" t="s">
        <v>297</v>
      </c>
      <c r="AJ103" s="8">
        <v>10</v>
      </c>
      <c r="AK103" s="8">
        <v>14</v>
      </c>
      <c r="AL103" s="8">
        <v>13</v>
      </c>
      <c r="AM103" s="8">
        <v>2</v>
      </c>
      <c r="AN103" s="8">
        <v>40</v>
      </c>
      <c r="AO103" s="8">
        <v>15</v>
      </c>
      <c r="AP103" s="8">
        <v>5</v>
      </c>
      <c r="AQ103" s="8">
        <v>9</v>
      </c>
      <c r="AR103" s="8">
        <v>11</v>
      </c>
      <c r="AS103" s="8">
        <v>11</v>
      </c>
      <c r="AT103" s="8">
        <v>9</v>
      </c>
      <c r="AU103" s="8">
        <v>8</v>
      </c>
      <c r="AV103" s="8">
        <v>15</v>
      </c>
      <c r="AW103" s="1">
        <v>18</v>
      </c>
      <c r="AX103" s="1">
        <v>10</v>
      </c>
      <c r="AY103" s="1">
        <v>12</v>
      </c>
      <c r="AZ103" s="1">
        <v>15</v>
      </c>
      <c r="BA103" s="1">
        <v>23</v>
      </c>
      <c r="BB103" s="1">
        <v>10</v>
      </c>
      <c r="BC103" s="1">
        <v>8</v>
      </c>
      <c r="BD103" s="1">
        <v>14</v>
      </c>
      <c r="BE103" s="1">
        <v>14</v>
      </c>
      <c r="BF103" s="1">
        <v>17</v>
      </c>
      <c r="BG103" s="1">
        <v>9</v>
      </c>
      <c r="BH103" s="1">
        <v>11</v>
      </c>
      <c r="BI103" s="1">
        <v>20</v>
      </c>
      <c r="BJ103" s="1">
        <v>11</v>
      </c>
      <c r="BK103" s="1">
        <v>17</v>
      </c>
      <c r="BL103" s="1">
        <v>11</v>
      </c>
      <c r="BM103" s="1">
        <v>26</v>
      </c>
      <c r="BN103" s="1">
        <v>12</v>
      </c>
      <c r="BO103" s="1">
        <v>8</v>
      </c>
      <c r="BP103" s="1">
        <v>8</v>
      </c>
    </row>
    <row r="104" spans="1:68" x14ac:dyDescent="0.25">
      <c r="A104" s="353"/>
      <c r="B104" s="118" t="s">
        <v>268</v>
      </c>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row>
    <row r="105" spans="1:68" x14ac:dyDescent="0.25">
      <c r="A105" s="353"/>
      <c r="B105" s="138" t="s">
        <v>297</v>
      </c>
      <c r="AJ105" s="8">
        <v>3</v>
      </c>
      <c r="AK105" s="8">
        <v>8</v>
      </c>
      <c r="AL105" s="8">
        <v>7</v>
      </c>
      <c r="AM105" s="8">
        <v>2</v>
      </c>
      <c r="AN105" s="8">
        <v>4</v>
      </c>
      <c r="AO105" s="8">
        <v>22</v>
      </c>
      <c r="AP105" s="8">
        <v>18</v>
      </c>
      <c r="AQ105" s="8">
        <v>9</v>
      </c>
      <c r="AR105" s="8">
        <v>11</v>
      </c>
      <c r="AS105" s="8">
        <v>9</v>
      </c>
      <c r="AT105" s="8">
        <v>15</v>
      </c>
      <c r="AU105" s="8">
        <v>7</v>
      </c>
      <c r="AV105" s="8">
        <v>6</v>
      </c>
      <c r="AW105" s="1">
        <v>4</v>
      </c>
      <c r="AX105" s="1">
        <v>4</v>
      </c>
      <c r="AY105" s="1">
        <v>15</v>
      </c>
      <c r="AZ105" s="1">
        <v>8</v>
      </c>
      <c r="BA105" s="1">
        <v>11</v>
      </c>
      <c r="BB105" s="1">
        <v>4</v>
      </c>
      <c r="BC105" s="1">
        <v>15</v>
      </c>
      <c r="BD105" s="1">
        <v>20</v>
      </c>
      <c r="BE105" s="1">
        <v>16</v>
      </c>
      <c r="BF105" s="1">
        <v>20</v>
      </c>
      <c r="BG105" s="1">
        <v>18</v>
      </c>
      <c r="BH105" s="1">
        <v>7</v>
      </c>
      <c r="BI105" s="1">
        <v>24</v>
      </c>
      <c r="BJ105" s="1">
        <v>15</v>
      </c>
      <c r="BK105" s="1">
        <v>50</v>
      </c>
      <c r="BL105" s="1">
        <v>59</v>
      </c>
      <c r="BM105" s="1">
        <v>31</v>
      </c>
      <c r="BN105" s="1">
        <v>23</v>
      </c>
      <c r="BO105" s="1">
        <v>22</v>
      </c>
      <c r="BP105" s="1">
        <v>15</v>
      </c>
    </row>
    <row r="106" spans="1:68" ht="15" customHeight="1" x14ac:dyDescent="0.25">
      <c r="A106" s="355" t="s">
        <v>272</v>
      </c>
      <c r="B106" s="118" t="s">
        <v>263</v>
      </c>
      <c r="C106" s="118"/>
      <c r="D106" s="118"/>
      <c r="E106" s="118"/>
      <c r="F106" s="118"/>
      <c r="G106" s="118"/>
      <c r="H106" s="118"/>
      <c r="I106" s="118"/>
      <c r="J106" s="118"/>
      <c r="K106" s="118"/>
      <c r="L106" s="118"/>
      <c r="M106" s="118"/>
      <c r="N106" s="118"/>
      <c r="O106" s="118"/>
      <c r="P106" s="118"/>
      <c r="Q106" s="118"/>
      <c r="R106" s="118"/>
      <c r="S106" s="118"/>
      <c r="T106" s="118"/>
      <c r="U106" s="118"/>
      <c r="V106" s="118"/>
      <c r="W106" s="118"/>
      <c r="X106" s="118"/>
      <c r="Y106" s="118"/>
      <c r="Z106" s="118"/>
      <c r="AA106" s="118"/>
      <c r="AB106" s="118"/>
      <c r="AC106" s="118"/>
      <c r="AD106" s="118"/>
      <c r="AE106" s="118"/>
      <c r="AF106" s="118"/>
      <c r="AG106" s="118"/>
      <c r="AH106" s="118"/>
      <c r="AI106" s="118"/>
      <c r="AJ106" s="118"/>
      <c r="AK106" s="118"/>
      <c r="AL106" s="118"/>
      <c r="AM106" s="118"/>
      <c r="AN106" s="118"/>
      <c r="AO106" s="118"/>
      <c r="AP106" s="118"/>
      <c r="AQ106" s="118"/>
      <c r="AR106" s="118"/>
      <c r="AS106" s="118"/>
      <c r="AT106" s="118"/>
      <c r="AU106" s="118"/>
      <c r="AV106" s="118"/>
      <c r="AW106" s="118"/>
      <c r="AX106" s="118"/>
      <c r="AY106" s="118"/>
      <c r="AZ106" s="118"/>
      <c r="BA106" s="118"/>
      <c r="BB106" s="118"/>
      <c r="BC106" s="118"/>
      <c r="BD106" s="118"/>
      <c r="BE106" s="118"/>
      <c r="BF106" s="118"/>
      <c r="BG106" s="118"/>
      <c r="BH106" s="118"/>
      <c r="BI106" s="118"/>
      <c r="BJ106" s="118"/>
      <c r="BK106" s="118"/>
      <c r="BL106" s="118"/>
      <c r="BM106" s="118"/>
      <c r="BN106" s="118"/>
      <c r="BO106" s="118"/>
      <c r="BP106" s="118"/>
    </row>
    <row r="107" spans="1:68" x14ac:dyDescent="0.25">
      <c r="A107" s="356"/>
      <c r="B107" s="138" t="s">
        <v>298</v>
      </c>
      <c r="AJ107" s="8">
        <v>14</v>
      </c>
      <c r="AK107" s="8">
        <v>15</v>
      </c>
      <c r="AL107" s="8">
        <v>5</v>
      </c>
      <c r="AM107" s="8">
        <v>3</v>
      </c>
      <c r="AN107" s="8">
        <v>13</v>
      </c>
      <c r="AO107" s="8">
        <v>5</v>
      </c>
      <c r="AP107" s="8">
        <v>13</v>
      </c>
      <c r="AQ107" s="8">
        <v>9</v>
      </c>
      <c r="AR107" s="8">
        <v>10</v>
      </c>
      <c r="AS107" s="8">
        <v>5</v>
      </c>
      <c r="AT107" s="8">
        <v>10</v>
      </c>
      <c r="AU107" s="8">
        <v>15</v>
      </c>
      <c r="AV107" s="8">
        <v>10</v>
      </c>
      <c r="AW107" s="1">
        <v>5</v>
      </c>
      <c r="AX107" s="1">
        <v>7</v>
      </c>
      <c r="AY107" s="1">
        <v>10</v>
      </c>
      <c r="AZ107" s="1">
        <v>10</v>
      </c>
      <c r="BA107" s="1">
        <v>9</v>
      </c>
      <c r="BB107" s="1">
        <v>18</v>
      </c>
      <c r="BC107" s="1">
        <v>11</v>
      </c>
      <c r="BD107" s="1">
        <v>15</v>
      </c>
      <c r="BE107" s="1">
        <v>15</v>
      </c>
      <c r="BF107" s="1">
        <v>16</v>
      </c>
      <c r="BG107" s="1">
        <v>21</v>
      </c>
      <c r="BH107" s="1">
        <v>11</v>
      </c>
      <c r="BI107" s="1">
        <v>21</v>
      </c>
      <c r="BJ107" s="1">
        <v>16</v>
      </c>
      <c r="BK107" s="1">
        <v>16</v>
      </c>
      <c r="BL107" s="1">
        <v>36</v>
      </c>
      <c r="BM107" s="1">
        <v>26</v>
      </c>
      <c r="BN107" s="1">
        <v>18</v>
      </c>
      <c r="BO107" s="1">
        <v>33</v>
      </c>
      <c r="BP107" s="1">
        <v>38</v>
      </c>
    </row>
    <row r="108" spans="1:68" x14ac:dyDescent="0.25">
      <c r="A108" s="356"/>
      <c r="B108" s="118" t="s">
        <v>268</v>
      </c>
      <c r="C108" s="118"/>
      <c r="D108" s="118"/>
      <c r="E108" s="118"/>
      <c r="F108" s="118"/>
      <c r="G108" s="118"/>
      <c r="H108" s="118"/>
      <c r="I108" s="118"/>
      <c r="J108" s="118"/>
      <c r="K108" s="118"/>
      <c r="L108" s="118"/>
      <c r="M108" s="118"/>
      <c r="N108" s="118"/>
      <c r="O108" s="118"/>
      <c r="P108" s="118"/>
      <c r="Q108" s="118"/>
      <c r="R108" s="118"/>
      <c r="S108" s="118"/>
      <c r="T108" s="118"/>
      <c r="U108" s="118"/>
      <c r="V108" s="118"/>
      <c r="W108" s="118"/>
      <c r="X108" s="118"/>
      <c r="Y108" s="118"/>
      <c r="Z108" s="118"/>
      <c r="AA108" s="118"/>
      <c r="AB108" s="118"/>
      <c r="AC108" s="118"/>
      <c r="AD108" s="118"/>
      <c r="AE108" s="118"/>
      <c r="AF108" s="118"/>
      <c r="AG108" s="118"/>
      <c r="AH108" s="118"/>
      <c r="AI108" s="118"/>
      <c r="AJ108" s="118"/>
      <c r="AK108" s="118"/>
      <c r="AL108" s="118"/>
      <c r="AM108" s="118"/>
      <c r="AN108" s="118"/>
      <c r="AO108" s="118"/>
      <c r="AP108" s="118"/>
      <c r="AQ108" s="118"/>
      <c r="AR108" s="118"/>
      <c r="AS108" s="118"/>
      <c r="AT108" s="118"/>
      <c r="AU108" s="118"/>
      <c r="AV108" s="118"/>
      <c r="AW108" s="118"/>
      <c r="AX108" s="118"/>
      <c r="AY108" s="118"/>
      <c r="AZ108" s="118"/>
      <c r="BA108" s="118"/>
      <c r="BB108" s="118"/>
      <c r="BC108" s="118"/>
      <c r="BD108" s="118"/>
      <c r="BE108" s="118"/>
      <c r="BF108" s="118"/>
      <c r="BG108" s="118"/>
      <c r="BH108" s="118"/>
      <c r="BI108" s="118"/>
      <c r="BJ108" s="118"/>
      <c r="BK108" s="118"/>
      <c r="BL108" s="118"/>
      <c r="BM108" s="118"/>
      <c r="BN108" s="118"/>
      <c r="BO108" s="118"/>
      <c r="BP108" s="118"/>
    </row>
    <row r="109" spans="1:68" x14ac:dyDescent="0.25">
      <c r="A109" s="356"/>
      <c r="B109" s="138" t="s">
        <v>298</v>
      </c>
      <c r="AJ109" s="8">
        <v>2</v>
      </c>
      <c r="AK109" s="8">
        <v>2</v>
      </c>
      <c r="AL109" s="8">
        <v>1</v>
      </c>
      <c r="AM109" s="8">
        <v>12</v>
      </c>
      <c r="AN109" s="8">
        <v>1</v>
      </c>
      <c r="AO109" s="8">
        <v>1</v>
      </c>
      <c r="AP109" s="8">
        <v>1</v>
      </c>
      <c r="AQ109" s="8">
        <v>6</v>
      </c>
      <c r="AR109" s="8">
        <v>3</v>
      </c>
      <c r="AS109" s="8">
        <v>1</v>
      </c>
      <c r="AT109" s="8">
        <v>2</v>
      </c>
      <c r="AU109" s="8">
        <v>0</v>
      </c>
      <c r="AV109" s="8">
        <v>3</v>
      </c>
      <c r="AW109" s="1">
        <v>5</v>
      </c>
      <c r="AX109" s="1">
        <v>5</v>
      </c>
      <c r="AY109" s="1">
        <v>5</v>
      </c>
      <c r="AZ109" s="1">
        <v>6</v>
      </c>
      <c r="BA109" s="1">
        <v>6</v>
      </c>
      <c r="BB109" s="1">
        <v>6</v>
      </c>
      <c r="BC109" s="1">
        <v>3</v>
      </c>
      <c r="BD109" s="1">
        <v>4</v>
      </c>
      <c r="BE109" s="1">
        <v>2</v>
      </c>
      <c r="BF109" s="1">
        <v>2</v>
      </c>
      <c r="BG109" s="1">
        <v>7</v>
      </c>
      <c r="BH109" s="1">
        <v>9</v>
      </c>
      <c r="BI109" s="1">
        <v>66</v>
      </c>
      <c r="BJ109" s="1">
        <v>41</v>
      </c>
      <c r="BK109" s="1">
        <v>29</v>
      </c>
      <c r="BL109" s="1">
        <v>47</v>
      </c>
      <c r="BM109" s="1">
        <v>15</v>
      </c>
      <c r="BN109" s="1">
        <v>20</v>
      </c>
      <c r="BO109" s="1">
        <v>10</v>
      </c>
      <c r="BP109" s="1">
        <v>10</v>
      </c>
    </row>
    <row r="110" spans="1:68" ht="15" customHeight="1" x14ac:dyDescent="0.25">
      <c r="A110" s="348" t="s">
        <v>278</v>
      </c>
      <c r="B110" s="118" t="s">
        <v>66</v>
      </c>
      <c r="C110" s="118"/>
      <c r="D110" s="118"/>
      <c r="E110" s="118"/>
      <c r="F110" s="118"/>
      <c r="G110" s="118"/>
      <c r="H110" s="118"/>
      <c r="I110" s="118"/>
      <c r="J110" s="118"/>
      <c r="K110" s="118"/>
      <c r="L110" s="118"/>
      <c r="M110" s="118"/>
      <c r="N110" s="118"/>
      <c r="O110" s="118"/>
      <c r="P110" s="118"/>
      <c r="Q110" s="118"/>
      <c r="R110" s="118"/>
      <c r="S110" s="118"/>
      <c r="T110" s="118"/>
      <c r="U110" s="118"/>
      <c r="V110" s="118"/>
      <c r="W110" s="118"/>
      <c r="X110" s="118"/>
      <c r="Y110" s="118"/>
      <c r="Z110" s="118"/>
      <c r="AA110" s="118"/>
      <c r="AB110" s="118"/>
      <c r="AC110" s="118"/>
      <c r="AD110" s="118"/>
      <c r="AE110" s="118"/>
      <c r="AF110" s="118"/>
      <c r="AG110" s="118"/>
      <c r="AH110" s="118"/>
      <c r="AI110" s="118"/>
      <c r="AJ110" s="118"/>
      <c r="AK110" s="118"/>
      <c r="AL110" s="118"/>
      <c r="AM110" s="118"/>
      <c r="AN110" s="118"/>
      <c r="AO110" s="118"/>
      <c r="AP110" s="118"/>
      <c r="AQ110" s="118"/>
      <c r="AR110" s="118"/>
      <c r="AS110" s="118"/>
      <c r="AT110" s="118"/>
      <c r="AU110" s="118"/>
      <c r="AV110" s="118"/>
      <c r="AW110" s="118"/>
      <c r="AX110" s="118"/>
      <c r="AY110" s="118"/>
      <c r="AZ110" s="118"/>
      <c r="BA110" s="118"/>
      <c r="BB110" s="118"/>
      <c r="BC110" s="118"/>
      <c r="BD110" s="118"/>
      <c r="BE110" s="118"/>
      <c r="BF110" s="118"/>
      <c r="BG110" s="118"/>
      <c r="BH110" s="118"/>
      <c r="BI110" s="118"/>
      <c r="BJ110" s="118"/>
      <c r="BK110" s="118"/>
      <c r="BL110" s="118"/>
      <c r="BM110" s="118"/>
      <c r="BN110" s="118"/>
      <c r="BO110" s="118"/>
      <c r="BP110" s="118"/>
    </row>
    <row r="111" spans="1:68" x14ac:dyDescent="0.25">
      <c r="A111" s="349"/>
      <c r="B111" s="138" t="s">
        <v>299</v>
      </c>
      <c r="AJ111" s="8">
        <v>0</v>
      </c>
      <c r="AK111" s="8">
        <v>2</v>
      </c>
      <c r="AL111" s="8">
        <v>4</v>
      </c>
      <c r="AM111" s="8">
        <v>1</v>
      </c>
      <c r="AN111" s="8">
        <v>0</v>
      </c>
      <c r="AO111" s="8">
        <v>0</v>
      </c>
      <c r="AP111" s="8">
        <v>0</v>
      </c>
      <c r="AQ111" s="8">
        <v>3</v>
      </c>
      <c r="AR111" s="8">
        <v>1</v>
      </c>
      <c r="AS111" s="8">
        <v>0</v>
      </c>
      <c r="AT111" s="8">
        <v>1</v>
      </c>
      <c r="AU111" s="8">
        <v>1</v>
      </c>
      <c r="AV111" s="8">
        <v>0</v>
      </c>
      <c r="AW111" s="1">
        <v>0</v>
      </c>
      <c r="AX111" s="1">
        <v>1</v>
      </c>
      <c r="AY111" s="1">
        <v>0</v>
      </c>
      <c r="AZ111" s="1">
        <v>0</v>
      </c>
      <c r="BA111" s="1">
        <v>1</v>
      </c>
      <c r="BB111" s="1">
        <v>1</v>
      </c>
      <c r="BC111" s="1">
        <v>0</v>
      </c>
      <c r="BD111" s="1">
        <v>0</v>
      </c>
      <c r="BE111" s="1">
        <v>0</v>
      </c>
      <c r="BF111" s="1">
        <v>1</v>
      </c>
      <c r="BG111" s="1">
        <v>1</v>
      </c>
      <c r="BH111" s="1">
        <v>1</v>
      </c>
      <c r="BI111" s="1">
        <v>2</v>
      </c>
      <c r="BJ111" s="1">
        <v>1</v>
      </c>
      <c r="BK111" s="1">
        <v>3</v>
      </c>
      <c r="BL111" s="1">
        <v>5</v>
      </c>
      <c r="BM111" s="1">
        <v>2</v>
      </c>
      <c r="BN111" s="1">
        <v>3</v>
      </c>
      <c r="BO111" s="1">
        <v>0</v>
      </c>
      <c r="BP111" s="1">
        <v>1</v>
      </c>
    </row>
    <row r="112" spans="1:68" ht="15" customHeight="1" x14ac:dyDescent="0.25">
      <c r="A112" s="350" t="s">
        <v>287</v>
      </c>
      <c r="B112" s="118" t="s">
        <v>263</v>
      </c>
      <c r="C112" s="118"/>
      <c r="D112" s="118"/>
      <c r="E112" s="118"/>
      <c r="F112" s="118"/>
      <c r="G112" s="118"/>
      <c r="H112" s="118"/>
      <c r="I112" s="118"/>
      <c r="J112" s="118"/>
      <c r="K112" s="118"/>
      <c r="L112" s="118"/>
      <c r="M112" s="118"/>
      <c r="N112" s="118"/>
      <c r="O112" s="118"/>
      <c r="P112" s="118"/>
      <c r="Q112" s="118"/>
      <c r="R112" s="118"/>
      <c r="S112" s="118"/>
      <c r="T112" s="118"/>
      <c r="U112" s="118"/>
      <c r="V112" s="118"/>
      <c r="W112" s="118"/>
      <c r="X112" s="118"/>
      <c r="Y112" s="118"/>
      <c r="Z112" s="118"/>
      <c r="AA112" s="118"/>
      <c r="AB112" s="118"/>
      <c r="AC112" s="118"/>
      <c r="AD112" s="118"/>
      <c r="AE112" s="118"/>
      <c r="AF112" s="118"/>
      <c r="AG112" s="118"/>
      <c r="AH112" s="118"/>
      <c r="AI112" s="118"/>
      <c r="AJ112" s="118"/>
      <c r="AK112" s="118"/>
      <c r="AL112" s="118"/>
      <c r="AM112" s="118"/>
      <c r="AN112" s="118"/>
      <c r="AO112" s="118"/>
      <c r="AP112" s="118"/>
      <c r="AQ112" s="118"/>
      <c r="AR112" s="118"/>
      <c r="AS112" s="118"/>
      <c r="AT112" s="118"/>
      <c r="AU112" s="118"/>
      <c r="AV112" s="118"/>
      <c r="AW112" s="118"/>
      <c r="AX112" s="118"/>
      <c r="AY112" s="118"/>
      <c r="AZ112" s="118"/>
      <c r="BA112" s="118"/>
      <c r="BB112" s="118"/>
      <c r="BC112" s="118"/>
      <c r="BD112" s="118"/>
      <c r="BE112" s="118"/>
      <c r="BF112" s="118"/>
      <c r="BG112" s="118"/>
      <c r="BH112" s="118"/>
      <c r="BI112" s="118"/>
      <c r="BJ112" s="118"/>
      <c r="BK112" s="118"/>
      <c r="BL112" s="118"/>
      <c r="BM112" s="118"/>
      <c r="BN112" s="118"/>
      <c r="BO112" s="118"/>
      <c r="BP112" s="118"/>
    </row>
    <row r="113" spans="1:68" x14ac:dyDescent="0.25">
      <c r="A113" s="351"/>
      <c r="B113" s="138" t="s">
        <v>300</v>
      </c>
      <c r="AJ113" s="8">
        <v>1</v>
      </c>
      <c r="AK113" s="8">
        <v>1</v>
      </c>
      <c r="AL113" s="8">
        <v>1</v>
      </c>
      <c r="AM113" s="8">
        <v>0</v>
      </c>
      <c r="AN113" s="8">
        <v>0</v>
      </c>
      <c r="AO113" s="8">
        <v>0</v>
      </c>
      <c r="AP113" s="8">
        <v>0</v>
      </c>
      <c r="AQ113" s="8">
        <v>0</v>
      </c>
      <c r="AR113" s="8">
        <v>0</v>
      </c>
      <c r="AS113" s="8">
        <v>0</v>
      </c>
      <c r="AT113" s="8">
        <v>0</v>
      </c>
      <c r="AU113" s="8">
        <v>0</v>
      </c>
      <c r="AV113" s="8">
        <v>0</v>
      </c>
      <c r="AW113" s="1">
        <v>0</v>
      </c>
      <c r="AX113" s="1">
        <v>0</v>
      </c>
      <c r="AY113" s="1">
        <v>0</v>
      </c>
      <c r="AZ113" s="1">
        <v>0</v>
      </c>
      <c r="BA113" s="1">
        <v>0</v>
      </c>
      <c r="BB113" s="1">
        <v>0</v>
      </c>
      <c r="BC113" s="1">
        <v>0</v>
      </c>
      <c r="BD113" s="1">
        <v>0</v>
      </c>
      <c r="BE113" s="1">
        <v>0</v>
      </c>
      <c r="BF113" s="1">
        <v>1</v>
      </c>
      <c r="BG113" s="1">
        <v>1</v>
      </c>
      <c r="BH113" s="1">
        <v>0</v>
      </c>
      <c r="BI113" s="1">
        <v>0</v>
      </c>
      <c r="BJ113" s="1">
        <v>0</v>
      </c>
      <c r="BK113" s="1">
        <v>0</v>
      </c>
      <c r="BL113" s="1">
        <v>0</v>
      </c>
      <c r="BM113" s="1">
        <v>0</v>
      </c>
      <c r="BN113" s="1">
        <v>1</v>
      </c>
      <c r="BO113" s="1">
        <v>0</v>
      </c>
      <c r="BP113" s="1">
        <v>0</v>
      </c>
    </row>
    <row r="114" spans="1:68" x14ac:dyDescent="0.25">
      <c r="A114" s="351"/>
      <c r="B114" s="118" t="s">
        <v>268</v>
      </c>
      <c r="C114" s="118"/>
      <c r="D114" s="118"/>
      <c r="E114" s="118"/>
      <c r="F114" s="118"/>
      <c r="G114" s="118"/>
      <c r="H114" s="118"/>
      <c r="I114" s="118"/>
      <c r="J114" s="118"/>
      <c r="K114" s="118"/>
      <c r="L114" s="118"/>
      <c r="M114" s="118"/>
      <c r="N114" s="118"/>
      <c r="O114" s="118"/>
      <c r="P114" s="118"/>
      <c r="Q114" s="118"/>
      <c r="R114" s="118"/>
      <c r="S114" s="118"/>
      <c r="T114" s="118"/>
      <c r="U114" s="118"/>
      <c r="V114" s="118"/>
      <c r="W114" s="118"/>
      <c r="X114" s="118"/>
      <c r="Y114" s="118"/>
      <c r="Z114" s="118"/>
      <c r="AA114" s="118"/>
      <c r="AB114" s="118"/>
      <c r="AC114" s="118"/>
      <c r="AD114" s="118"/>
      <c r="AE114" s="118"/>
      <c r="AF114" s="118"/>
      <c r="AG114" s="118"/>
      <c r="AH114" s="118"/>
      <c r="AI114" s="118"/>
      <c r="AJ114" s="118"/>
      <c r="AK114" s="118"/>
      <c r="AL114" s="118"/>
      <c r="AM114" s="118"/>
      <c r="AN114" s="118"/>
      <c r="AO114" s="118"/>
      <c r="AP114" s="118"/>
      <c r="AQ114" s="118"/>
      <c r="AR114" s="118"/>
      <c r="AS114" s="118"/>
      <c r="AT114" s="118"/>
      <c r="AU114" s="118"/>
      <c r="AV114" s="118"/>
      <c r="AW114" s="118"/>
      <c r="AX114" s="118"/>
      <c r="AY114" s="118"/>
      <c r="AZ114" s="118"/>
      <c r="BA114" s="118"/>
      <c r="BB114" s="118"/>
      <c r="BC114" s="118"/>
      <c r="BD114" s="118"/>
      <c r="BE114" s="118"/>
      <c r="BF114" s="118"/>
      <c r="BG114" s="118"/>
      <c r="BH114" s="118"/>
      <c r="BI114" s="118"/>
      <c r="BJ114" s="118"/>
      <c r="BK114" s="118"/>
      <c r="BL114" s="118"/>
      <c r="BM114" s="118"/>
      <c r="BN114" s="118"/>
      <c r="BO114" s="118"/>
      <c r="BP114" s="118"/>
    </row>
    <row r="115" spans="1:68" x14ac:dyDescent="0.25">
      <c r="A115" s="351"/>
      <c r="B115" s="138" t="s">
        <v>300</v>
      </c>
      <c r="AJ115" s="8">
        <v>1</v>
      </c>
      <c r="AK115" s="8">
        <v>0</v>
      </c>
      <c r="AL115" s="8">
        <v>1</v>
      </c>
      <c r="AM115" s="8">
        <v>1</v>
      </c>
      <c r="AN115" s="8">
        <v>0</v>
      </c>
      <c r="AO115" s="8">
        <v>0</v>
      </c>
      <c r="AP115" s="8">
        <v>0</v>
      </c>
      <c r="AQ115" s="8">
        <v>0</v>
      </c>
      <c r="AR115" s="8">
        <v>0</v>
      </c>
      <c r="AS115" s="8">
        <v>0</v>
      </c>
      <c r="AT115" s="8">
        <v>0</v>
      </c>
      <c r="AU115" s="8">
        <v>0</v>
      </c>
      <c r="AV115" s="8">
        <v>0</v>
      </c>
      <c r="AW115" s="1">
        <v>0</v>
      </c>
      <c r="AX115" s="1">
        <v>0</v>
      </c>
      <c r="AY115" s="1">
        <v>0</v>
      </c>
      <c r="AZ115" s="1">
        <v>0</v>
      </c>
      <c r="BA115" s="1">
        <v>0</v>
      </c>
      <c r="BB115" s="1">
        <v>0</v>
      </c>
      <c r="BC115" s="1">
        <v>0</v>
      </c>
      <c r="BD115" s="1">
        <v>0</v>
      </c>
      <c r="BE115" s="1">
        <v>0</v>
      </c>
      <c r="BF115" s="1">
        <v>0</v>
      </c>
      <c r="BG115" s="1">
        <v>1</v>
      </c>
      <c r="BH115" s="1">
        <v>0</v>
      </c>
      <c r="BI115" s="1">
        <v>0</v>
      </c>
      <c r="BJ115" s="1">
        <v>0</v>
      </c>
      <c r="BK115" s="1">
        <v>1</v>
      </c>
      <c r="BL115" s="1">
        <v>0</v>
      </c>
      <c r="BM115" s="1">
        <v>0</v>
      </c>
      <c r="BN115" s="1">
        <v>0</v>
      </c>
      <c r="BO115" s="1">
        <v>0</v>
      </c>
      <c r="BP115" s="1">
        <v>0</v>
      </c>
    </row>
  </sheetData>
  <mergeCells count="8">
    <mergeCell ref="A110:A111"/>
    <mergeCell ref="A112:A115"/>
    <mergeCell ref="A3:A23"/>
    <mergeCell ref="A24:A44"/>
    <mergeCell ref="A45:A65"/>
    <mergeCell ref="A66:A75"/>
    <mergeCell ref="A102:A105"/>
    <mergeCell ref="A106:A109"/>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T19"/>
  <sheetViews>
    <sheetView topLeftCell="A19" zoomScale="85" zoomScaleNormal="85" workbookViewId="0">
      <selection activeCell="A19" sqref="A19"/>
    </sheetView>
  </sheetViews>
  <sheetFormatPr defaultRowHeight="15" x14ac:dyDescent="0.25"/>
  <cols>
    <col min="1" max="1" width="16.85546875" customWidth="1"/>
    <col min="2" max="2" width="13.7109375" customWidth="1"/>
    <col min="3" max="3" width="13.7109375" style="1" customWidth="1"/>
    <col min="4" max="5" width="11.5703125" style="1" customWidth="1"/>
    <col min="6" max="6" width="14.140625" style="1" bestFit="1" customWidth="1"/>
    <col min="7" max="7" width="11.5703125" style="1" customWidth="1"/>
    <col min="8" max="8" width="10.85546875" customWidth="1"/>
    <col min="9" max="9" width="10.85546875" style="1" customWidth="1"/>
    <col min="10" max="10" width="21.5703125" style="1" bestFit="1" customWidth="1"/>
    <col min="11" max="11" width="38.28515625" customWidth="1"/>
    <col min="12" max="12" width="28.7109375" bestFit="1" customWidth="1"/>
    <col min="13" max="13" width="28.7109375" style="1" customWidth="1"/>
    <col min="14" max="14" width="19.7109375" bestFit="1" customWidth="1"/>
    <col min="15" max="15" width="35" bestFit="1" customWidth="1"/>
  </cols>
  <sheetData>
    <row r="1" spans="1:20" x14ac:dyDescent="0.25">
      <c r="A1" s="329" t="s">
        <v>339</v>
      </c>
      <c r="B1" s="329" t="s">
        <v>340</v>
      </c>
      <c r="C1" s="329" t="s">
        <v>363</v>
      </c>
      <c r="D1" s="329" t="s">
        <v>2</v>
      </c>
      <c r="E1" s="329" t="s">
        <v>0</v>
      </c>
      <c r="F1" s="329" t="s">
        <v>341</v>
      </c>
      <c r="G1" s="329" t="s">
        <v>342</v>
      </c>
      <c r="H1" s="329" t="s">
        <v>41</v>
      </c>
      <c r="I1" s="329" t="s">
        <v>351</v>
      </c>
      <c r="J1" s="329" t="s">
        <v>353</v>
      </c>
      <c r="K1" s="329" t="s">
        <v>344</v>
      </c>
      <c r="L1" s="329" t="s">
        <v>345</v>
      </c>
      <c r="M1" s="329" t="s">
        <v>357</v>
      </c>
      <c r="N1" s="329" t="s">
        <v>348</v>
      </c>
      <c r="O1" s="329" t="s">
        <v>349</v>
      </c>
    </row>
    <row r="2" spans="1:20" ht="165" x14ac:dyDescent="0.25">
      <c r="A2" s="304">
        <v>3695</v>
      </c>
      <c r="B2" s="305">
        <v>42310</v>
      </c>
      <c r="C2" s="305">
        <v>42310</v>
      </c>
      <c r="D2" s="304" t="str">
        <f>CHOOSE(MONTH(Spills[[#This Row],[Hazard Date]]),"Jan","Feb","Mar","Apr","May","Jun","Jul","Aug","Sept","Oct","Nov","Dec")</f>
        <v>Nov</v>
      </c>
      <c r="E2" s="306" t="str">
        <f>TEXT(Spills[[#This Row],[Hazard Date]],"YYYY")</f>
        <v>2015</v>
      </c>
      <c r="F2" s="290">
        <v>0.625</v>
      </c>
      <c r="G2" s="307">
        <v>0.81944444444444453</v>
      </c>
      <c r="H2" s="308" t="s">
        <v>123</v>
      </c>
      <c r="I2" s="304" t="s">
        <v>415</v>
      </c>
      <c r="J2" s="308" t="s">
        <v>416</v>
      </c>
      <c r="K2" s="309" t="s">
        <v>417</v>
      </c>
      <c r="L2" s="310" t="s">
        <v>418</v>
      </c>
      <c r="M2" s="310" t="s">
        <v>419</v>
      </c>
      <c r="N2" s="310" t="s">
        <v>420</v>
      </c>
      <c r="O2" s="310" t="s">
        <v>421</v>
      </c>
      <c r="S2" t="s">
        <v>66</v>
      </c>
      <c r="T2" s="30">
        <f t="array" ref="T2">COUNT(Spills[Hazard Number])/SUM(1/COUNTIF(Spills[Month],Spills[Month]))</f>
        <v>4.4999999999999991</v>
      </c>
    </row>
    <row r="3" spans="1:20" ht="105" x14ac:dyDescent="0.25">
      <c r="A3" s="304">
        <v>3729</v>
      </c>
      <c r="B3" s="305">
        <v>42315</v>
      </c>
      <c r="C3" s="305">
        <v>42315</v>
      </c>
      <c r="D3" s="304" t="str">
        <f>CHOOSE(MONTH(Spills[[#This Row],[Hazard Date]]),"Jan","Feb","Mar","Apr","May","Jun","Jul","Aug","Sept","Oct","Nov","Dec")</f>
        <v>Nov</v>
      </c>
      <c r="E3" s="306" t="str">
        <f>TEXT(Spills[[#This Row],[Hazard Date]],"YYYY")</f>
        <v>2015</v>
      </c>
      <c r="F3" s="305"/>
      <c r="G3" s="307">
        <v>0.64097222222222217</v>
      </c>
      <c r="H3" s="308" t="s">
        <v>123</v>
      </c>
      <c r="I3" s="304" t="s">
        <v>422</v>
      </c>
      <c r="J3" s="308" t="s">
        <v>423</v>
      </c>
      <c r="K3" s="309" t="s">
        <v>424</v>
      </c>
      <c r="L3" s="310" t="s">
        <v>425</v>
      </c>
      <c r="M3" s="310" t="s">
        <v>426</v>
      </c>
      <c r="N3" s="310" t="s">
        <v>347</v>
      </c>
      <c r="O3" s="310" t="s">
        <v>427</v>
      </c>
      <c r="S3" t="s">
        <v>43</v>
      </c>
      <c r="T3" s="30">
        <f t="array" ref="T3">COUNTIF(Spills[Province],"British Columbia")/SUM(1/COUNTIF(Spills[Month],Spills[Month]))</f>
        <v>1.4999999999999996</v>
      </c>
    </row>
    <row r="4" spans="1:20" ht="90" x14ac:dyDescent="0.25">
      <c r="A4" s="304">
        <v>3821</v>
      </c>
      <c r="B4" s="305">
        <v>42333</v>
      </c>
      <c r="C4" s="305">
        <v>42335</v>
      </c>
      <c r="D4" s="304" t="str">
        <f>CHOOSE(MONTH(Spills[[#This Row],[Hazard Date]]),"Jan","Feb","Mar","Apr","May","Jun","Jul","Aug","Sept","Oct","Nov","Dec")</f>
        <v>Nov</v>
      </c>
      <c r="E4" s="306" t="str">
        <f>TEXT(Spills[[#This Row],[Hazard Date]],"YYYY")</f>
        <v>2015</v>
      </c>
      <c r="F4" s="305"/>
      <c r="G4" s="305"/>
      <c r="H4" s="308" t="s">
        <v>123</v>
      </c>
      <c r="I4" s="304" t="s">
        <v>415</v>
      </c>
      <c r="J4" s="308" t="s">
        <v>416</v>
      </c>
      <c r="K4" s="309" t="s">
        <v>428</v>
      </c>
      <c r="L4" s="310" t="s">
        <v>346</v>
      </c>
      <c r="M4" s="310" t="s">
        <v>429</v>
      </c>
      <c r="N4" s="310" t="s">
        <v>420</v>
      </c>
      <c r="O4" s="310" t="s">
        <v>430</v>
      </c>
      <c r="S4" t="s">
        <v>42</v>
      </c>
      <c r="T4" s="30">
        <f t="array" ref="T4">COUNTIF(H2:H19,"Ontario")/SUM(1/COUNTIF(Spills[Month],Spills[Month]))</f>
        <v>2.9999999999999991</v>
      </c>
    </row>
    <row r="5" spans="1:20" ht="90" x14ac:dyDescent="0.25">
      <c r="A5" s="304">
        <v>3783</v>
      </c>
      <c r="B5" s="305">
        <v>42333</v>
      </c>
      <c r="C5" s="305">
        <v>42333</v>
      </c>
      <c r="D5" s="304" t="str">
        <f>CHOOSE(MONTH(Spills[[#This Row],[Hazard Date]]),"Jan","Feb","Mar","Apr","May","Jun","Jul","Aug","Sept","Oct","Nov","Dec")</f>
        <v>Nov</v>
      </c>
      <c r="E5" s="306" t="str">
        <f>TEXT(Spills[[#This Row],[Hazard Date]],"YYYY")</f>
        <v>2015</v>
      </c>
      <c r="F5" s="307">
        <v>0.48958333333333331</v>
      </c>
      <c r="G5" s="307">
        <v>0.54305555555555551</v>
      </c>
      <c r="H5" s="308" t="s">
        <v>122</v>
      </c>
      <c r="I5" s="304" t="s">
        <v>352</v>
      </c>
      <c r="J5" s="308" t="s">
        <v>354</v>
      </c>
      <c r="K5" s="309" t="s">
        <v>431</v>
      </c>
      <c r="L5" s="310" t="s">
        <v>356</v>
      </c>
      <c r="M5" s="310" t="s">
        <v>432</v>
      </c>
      <c r="N5" s="310" t="s">
        <v>347</v>
      </c>
      <c r="O5" s="310" t="s">
        <v>433</v>
      </c>
    </row>
    <row r="6" spans="1:20" ht="360" x14ac:dyDescent="0.25">
      <c r="A6" s="304">
        <v>3787</v>
      </c>
      <c r="B6" s="305">
        <v>42338</v>
      </c>
      <c r="C6" s="305">
        <v>42338</v>
      </c>
      <c r="D6" s="304" t="str">
        <f>CHOOSE(MONTH(Spills[[#This Row],[Hazard Date]]),"Jan","Feb","Mar","Apr","May","Jun","Jul","Aug","Sept","Oct","Nov","Dec")</f>
        <v>Nov</v>
      </c>
      <c r="E6" s="306" t="str">
        <f>TEXT(Spills[[#This Row],[Hazard Date]],"YYYY")</f>
        <v>2015</v>
      </c>
      <c r="F6" s="307">
        <v>0.66319444444444442</v>
      </c>
      <c r="G6" s="307">
        <v>0.68680555555555556</v>
      </c>
      <c r="H6" s="308" t="s">
        <v>123</v>
      </c>
      <c r="I6" s="304" t="s">
        <v>415</v>
      </c>
      <c r="J6" s="308" t="s">
        <v>416</v>
      </c>
      <c r="K6" s="309" t="s">
        <v>434</v>
      </c>
      <c r="L6" s="310" t="s">
        <v>356</v>
      </c>
      <c r="M6" s="310" t="s">
        <v>435</v>
      </c>
      <c r="N6" s="310" t="s">
        <v>347</v>
      </c>
      <c r="O6" s="310" t="s">
        <v>436</v>
      </c>
    </row>
    <row r="7" spans="1:20" ht="180" x14ac:dyDescent="0.25">
      <c r="A7" s="288">
        <v>3878</v>
      </c>
      <c r="B7" s="289">
        <v>42362</v>
      </c>
      <c r="C7" s="289">
        <v>42362</v>
      </c>
      <c r="D7" s="315" t="str">
        <f>CHOOSE(MONTH(Spills[[#This Row],[Hazard Date]]),"Jan","Feb","Mar","Apr","May","Jun","Jul","Aug","Sept","Oct","Nov","Dec")</f>
        <v>Dec</v>
      </c>
      <c r="E7" s="306" t="str">
        <f>TEXT(Spills[[#This Row],[Hazard Date]],"YYYY")</f>
        <v>2015</v>
      </c>
      <c r="F7" s="290">
        <v>0.36805555555555558</v>
      </c>
      <c r="G7" s="290">
        <v>0.61805555555555558</v>
      </c>
      <c r="H7" s="293" t="s">
        <v>122</v>
      </c>
      <c r="I7" s="288" t="s">
        <v>352</v>
      </c>
      <c r="J7" s="293" t="s">
        <v>354</v>
      </c>
      <c r="K7" s="69" t="s">
        <v>343</v>
      </c>
      <c r="L7" s="291" t="s">
        <v>346</v>
      </c>
      <c r="M7" s="291"/>
      <c r="N7" s="291" t="s">
        <v>347</v>
      </c>
      <c r="O7" s="292" t="s">
        <v>350</v>
      </c>
    </row>
    <row r="8" spans="1:20" ht="90" x14ac:dyDescent="0.25">
      <c r="A8" s="288">
        <v>3854</v>
      </c>
      <c r="B8" s="289">
        <v>42361</v>
      </c>
      <c r="C8" s="289">
        <v>42361</v>
      </c>
      <c r="D8" s="315" t="str">
        <f>CHOOSE(MONTH(Spills[[#This Row],[Hazard Date]]),"Jan","Feb","Mar","Apr","May","Jun","Jul","Aug","Sept","Oct","Nov","Dec")</f>
        <v>Dec</v>
      </c>
      <c r="E8" s="306" t="str">
        <f>TEXT(Spills[[#This Row],[Hazard Date]],"YYYY")</f>
        <v>2015</v>
      </c>
      <c r="F8" s="289"/>
      <c r="G8" s="290">
        <v>0.375</v>
      </c>
      <c r="H8" s="293" t="s">
        <v>122</v>
      </c>
      <c r="I8" s="288" t="s">
        <v>360</v>
      </c>
      <c r="J8" s="293" t="s">
        <v>361</v>
      </c>
      <c r="K8" s="69" t="s">
        <v>355</v>
      </c>
      <c r="L8" s="291" t="s">
        <v>356</v>
      </c>
      <c r="M8" s="291" t="s">
        <v>358</v>
      </c>
      <c r="N8" s="291" t="s">
        <v>347</v>
      </c>
      <c r="O8" s="291" t="s">
        <v>359</v>
      </c>
    </row>
    <row r="9" spans="1:20" ht="30" x14ac:dyDescent="0.25">
      <c r="A9" s="288">
        <v>3818</v>
      </c>
      <c r="B9" s="289">
        <v>42349</v>
      </c>
      <c r="C9" s="289">
        <v>42349</v>
      </c>
      <c r="D9" s="315" t="str">
        <f>CHOOSE(MONTH(Spills[[#This Row],[Hazard Date]]),"Jan","Feb","Mar","Apr","May","Jun","Jul","Aug","Sept","Oct","Nov","Dec")</f>
        <v>Dec</v>
      </c>
      <c r="E9" s="306" t="str">
        <f>TEXT(Spills[[#This Row],[Hazard Date]],"YYYY")</f>
        <v>2015</v>
      </c>
      <c r="F9" s="290">
        <v>0.33333333333333331</v>
      </c>
      <c r="G9" s="290">
        <v>0.37986111111111115</v>
      </c>
      <c r="H9" s="293" t="s">
        <v>122</v>
      </c>
      <c r="I9" s="288" t="s">
        <v>360</v>
      </c>
      <c r="J9" s="293" t="s">
        <v>362</v>
      </c>
      <c r="K9" s="69" t="s">
        <v>364</v>
      </c>
      <c r="L9" s="291" t="s">
        <v>356</v>
      </c>
      <c r="M9" s="291" t="s">
        <v>365</v>
      </c>
      <c r="N9" s="291" t="s">
        <v>347</v>
      </c>
      <c r="O9" s="291" t="s">
        <v>366</v>
      </c>
    </row>
    <row r="10" spans="1:20" ht="165" x14ac:dyDescent="0.25">
      <c r="A10" s="288">
        <v>3946</v>
      </c>
      <c r="B10" s="289">
        <v>42391</v>
      </c>
      <c r="C10" s="289">
        <v>42391</v>
      </c>
      <c r="D10" s="315" t="str">
        <f>CHOOSE(MONTH(Spills[[#This Row],[Hazard Date]]),"Jan","Feb","Mar","Apr","May","Jun","Jul","Aug","Sept","Oct","Nov","Dec")</f>
        <v>Jan</v>
      </c>
      <c r="E10" s="316" t="str">
        <f>TEXT(Spills[[#This Row],[Hazard Date]],"YYYY")</f>
        <v>2016</v>
      </c>
      <c r="F10" s="290">
        <v>0.58333333333333337</v>
      </c>
      <c r="G10" s="290">
        <v>0.61736111111111114</v>
      </c>
      <c r="H10" s="293" t="s">
        <v>122</v>
      </c>
      <c r="I10" s="288" t="s">
        <v>352</v>
      </c>
      <c r="J10" s="293" t="s">
        <v>354</v>
      </c>
      <c r="K10" s="69" t="s">
        <v>442</v>
      </c>
      <c r="L10" s="292" t="s">
        <v>418</v>
      </c>
      <c r="M10" s="292" t="s">
        <v>443</v>
      </c>
      <c r="N10" s="292" t="s">
        <v>444</v>
      </c>
      <c r="O10" s="292" t="s">
        <v>445</v>
      </c>
    </row>
    <row r="11" spans="1:20" ht="105" x14ac:dyDescent="0.25">
      <c r="A11" s="288">
        <v>3951</v>
      </c>
      <c r="B11" s="289">
        <v>42390</v>
      </c>
      <c r="C11" s="289">
        <v>42391</v>
      </c>
      <c r="D11" s="315" t="str">
        <f>CHOOSE(MONTH(Spills[[#This Row],[Hazard Date]]),"Jan","Feb","Mar","Apr","May","Jun","Jul","Aug","Sept","Oct","Nov","Dec")</f>
        <v>Jan</v>
      </c>
      <c r="E11" s="316" t="str">
        <f>TEXT(Spills[[#This Row],[Hazard Date]],"YYYY")</f>
        <v>2016</v>
      </c>
      <c r="F11" s="289"/>
      <c r="G11" s="290">
        <v>0.60972222222222217</v>
      </c>
      <c r="H11" s="293" t="s">
        <v>122</v>
      </c>
      <c r="I11" s="288" t="s">
        <v>373</v>
      </c>
      <c r="J11" s="293" t="s">
        <v>374</v>
      </c>
      <c r="K11" s="69" t="s">
        <v>449</v>
      </c>
      <c r="L11" s="292" t="s">
        <v>425</v>
      </c>
      <c r="M11" s="292" t="s">
        <v>446</v>
      </c>
      <c r="N11" s="292" t="s">
        <v>447</v>
      </c>
      <c r="O11" s="292" t="s">
        <v>448</v>
      </c>
    </row>
    <row r="12" spans="1:20" ht="240" x14ac:dyDescent="0.25">
      <c r="A12" s="288">
        <v>3915</v>
      </c>
      <c r="B12" s="289">
        <v>42387</v>
      </c>
      <c r="C12" s="289">
        <v>42387</v>
      </c>
      <c r="D12" s="315" t="str">
        <f>CHOOSE(MONTH(Spills[[#This Row],[Hazard Date]]),"Jan","Feb","Mar","Apr","May","Jun","Jul","Aug","Sept","Oct","Nov","Dec")</f>
        <v>Jan</v>
      </c>
      <c r="E12" s="316" t="str">
        <f>TEXT(Spills[[#This Row],[Hazard Date]],"YYYY")</f>
        <v>2016</v>
      </c>
      <c r="F12" s="290">
        <v>0.58333333333333337</v>
      </c>
      <c r="G12" s="290">
        <v>0.59930555555555554</v>
      </c>
      <c r="H12" s="293" t="s">
        <v>122</v>
      </c>
      <c r="I12" s="288" t="s">
        <v>352</v>
      </c>
      <c r="J12" s="293" t="s">
        <v>354</v>
      </c>
      <c r="K12" s="69" t="s">
        <v>450</v>
      </c>
      <c r="L12" s="292" t="s">
        <v>346</v>
      </c>
      <c r="M12" s="292" t="s">
        <v>451</v>
      </c>
      <c r="N12" s="292" t="s">
        <v>347</v>
      </c>
      <c r="O12" s="292" t="s">
        <v>452</v>
      </c>
    </row>
    <row r="13" spans="1:20" ht="45" x14ac:dyDescent="0.25">
      <c r="A13" s="288">
        <v>3934</v>
      </c>
      <c r="B13" s="289">
        <v>42384</v>
      </c>
      <c r="C13" s="289">
        <v>42387</v>
      </c>
      <c r="D13" s="315" t="str">
        <f>CHOOSE(MONTH(Spills[[#This Row],[Hazard Date]]),"Jan","Feb","Mar","Apr","May","Jun","Jul","Aug","Sept","Oct","Nov","Dec")</f>
        <v>Jan</v>
      </c>
      <c r="E13" s="316" t="str">
        <f>TEXT(Spills[[#This Row],[Hazard Date]],"YYYY")</f>
        <v>2016</v>
      </c>
      <c r="F13" s="290">
        <v>0.5</v>
      </c>
      <c r="G13" s="290">
        <v>0.70416666666666661</v>
      </c>
      <c r="H13" s="293" t="s">
        <v>122</v>
      </c>
      <c r="I13" s="288" t="s">
        <v>360</v>
      </c>
      <c r="J13" s="293" t="s">
        <v>362</v>
      </c>
      <c r="K13" s="69" t="s">
        <v>453</v>
      </c>
      <c r="L13" s="292" t="s">
        <v>454</v>
      </c>
      <c r="M13" s="292" t="s">
        <v>455</v>
      </c>
      <c r="N13" s="292" t="s">
        <v>444</v>
      </c>
      <c r="O13" s="292" t="s">
        <v>456</v>
      </c>
    </row>
    <row r="14" spans="1:20" ht="75" x14ac:dyDescent="0.25">
      <c r="A14" s="288">
        <v>3917</v>
      </c>
      <c r="B14" s="289">
        <v>42378</v>
      </c>
      <c r="C14" s="289">
        <v>42378</v>
      </c>
      <c r="D14" s="315" t="str">
        <f>CHOOSE(MONTH(Spills[[#This Row],[Hazard Date]]),"Jan","Feb","Mar","Apr","May","Jun","Jul","Aug","Sept","Oct","Nov","Dec")</f>
        <v>Jan</v>
      </c>
      <c r="E14" s="316" t="str">
        <f>TEXT(Spills[[#This Row],[Hazard Date]],"YYYY")</f>
        <v>2016</v>
      </c>
      <c r="F14" s="289"/>
      <c r="G14" s="290">
        <v>0.70416666666666661</v>
      </c>
      <c r="H14" s="293" t="s">
        <v>123</v>
      </c>
      <c r="I14" s="288" t="s">
        <v>457</v>
      </c>
      <c r="J14" s="293" t="s">
        <v>458</v>
      </c>
      <c r="K14" s="69" t="s">
        <v>459</v>
      </c>
      <c r="L14" s="292" t="s">
        <v>356</v>
      </c>
      <c r="M14" s="292" t="s">
        <v>460</v>
      </c>
      <c r="N14" s="292" t="s">
        <v>462</v>
      </c>
      <c r="O14" s="292" t="s">
        <v>461</v>
      </c>
    </row>
    <row r="15" spans="1:20" ht="90" x14ac:dyDescent="0.25">
      <c r="A15" s="288">
        <v>3955</v>
      </c>
      <c r="B15" s="289">
        <v>42401</v>
      </c>
      <c r="C15" s="289">
        <v>42401</v>
      </c>
      <c r="D15" s="315" t="str">
        <f>CHOOSE(MONTH(Spills[[#This Row],[Hazard Date]]),"Jan","Feb","Mar","Apr","May","Jun","Jul","Aug","Sept","Oct","Nov","Dec")</f>
        <v>Feb</v>
      </c>
      <c r="E15" s="316" t="str">
        <f>TEXT(Spills[[#This Row],[Hazard Date]],"YYYY")</f>
        <v>2016</v>
      </c>
      <c r="F15" s="290">
        <v>0.39583333333333331</v>
      </c>
      <c r="G15" s="290">
        <v>0.92361111111111116</v>
      </c>
      <c r="H15" s="293" t="s">
        <v>123</v>
      </c>
      <c r="I15" s="288" t="s">
        <v>422</v>
      </c>
      <c r="J15" s="293" t="s">
        <v>469</v>
      </c>
      <c r="K15" s="69" t="s">
        <v>470</v>
      </c>
      <c r="L15" s="292" t="s">
        <v>425</v>
      </c>
      <c r="M15" s="292" t="s">
        <v>471</v>
      </c>
      <c r="N15" s="292" t="s">
        <v>347</v>
      </c>
      <c r="O15" s="292" t="s">
        <v>472</v>
      </c>
    </row>
    <row r="16" spans="1:20" ht="90" x14ac:dyDescent="0.25">
      <c r="A16" s="288">
        <v>3967</v>
      </c>
      <c r="B16" s="289">
        <v>42403</v>
      </c>
      <c r="C16" s="289">
        <v>42403</v>
      </c>
      <c r="D16" s="315" t="str">
        <f>CHOOSE(MONTH(Spills[[#This Row],[Hazard Date]]),"Jan","Feb","Mar","Apr","May","Jun","Jul","Aug","Sept","Oct","Nov","Dec")</f>
        <v>Feb</v>
      </c>
      <c r="E16" s="316" t="str">
        <f>TEXT(Spills[[#This Row],[Hazard Date]],"YYYY")</f>
        <v>2016</v>
      </c>
      <c r="F16" s="290">
        <v>0.45833333333333331</v>
      </c>
      <c r="G16" s="290">
        <v>0.63124999999999998</v>
      </c>
      <c r="H16" s="293" t="s">
        <v>122</v>
      </c>
      <c r="I16" s="288" t="s">
        <v>474</v>
      </c>
      <c r="J16" s="293" t="s">
        <v>475</v>
      </c>
      <c r="K16" s="69" t="s">
        <v>473</v>
      </c>
      <c r="L16" s="292" t="s">
        <v>476</v>
      </c>
      <c r="M16" s="292" t="s">
        <v>481</v>
      </c>
      <c r="N16" s="292" t="s">
        <v>347</v>
      </c>
      <c r="O16" s="292" t="s">
        <v>477</v>
      </c>
    </row>
    <row r="17" spans="1:15" ht="195" x14ac:dyDescent="0.25">
      <c r="A17" s="288">
        <v>3964</v>
      </c>
      <c r="B17" s="289">
        <v>42403</v>
      </c>
      <c r="C17" s="289">
        <v>42403</v>
      </c>
      <c r="D17" s="315" t="str">
        <f>CHOOSE(MONTH(Spills[[#This Row],[Hazard Date]]),"Jan","Feb","Mar","Apr","May","Jun","Jul","Aug","Sept","Oct","Nov","Dec")</f>
        <v>Feb</v>
      </c>
      <c r="E17" s="316" t="str">
        <f>TEXT(Spills[[#This Row],[Hazard Date]],"YYYY")</f>
        <v>2016</v>
      </c>
      <c r="F17" s="290">
        <v>0.70833333333333337</v>
      </c>
      <c r="G17" s="290">
        <v>0.72291666666666676</v>
      </c>
      <c r="H17" s="293" t="s">
        <v>122</v>
      </c>
      <c r="I17" s="288" t="s">
        <v>27</v>
      </c>
      <c r="J17" s="293"/>
      <c r="K17" s="69" t="s">
        <v>478</v>
      </c>
      <c r="L17" s="292" t="s">
        <v>479</v>
      </c>
      <c r="M17" s="292" t="s">
        <v>480</v>
      </c>
      <c r="N17" s="292" t="s">
        <v>482</v>
      </c>
      <c r="O17" s="292" t="s">
        <v>483</v>
      </c>
    </row>
    <row r="18" spans="1:15" ht="165" x14ac:dyDescent="0.25">
      <c r="A18" s="288">
        <v>4003</v>
      </c>
      <c r="B18" s="289">
        <v>42417</v>
      </c>
      <c r="C18" s="289">
        <v>42417</v>
      </c>
      <c r="D18" s="315" t="str">
        <f>CHOOSE(MONTH(Spills[[#This Row],[Hazard Date]]),"Jan","Feb","Mar","Apr","May","Jun","Jul","Aug","Sept","Oct","Nov","Dec")</f>
        <v>Feb</v>
      </c>
      <c r="E18" s="316" t="str">
        <f>TEXT(Spills[[#This Row],[Hazard Date]],"YYYY")</f>
        <v>2016</v>
      </c>
      <c r="F18" s="290">
        <v>0.35416666666666669</v>
      </c>
      <c r="G18" s="290">
        <v>0.40138888888888885</v>
      </c>
      <c r="H18" s="293" t="s">
        <v>122</v>
      </c>
      <c r="I18" s="288" t="s">
        <v>484</v>
      </c>
      <c r="J18" s="293" t="s">
        <v>485</v>
      </c>
      <c r="K18" s="69" t="s">
        <v>486</v>
      </c>
      <c r="L18" s="292" t="s">
        <v>425</v>
      </c>
      <c r="M18" s="292" t="s">
        <v>487</v>
      </c>
      <c r="N18" s="292" t="s">
        <v>482</v>
      </c>
      <c r="O18" s="292" t="s">
        <v>488</v>
      </c>
    </row>
    <row r="19" spans="1:15" ht="90" x14ac:dyDescent="0.25">
      <c r="A19" s="288">
        <v>4011</v>
      </c>
      <c r="B19" s="289">
        <v>42418</v>
      </c>
      <c r="C19" s="289">
        <v>42418</v>
      </c>
      <c r="D19" s="315" t="str">
        <f>CHOOSE(MONTH(Spills[[#This Row],[Hazard Date]]),"Jan","Feb","Mar","Apr","May","Jun","Jul","Aug","Sept","Oct","Nov","Dec")</f>
        <v>Feb</v>
      </c>
      <c r="E19" s="316" t="str">
        <f>TEXT(Spills[[#This Row],[Hazard Date]],"YYYY")</f>
        <v>2016</v>
      </c>
      <c r="F19" s="290">
        <v>0.6777777777777777</v>
      </c>
      <c r="G19" s="290">
        <v>0.17777777777777778</v>
      </c>
      <c r="H19" s="293" t="s">
        <v>122</v>
      </c>
      <c r="I19" s="288" t="s">
        <v>474</v>
      </c>
      <c r="J19" s="293"/>
      <c r="K19" s="69" t="s">
        <v>489</v>
      </c>
      <c r="L19" s="292" t="s">
        <v>356</v>
      </c>
      <c r="M19" s="292" t="s">
        <v>490</v>
      </c>
      <c r="N19" s="292" t="s">
        <v>491</v>
      </c>
      <c r="O19" s="292" t="s">
        <v>492</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D13"/>
  <sheetViews>
    <sheetView zoomScale="115" zoomScaleNormal="115" workbookViewId="0">
      <selection activeCell="L29" sqref="L29"/>
    </sheetView>
  </sheetViews>
  <sheetFormatPr defaultRowHeight="15" x14ac:dyDescent="0.25"/>
  <cols>
    <col min="1" max="1" width="23.140625" customWidth="1"/>
    <col min="2" max="2" width="7.85546875" bestFit="1" customWidth="1"/>
    <col min="3" max="3" width="15.7109375" bestFit="1" customWidth="1"/>
    <col min="4" max="4" width="11.28515625" customWidth="1"/>
  </cols>
  <sheetData>
    <row r="2" spans="1:4" x14ac:dyDescent="0.25">
      <c r="A2" s="72" t="s">
        <v>351</v>
      </c>
      <c r="B2" s="1" t="s">
        <v>121</v>
      </c>
    </row>
    <row r="3" spans="1:4" x14ac:dyDescent="0.25">
      <c r="A3" s="72" t="s">
        <v>348</v>
      </c>
      <c r="B3" s="1" t="s">
        <v>121</v>
      </c>
    </row>
    <row r="4" spans="1:4" x14ac:dyDescent="0.25">
      <c r="A4" s="72" t="s">
        <v>0</v>
      </c>
      <c r="B4" s="1" t="s">
        <v>121</v>
      </c>
    </row>
    <row r="5" spans="1:4" x14ac:dyDescent="0.25">
      <c r="A5" s="72" t="s">
        <v>345</v>
      </c>
      <c r="B5" s="1" t="s">
        <v>121</v>
      </c>
    </row>
    <row r="7" spans="1:4" x14ac:dyDescent="0.25">
      <c r="A7" s="72" t="s">
        <v>367</v>
      </c>
    </row>
    <row r="8" spans="1:4" x14ac:dyDescent="0.25">
      <c r="B8" s="1" t="s">
        <v>122</v>
      </c>
      <c r="C8" s="1" t="s">
        <v>123</v>
      </c>
      <c r="D8" s="1" t="s">
        <v>53</v>
      </c>
    </row>
    <row r="9" spans="1:4" x14ac:dyDescent="0.25">
      <c r="A9" s="108" t="s">
        <v>255</v>
      </c>
      <c r="B9" s="47">
        <v>1</v>
      </c>
      <c r="C9" s="47">
        <v>4</v>
      </c>
      <c r="D9" s="47">
        <v>5</v>
      </c>
    </row>
    <row r="10" spans="1:4" x14ac:dyDescent="0.25">
      <c r="A10" s="108" t="s">
        <v>256</v>
      </c>
      <c r="B10" s="47">
        <v>3</v>
      </c>
      <c r="C10" s="47"/>
      <c r="D10" s="47">
        <v>3</v>
      </c>
    </row>
    <row r="11" spans="1:4" x14ac:dyDescent="0.25">
      <c r="A11" s="108" t="s">
        <v>245</v>
      </c>
      <c r="B11" s="47">
        <v>4</v>
      </c>
      <c r="C11" s="47">
        <v>1</v>
      </c>
      <c r="D11" s="47">
        <v>5</v>
      </c>
    </row>
    <row r="12" spans="1:4" x14ac:dyDescent="0.25">
      <c r="A12" s="108" t="s">
        <v>246</v>
      </c>
      <c r="B12" s="47">
        <v>4</v>
      </c>
      <c r="C12" s="47">
        <v>1</v>
      </c>
      <c r="D12" s="47">
        <v>5</v>
      </c>
    </row>
    <row r="13" spans="1:4" x14ac:dyDescent="0.25">
      <c r="A13" s="108" t="s">
        <v>53</v>
      </c>
      <c r="B13" s="47">
        <v>12</v>
      </c>
      <c r="C13" s="47">
        <v>6</v>
      </c>
      <c r="D13" s="47">
        <v>18</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V16"/>
  <sheetViews>
    <sheetView showGridLines="0" tabSelected="1" topLeftCell="H4" zoomScale="85" zoomScaleNormal="85" workbookViewId="0">
      <selection activeCell="Y9" sqref="Y9"/>
    </sheetView>
  </sheetViews>
  <sheetFormatPr defaultRowHeight="15" x14ac:dyDescent="0.25"/>
  <cols>
    <col min="1" max="1" width="9.85546875" bestFit="1" customWidth="1"/>
    <col min="2" max="2" width="19.140625" bestFit="1" customWidth="1"/>
    <col min="3" max="3" width="15.42578125" bestFit="1" customWidth="1"/>
    <col min="4" max="4" width="23" bestFit="1" customWidth="1"/>
    <col min="5" max="5" width="55.5703125" customWidth="1"/>
    <col min="6" max="6" width="42.140625" bestFit="1" customWidth="1"/>
    <col min="7" max="7" width="36.7109375" customWidth="1"/>
    <col min="8" max="8" width="31" customWidth="1"/>
    <col min="10" max="13" width="9.140625" style="1"/>
    <col min="15" max="15" width="11" customWidth="1"/>
    <col min="16" max="16" width="13.42578125" customWidth="1"/>
    <col min="17" max="20" width="11" customWidth="1"/>
    <col min="21" max="21" width="14.28515625" hidden="1" customWidth="1"/>
  </cols>
  <sheetData>
    <row r="1" spans="1:22" ht="25.5" x14ac:dyDescent="0.35">
      <c r="A1" s="358" t="s">
        <v>368</v>
      </c>
      <c r="B1" s="359"/>
      <c r="C1" s="359"/>
      <c r="D1" s="359"/>
      <c r="E1" s="359"/>
      <c r="F1" s="359"/>
      <c r="G1" s="359"/>
      <c r="H1" s="359"/>
    </row>
    <row r="2" spans="1:22" x14ac:dyDescent="0.25">
      <c r="A2" s="294" t="s">
        <v>40</v>
      </c>
      <c r="B2" s="294" t="s">
        <v>353</v>
      </c>
      <c r="C2" s="294" t="s">
        <v>119</v>
      </c>
      <c r="D2" s="294" t="s">
        <v>369</v>
      </c>
      <c r="E2" s="294" t="s">
        <v>345</v>
      </c>
      <c r="F2" s="294" t="s">
        <v>370</v>
      </c>
      <c r="G2" s="294" t="s">
        <v>371</v>
      </c>
      <c r="H2" s="295" t="s">
        <v>372</v>
      </c>
    </row>
    <row r="3" spans="1:22" ht="85.5" x14ac:dyDescent="0.25">
      <c r="A3" s="296" t="s">
        <v>373</v>
      </c>
      <c r="B3" s="296" t="s">
        <v>374</v>
      </c>
      <c r="C3" s="296" t="s">
        <v>375</v>
      </c>
      <c r="D3" s="297" t="s">
        <v>376</v>
      </c>
      <c r="E3" s="302" t="s">
        <v>377</v>
      </c>
      <c r="F3" s="302" t="s">
        <v>378</v>
      </c>
      <c r="G3" s="302" t="s">
        <v>379</v>
      </c>
      <c r="H3" s="302" t="s">
        <v>380</v>
      </c>
      <c r="P3" s="287" t="s">
        <v>334</v>
      </c>
      <c r="Q3" s="314">
        <f>COUNTIFS($C:$C,"*Jan*",$D:$D,"*Yes*")</f>
        <v>0</v>
      </c>
    </row>
    <row r="4" spans="1:22" ht="71.25" x14ac:dyDescent="0.25">
      <c r="A4" s="311" t="s">
        <v>373</v>
      </c>
      <c r="B4" s="311" t="s">
        <v>374</v>
      </c>
      <c r="C4" s="311" t="s">
        <v>381</v>
      </c>
      <c r="D4" s="312" t="s">
        <v>376</v>
      </c>
      <c r="E4" s="313" t="s">
        <v>382</v>
      </c>
      <c r="F4" s="313" t="s">
        <v>378</v>
      </c>
      <c r="G4" s="313" t="s">
        <v>379</v>
      </c>
      <c r="H4" s="313" t="s">
        <v>383</v>
      </c>
    </row>
    <row r="5" spans="1:22" ht="42.75" x14ac:dyDescent="0.25">
      <c r="A5" s="296" t="s">
        <v>373</v>
      </c>
      <c r="B5" s="296" t="s">
        <v>384</v>
      </c>
      <c r="C5" s="296" t="s">
        <v>385</v>
      </c>
      <c r="D5" s="299" t="s">
        <v>386</v>
      </c>
      <c r="E5" s="302" t="s">
        <v>387</v>
      </c>
      <c r="F5" s="302"/>
      <c r="G5" s="302"/>
      <c r="H5" s="302"/>
    </row>
    <row r="6" spans="1:22" ht="42.75" x14ac:dyDescent="0.25">
      <c r="A6" s="296" t="s">
        <v>352</v>
      </c>
      <c r="B6" s="296" t="s">
        <v>354</v>
      </c>
      <c r="C6" s="300" t="s">
        <v>464</v>
      </c>
      <c r="D6" s="301" t="s">
        <v>388</v>
      </c>
      <c r="E6" s="302" t="s">
        <v>389</v>
      </c>
      <c r="F6" s="303" t="s">
        <v>390</v>
      </c>
      <c r="G6" s="302" t="s">
        <v>391</v>
      </c>
      <c r="H6" s="303"/>
      <c r="O6" s="317" t="s">
        <v>40</v>
      </c>
      <c r="P6" s="317" t="s">
        <v>463</v>
      </c>
      <c r="Q6" s="317" t="s">
        <v>254</v>
      </c>
      <c r="R6" s="317" t="s">
        <v>255</v>
      </c>
      <c r="S6" s="317" t="s">
        <v>256</v>
      </c>
      <c r="T6" s="318" t="s">
        <v>245</v>
      </c>
      <c r="U6" s="318" t="s">
        <v>466</v>
      </c>
      <c r="V6" s="318" t="s">
        <v>246</v>
      </c>
    </row>
    <row r="7" spans="1:22" ht="54" customHeight="1" x14ac:dyDescent="0.25">
      <c r="A7" s="296" t="s">
        <v>373</v>
      </c>
      <c r="B7" s="296" t="s">
        <v>384</v>
      </c>
      <c r="C7" s="296" t="s">
        <v>392</v>
      </c>
      <c r="D7" s="299" t="s">
        <v>386</v>
      </c>
      <c r="E7" s="302"/>
      <c r="F7" s="302"/>
      <c r="G7" s="302"/>
      <c r="H7" s="302"/>
      <c r="O7" s="321" t="s">
        <v>373</v>
      </c>
      <c r="P7" s="322" t="s">
        <v>369</v>
      </c>
      <c r="Q7" s="323">
        <f>COUNTIFS($A:$A,"*Sudbury*",$C:$C, "*Oct*",$D:$D,"*yes*")</f>
        <v>1</v>
      </c>
      <c r="R7" s="323">
        <f>COUNTIFS($A:$A,"*Sudbury*",$C:$C, "*Nov*",$D:$D,"*yes*")</f>
        <v>0</v>
      </c>
      <c r="S7" s="323">
        <f>COUNTIFS($A:$A,"*Sudbury*",$C:$C, "*Dec*",$D:$D,"*yes*")</f>
        <v>1</v>
      </c>
      <c r="T7" s="319">
        <f>COUNTIFS($A:$A,"*Sudbury*",$C:$C, "*Jan*",$D:$D,"*yes*")</f>
        <v>0</v>
      </c>
      <c r="U7" s="319">
        <f t="shared" ref="U7" si="0">COUNTIFS($A:$A,"*Sudbury*",$C:$C, "*Jan*",$D:$D,"*yes*")</f>
        <v>0</v>
      </c>
      <c r="V7" s="319">
        <f>COUNTIFS($A:$A,"*Sudbury*",$C:$C, "*Feb*",$D:$D,"*yes*")</f>
        <v>0</v>
      </c>
    </row>
    <row r="8" spans="1:22" ht="48" customHeight="1" x14ac:dyDescent="0.25">
      <c r="A8" s="296" t="s">
        <v>373</v>
      </c>
      <c r="B8" s="296" t="s">
        <v>384</v>
      </c>
      <c r="C8" s="300" t="s">
        <v>393</v>
      </c>
      <c r="D8" s="296" t="s">
        <v>394</v>
      </c>
      <c r="E8" s="302" t="s">
        <v>395</v>
      </c>
      <c r="F8" s="303" t="s">
        <v>396</v>
      </c>
      <c r="G8" s="302" t="s">
        <v>397</v>
      </c>
      <c r="H8" s="302"/>
      <c r="O8" s="324" t="s">
        <v>373</v>
      </c>
      <c r="P8" s="325" t="s">
        <v>465</v>
      </c>
      <c r="Q8" s="326">
        <f>COUNTIFS($A:$A,"*Sudbury*",$C:$C, "*Oct*",$D:$D,"*no*")</f>
        <v>0</v>
      </c>
      <c r="R8" s="326">
        <f>COUNTIFS($A:$A,"*sudbury*",$C:$C, "*Nov*",$D:$D,"*no*")</f>
        <v>0</v>
      </c>
      <c r="S8" s="326">
        <f>COUNTIFS($A:$A,"*Sudbury*",$C:$C, "*Dec*",$D:$D,"*no*")</f>
        <v>5</v>
      </c>
      <c r="T8" s="327">
        <f>COUNTIFS($A:$A,"*sudbury*",$C:$C, "*Jan*",$D:$D,"*no*")</f>
        <v>3</v>
      </c>
      <c r="U8" s="327">
        <f t="shared" ref="U8" si="1">COUNTIFS($A:$A,"*sudbury*",$C:$C, "*Jan*",$D:$D,"*no*")</f>
        <v>3</v>
      </c>
      <c r="V8" s="327">
        <f>COUNTIFS($A:$A,"*sudbury*",$C:$C, "*Feb*",$D:$D,"*no*")</f>
        <v>0</v>
      </c>
    </row>
    <row r="9" spans="1:22" ht="46.5" customHeight="1" x14ac:dyDescent="0.25">
      <c r="A9" s="296" t="s">
        <v>373</v>
      </c>
      <c r="B9" s="296" t="s">
        <v>384</v>
      </c>
      <c r="C9" s="296" t="s">
        <v>398</v>
      </c>
      <c r="D9" s="296" t="s">
        <v>394</v>
      </c>
      <c r="E9" s="302" t="s">
        <v>399</v>
      </c>
      <c r="F9" s="69" t="s">
        <v>400</v>
      </c>
      <c r="G9" s="302" t="s">
        <v>401</v>
      </c>
      <c r="H9" s="302"/>
      <c r="O9" s="321" t="s">
        <v>352</v>
      </c>
      <c r="P9" s="322" t="s">
        <v>369</v>
      </c>
      <c r="Q9" s="323">
        <f t="shared" ref="Q9" si="2">COUNTIFS($A:$A,"*Ottawa*",$C:$C, "*Oct*",$D:$D,"*yes*")</f>
        <v>0</v>
      </c>
      <c r="R9" s="323">
        <f t="shared" ref="R9" si="3">COUNTIFS($A:$A,"*Ottawa*",$C:$C, "*Nov*",$D:$D,"*yes*")</f>
        <v>0</v>
      </c>
      <c r="S9" s="323">
        <f>COUNTIFS($A:$A,"*Ottawa*",$C:$C, "*Dec*",$D:$D,"*yes*")</f>
        <v>0</v>
      </c>
      <c r="T9" s="319">
        <f>COUNTIFS($A:$A,"*ottawa*",$C:$C, "*Jan*",$D:$D,"*yes*")</f>
        <v>0</v>
      </c>
      <c r="U9" s="319">
        <f t="shared" ref="U9" si="4">COUNTIFS($A:$A,"*ottawa*",$C:$C, "*Jan*",$D:$D,"*yes*")</f>
        <v>0</v>
      </c>
      <c r="V9" s="319">
        <f>COUNTIFS($A:$A,"*ottawa*",$C:$C, "*Feb*",$D:$D,"*yes*")</f>
        <v>0</v>
      </c>
    </row>
    <row r="10" spans="1:22" ht="45" customHeight="1" x14ac:dyDescent="0.25">
      <c r="A10" s="296" t="s">
        <v>373</v>
      </c>
      <c r="B10" s="296" t="s">
        <v>384</v>
      </c>
      <c r="C10" s="296" t="s">
        <v>402</v>
      </c>
      <c r="D10" s="296" t="s">
        <v>394</v>
      </c>
      <c r="E10" s="302" t="s">
        <v>403</v>
      </c>
      <c r="F10" s="302" t="s">
        <v>404</v>
      </c>
      <c r="G10" s="302" t="s">
        <v>405</v>
      </c>
      <c r="H10" s="302"/>
      <c r="O10" s="360" t="s">
        <v>352</v>
      </c>
      <c r="P10" s="361" t="s">
        <v>465</v>
      </c>
      <c r="Q10" s="328">
        <f>COUNTIFS($A:$A,"*Ottawa*",$C:$C, "*Oct*",$D:$D,"*no*")</f>
        <v>0</v>
      </c>
      <c r="R10" s="328">
        <f>COUNTIFS($A:$A,"*ottawa*",$C:$C, "*Nov*",$D:$D,"*no*")</f>
        <v>2</v>
      </c>
      <c r="S10" s="328">
        <f>COUNTIFS($A:$A,"*ottawa*",$C:$C, "*Dec*",$D:$D,"*no*")</f>
        <v>1</v>
      </c>
      <c r="T10" s="328">
        <f>COUNTIFS($A:$A,"*ottawa*",$C:$C, "*Jan*",$D:$D,"*no*")</f>
        <v>0</v>
      </c>
      <c r="U10" s="328">
        <f t="shared" ref="U10" si="5">COUNTIFS($A:$A,"*ottawa*",$C:$C, "*Jan*",$D:$D,"*no*")</f>
        <v>0</v>
      </c>
      <c r="V10" s="328">
        <f>COUNTIFS($A:$A,"*ottawa*",$C:$C, "*Feb*",$D:$D,"*no*")</f>
        <v>0</v>
      </c>
    </row>
    <row r="11" spans="1:22" ht="42.75" x14ac:dyDescent="0.25">
      <c r="A11" s="296" t="s">
        <v>373</v>
      </c>
      <c r="B11" s="296" t="s">
        <v>384</v>
      </c>
      <c r="C11" s="296" t="s">
        <v>393</v>
      </c>
      <c r="D11" s="296" t="s">
        <v>394</v>
      </c>
      <c r="E11" s="302" t="s">
        <v>406</v>
      </c>
      <c r="F11" s="302" t="s">
        <v>407</v>
      </c>
      <c r="G11" s="302" t="s">
        <v>408</v>
      </c>
      <c r="H11" s="302"/>
      <c r="O11" s="360" t="s">
        <v>415</v>
      </c>
      <c r="P11" s="301" t="s">
        <v>369</v>
      </c>
      <c r="Q11" s="296">
        <v>0</v>
      </c>
      <c r="R11" s="296">
        <v>0</v>
      </c>
      <c r="S11" s="296">
        <v>0</v>
      </c>
      <c r="T11" s="296">
        <v>0</v>
      </c>
      <c r="U11" s="296"/>
      <c r="V11" s="296">
        <v>1</v>
      </c>
    </row>
    <row r="12" spans="1:22" ht="99.75" x14ac:dyDescent="0.25">
      <c r="A12" s="296" t="s">
        <v>352</v>
      </c>
      <c r="B12" s="296" t="s">
        <v>354</v>
      </c>
      <c r="C12" s="296" t="s">
        <v>409</v>
      </c>
      <c r="D12" s="296" t="s">
        <v>394</v>
      </c>
      <c r="E12" s="302" t="s">
        <v>410</v>
      </c>
      <c r="F12" s="302" t="s">
        <v>411</v>
      </c>
      <c r="G12" s="302"/>
      <c r="H12" s="302"/>
    </row>
    <row r="13" spans="1:22" ht="42.75" x14ac:dyDescent="0.25">
      <c r="A13" s="296" t="s">
        <v>352</v>
      </c>
      <c r="B13" s="296" t="s">
        <v>354</v>
      </c>
      <c r="C13" s="296" t="s">
        <v>412</v>
      </c>
      <c r="D13" s="296" t="s">
        <v>394</v>
      </c>
      <c r="E13" s="302" t="s">
        <v>413</v>
      </c>
      <c r="F13" s="298" t="s">
        <v>414</v>
      </c>
      <c r="G13" s="298"/>
      <c r="H13" s="298"/>
    </row>
    <row r="14" spans="1:22" ht="71.25" x14ac:dyDescent="0.25">
      <c r="A14" s="296" t="s">
        <v>373</v>
      </c>
      <c r="B14" s="296" t="s">
        <v>384</v>
      </c>
      <c r="C14" s="296" t="s">
        <v>437</v>
      </c>
      <c r="D14" s="296" t="s">
        <v>394</v>
      </c>
      <c r="E14" s="302" t="s">
        <v>438</v>
      </c>
      <c r="F14" s="298" t="s">
        <v>439</v>
      </c>
      <c r="G14" s="298"/>
      <c r="H14" s="298"/>
    </row>
    <row r="15" spans="1:22" ht="90" x14ac:dyDescent="0.25">
      <c r="A15" s="296" t="s">
        <v>373</v>
      </c>
      <c r="B15" s="296" t="s">
        <v>384</v>
      </c>
      <c r="C15" s="296" t="s">
        <v>437</v>
      </c>
      <c r="D15" s="296" t="s">
        <v>394</v>
      </c>
      <c r="E15" s="320" t="s">
        <v>440</v>
      </c>
      <c r="F15" s="301"/>
      <c r="G15" s="296"/>
      <c r="H15" s="301" t="s">
        <v>441</v>
      </c>
    </row>
    <row r="16" spans="1:22" ht="180" x14ac:dyDescent="0.25">
      <c r="A16" s="296" t="s">
        <v>415</v>
      </c>
      <c r="B16" s="296" t="s">
        <v>416</v>
      </c>
      <c r="C16" s="296" t="s">
        <v>493</v>
      </c>
      <c r="D16" s="296" t="s">
        <v>394</v>
      </c>
      <c r="E16" s="320" t="s">
        <v>494</v>
      </c>
      <c r="F16" s="320" t="s">
        <v>495</v>
      </c>
      <c r="G16" s="320" t="s">
        <v>496</v>
      </c>
      <c r="H16" s="303"/>
    </row>
  </sheetData>
  <mergeCells count="1">
    <mergeCell ref="A1:H1"/>
  </mergeCell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T23" sqref="T23"/>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002D22F239DE4E9DB0EBB3C3BFA974" ma:contentTypeVersion="0" ma:contentTypeDescription="Create a new document." ma:contentTypeScope="" ma:versionID="da1928853e297d13e242c42f22cf8166">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63E90DE-55C4-45CB-827E-7973D8E07F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78B30C9-F833-41A2-845E-5A6F3219111B}">
  <ds:schemaRefs>
    <ds:schemaRef ds:uri="http://schemas.microsoft.com/sharepoint/v3/contenttype/forms"/>
  </ds:schemaRefs>
</ds:datastoreItem>
</file>

<file path=customXml/itemProps3.xml><?xml version="1.0" encoding="utf-8"?>
<ds:datastoreItem xmlns:ds="http://schemas.openxmlformats.org/officeDocument/2006/customXml" ds:itemID="{671C88B2-67CB-4986-BFE9-68B3965D9E6B}">
  <ds:schemaRefs>
    <ds:schemaRef ds:uri="http://schemas.openxmlformats.org/package/2006/metadata/core-properties"/>
    <ds:schemaRef ds:uri="http://purl.org/dc/elements/1.1/"/>
    <ds:schemaRef ds:uri="http://www.w3.org/XML/1998/namespace"/>
    <ds:schemaRef ds:uri="http://schemas.microsoft.com/office/2006/documentManagement/types"/>
    <ds:schemaRef ds:uri="http://purl.org/dc/terms/"/>
    <ds:schemaRef ds:uri="http://schemas.microsoft.com/office/infopath/2007/PartnerControl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IRL+BRL</vt:lpstr>
      <vt:lpstr>Metric</vt:lpstr>
      <vt:lpstr>Waste to Landfill comparison</vt:lpstr>
      <vt:lpstr>IRL+BRL Test</vt:lpstr>
      <vt:lpstr>Dashboard</vt:lpstr>
      <vt:lpstr>Emissions</vt:lpstr>
      <vt:lpstr>Labour</vt:lpstr>
      <vt:lpstr>EHS National Report Chart</vt:lpstr>
      <vt:lpstr>Link to Chart</vt:lpstr>
      <vt:lpstr>Top Incident Types Data</vt:lpstr>
      <vt:lpstr>Data</vt:lpstr>
      <vt:lpstr>IR by Job Function</vt:lpstr>
      <vt:lpstr>Spills - Internal</vt:lpstr>
      <vt:lpstr>Spills - Internal Graph</vt:lpstr>
      <vt:lpstr>Spills - External</vt:lpstr>
      <vt:lpstr>Sheet1</vt:lpstr>
    </vt:vector>
  </TitlesOfParts>
  <Company>LifeLabs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Jonathan</dc:creator>
  <cp:lastModifiedBy>Hun, Riley</cp:lastModifiedBy>
  <dcterms:created xsi:type="dcterms:W3CDTF">2012-01-10T16:15:06Z</dcterms:created>
  <dcterms:modified xsi:type="dcterms:W3CDTF">2016-03-08T17:22:25Z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0x010100BD002D22F239DE4E9DB0EBB3C3BFA974</vt:lpwstr>
  </property>
</Properties>
</file>