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ture\Manuscript\"/>
    </mc:Choice>
  </mc:AlternateContent>
  <xr:revisionPtr revIDLastSave="0" documentId="13_ncr:1_{820EBDF1-65AA-432C-ABE9-0A72DF3CDFA4}" xr6:coauthVersionLast="46" xr6:coauthVersionMax="46" xr10:uidLastSave="{00000000-0000-0000-0000-000000000000}"/>
  <bookViews>
    <workbookView xWindow="-108" yWindow="-108" windowWidth="23256" windowHeight="12456" xr2:uid="{E1A4C8E0-5E8A-41C9-839E-14345A59E87A}"/>
  </bookViews>
  <sheets>
    <sheet name="jogan_4gs" sheetId="5" r:id="rId1"/>
    <sheet name="Jogan4s_range5gs" sheetId="8" r:id="rId2"/>
    <sheet name="jogan_5gs" sheetId="6" r:id="rId3"/>
    <sheet name="Jogan4s_range6gs" sheetId="9" r:id="rId4"/>
    <sheet name="7s_range" sheetId="10" r:id="rId5"/>
    <sheet name="forplot" sheetId="7" r:id="rId6"/>
    <sheet name="Sendaigs" sheetId="2" r:id="rId7"/>
    <sheet name="Sendai6gs_lin" sheetId="3" r:id="rId8"/>
    <sheet name="sendai4gs" sheetId="4" r:id="rId9"/>
    <sheet name="no need" sheetId="1" r:id="rId10"/>
    <sheet name="raw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11" l="1"/>
  <c r="S13" i="11"/>
  <c r="R13" i="11"/>
  <c r="R14" i="11" s="1"/>
  <c r="Q13" i="11"/>
  <c r="Q14" i="11" s="1"/>
  <c r="P13" i="11"/>
  <c r="P14" i="11" s="1"/>
  <c r="O13" i="11"/>
  <c r="O14" i="11" s="1"/>
  <c r="N13" i="11"/>
  <c r="N14" i="11" s="1"/>
  <c r="M13" i="11"/>
  <c r="M14" i="11" s="1"/>
  <c r="L13" i="11"/>
  <c r="L14" i="11" s="1"/>
  <c r="K13" i="11"/>
  <c r="K14" i="11" s="1"/>
  <c r="J13" i="11"/>
  <c r="J14" i="11" s="1"/>
  <c r="I13" i="11"/>
  <c r="I14" i="11" s="1"/>
  <c r="H13" i="11"/>
  <c r="H14" i="11" s="1"/>
  <c r="G13" i="11"/>
  <c r="G14" i="11" s="1"/>
  <c r="F13" i="11"/>
  <c r="F14" i="11" s="1"/>
  <c r="E13" i="11"/>
  <c r="E14" i="11" s="1"/>
  <c r="D13" i="11"/>
  <c r="D14" i="11" s="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W2" i="11"/>
  <c r="C10" i="6"/>
  <c r="D10" i="6"/>
  <c r="E10" i="6"/>
  <c r="F10" i="6"/>
  <c r="G10" i="6"/>
  <c r="P3" i="10"/>
  <c r="P4" i="10"/>
  <c r="P5" i="10"/>
  <c r="P6" i="10"/>
  <c r="P7" i="10"/>
  <c r="P8" i="10"/>
  <c r="P9" i="10"/>
  <c r="O3" i="10"/>
  <c r="O4" i="10"/>
  <c r="O5" i="10"/>
  <c r="O6" i="10"/>
  <c r="O7" i="10"/>
  <c r="O8" i="10"/>
  <c r="O9" i="10"/>
  <c r="N3" i="10"/>
  <c r="N4" i="10"/>
  <c r="N5" i="10"/>
  <c r="N6" i="10"/>
  <c r="N7" i="10"/>
  <c r="N8" i="10"/>
  <c r="N9" i="10"/>
  <c r="M3" i="10"/>
  <c r="M4" i="10"/>
  <c r="M5" i="10"/>
  <c r="M6" i="10"/>
  <c r="M7" i="10"/>
  <c r="M8" i="10"/>
  <c r="M9" i="10"/>
  <c r="L3" i="10"/>
  <c r="L4" i="10"/>
  <c r="L5" i="10"/>
  <c r="L6" i="10"/>
  <c r="L7" i="10"/>
  <c r="L8" i="10"/>
  <c r="L9" i="10"/>
  <c r="K3" i="10"/>
  <c r="K4" i="10"/>
  <c r="K5" i="10"/>
  <c r="K6" i="10"/>
  <c r="K7" i="10"/>
  <c r="K8" i="10"/>
  <c r="K9" i="10"/>
  <c r="P2" i="10"/>
  <c r="O2" i="10"/>
  <c r="N2" i="10"/>
  <c r="M2" i="10"/>
  <c r="L2" i="10"/>
  <c r="K2" i="10"/>
  <c r="J3" i="10"/>
  <c r="J4" i="10"/>
  <c r="J5" i="10"/>
  <c r="J6" i="10"/>
  <c r="J7" i="10"/>
  <c r="J8" i="10"/>
  <c r="J9" i="10"/>
  <c r="J2" i="10"/>
  <c r="I2" i="6"/>
  <c r="P1" i="10"/>
  <c r="O1" i="10"/>
  <c r="N1" i="10"/>
  <c r="M1" i="10"/>
  <c r="L1" i="10"/>
  <c r="K1" i="10"/>
  <c r="J1" i="10"/>
  <c r="V1" i="7"/>
  <c r="P3" i="7"/>
  <c r="P4" i="7"/>
  <c r="P5" i="7"/>
  <c r="P6" i="7"/>
  <c r="P7" i="7"/>
  <c r="P8" i="7"/>
  <c r="P9" i="7"/>
  <c r="P2" i="7"/>
  <c r="O3" i="7"/>
  <c r="O4" i="7"/>
  <c r="O5" i="7"/>
  <c r="O6" i="7"/>
  <c r="O7" i="7"/>
  <c r="O8" i="7"/>
  <c r="O9" i="7"/>
  <c r="O2" i="7"/>
  <c r="N3" i="7"/>
  <c r="N4" i="7"/>
  <c r="N5" i="7"/>
  <c r="N6" i="7"/>
  <c r="N7" i="7"/>
  <c r="N8" i="7"/>
  <c r="N9" i="7"/>
  <c r="N2" i="7"/>
  <c r="M3" i="7"/>
  <c r="M4" i="7"/>
  <c r="M5" i="7"/>
  <c r="M6" i="7"/>
  <c r="M7" i="7"/>
  <c r="M8" i="7"/>
  <c r="M9" i="7"/>
  <c r="M2" i="7"/>
  <c r="P1" i="7"/>
  <c r="O1" i="7"/>
  <c r="N1" i="7"/>
  <c r="M1" i="7"/>
  <c r="O3" i="9"/>
  <c r="O4" i="9"/>
  <c r="O5" i="9"/>
  <c r="O6" i="9"/>
  <c r="O7" i="9"/>
  <c r="O8" i="9"/>
  <c r="O9" i="9"/>
  <c r="N3" i="9"/>
  <c r="N4" i="9"/>
  <c r="N5" i="9"/>
  <c r="N6" i="9"/>
  <c r="N7" i="9"/>
  <c r="N8" i="9"/>
  <c r="N9" i="9"/>
  <c r="M3" i="9"/>
  <c r="M4" i="9"/>
  <c r="M5" i="9"/>
  <c r="M6" i="9"/>
  <c r="M7" i="9"/>
  <c r="M8" i="9"/>
  <c r="M9" i="9"/>
  <c r="L3" i="9"/>
  <c r="L4" i="9"/>
  <c r="L5" i="9"/>
  <c r="L6" i="9"/>
  <c r="L7" i="9"/>
  <c r="L8" i="9"/>
  <c r="L9" i="9"/>
  <c r="K3" i="9"/>
  <c r="K4" i="9"/>
  <c r="K5" i="9"/>
  <c r="K6" i="9"/>
  <c r="K7" i="9"/>
  <c r="K8" i="9"/>
  <c r="K9" i="9"/>
  <c r="O2" i="9"/>
  <c r="N2" i="9"/>
  <c r="M2" i="9"/>
  <c r="L2" i="9"/>
  <c r="K2" i="9"/>
  <c r="J3" i="9"/>
  <c r="J4" i="9"/>
  <c r="J5" i="9"/>
  <c r="J6" i="9"/>
  <c r="J7" i="9"/>
  <c r="J8" i="9"/>
  <c r="J9" i="9"/>
  <c r="J2" i="9"/>
  <c r="N1" i="9"/>
  <c r="O1" i="9"/>
  <c r="M1" i="9"/>
  <c r="L1" i="9"/>
  <c r="K1" i="9"/>
  <c r="J1" i="9"/>
  <c r="K3" i="8"/>
  <c r="K4" i="8"/>
  <c r="K5" i="8"/>
  <c r="K6" i="8"/>
  <c r="K7" i="8"/>
  <c r="K8" i="8"/>
  <c r="K9" i="8"/>
  <c r="K2" i="8"/>
  <c r="J3" i="8"/>
  <c r="J4" i="8"/>
  <c r="J5" i="8"/>
  <c r="J6" i="8"/>
  <c r="J7" i="8"/>
  <c r="J8" i="8"/>
  <c r="J9" i="8"/>
  <c r="J2" i="8"/>
  <c r="I3" i="8"/>
  <c r="I4" i="8"/>
  <c r="I5" i="8"/>
  <c r="I6" i="8"/>
  <c r="I7" i="8"/>
  <c r="I8" i="8"/>
  <c r="I9" i="8"/>
  <c r="I2" i="8"/>
  <c r="H3" i="8"/>
  <c r="H4" i="8"/>
  <c r="H5" i="8"/>
  <c r="H6" i="8"/>
  <c r="H7" i="8"/>
  <c r="H8" i="8"/>
  <c r="H9" i="8"/>
  <c r="H2" i="8"/>
  <c r="K1" i="8"/>
  <c r="J1" i="8"/>
  <c r="I1" i="8"/>
  <c r="H1" i="8"/>
  <c r="V3" i="7"/>
  <c r="V4" i="7"/>
  <c r="V5" i="7"/>
  <c r="V6" i="7"/>
  <c r="V7" i="7"/>
  <c r="V8" i="7"/>
  <c r="V9" i="7"/>
  <c r="V2" i="7"/>
  <c r="Q2" i="7"/>
  <c r="R2" i="7"/>
  <c r="S2" i="7"/>
  <c r="T2" i="7"/>
  <c r="U2" i="7"/>
  <c r="Q3" i="7"/>
  <c r="R3" i="7"/>
  <c r="S3" i="7"/>
  <c r="T3" i="7"/>
  <c r="U3" i="7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U1" i="7"/>
  <c r="T1" i="7"/>
  <c r="S1" i="7"/>
  <c r="R1" i="7"/>
  <c r="Q1" i="7"/>
  <c r="N2" i="6"/>
  <c r="N3" i="6"/>
  <c r="N4" i="6"/>
  <c r="N5" i="6"/>
  <c r="N6" i="6"/>
  <c r="N7" i="6"/>
  <c r="N8" i="6"/>
  <c r="N9" i="6"/>
  <c r="M3" i="6"/>
  <c r="M4" i="6"/>
  <c r="M5" i="6"/>
  <c r="M6" i="6"/>
  <c r="M7" i="6"/>
  <c r="M8" i="6"/>
  <c r="M9" i="6"/>
  <c r="L3" i="6"/>
  <c r="L4" i="6"/>
  <c r="L5" i="6"/>
  <c r="L6" i="6"/>
  <c r="L7" i="6"/>
  <c r="L8" i="6"/>
  <c r="L9" i="6"/>
  <c r="K3" i="6"/>
  <c r="K4" i="6"/>
  <c r="K5" i="6"/>
  <c r="K6" i="6"/>
  <c r="K7" i="6"/>
  <c r="K8" i="6"/>
  <c r="K9" i="6"/>
  <c r="M2" i="6"/>
  <c r="L2" i="6"/>
  <c r="K2" i="6"/>
  <c r="J3" i="6"/>
  <c r="J4" i="6"/>
  <c r="J5" i="6"/>
  <c r="J6" i="6"/>
  <c r="J7" i="6"/>
  <c r="J8" i="6"/>
  <c r="J9" i="6"/>
  <c r="J2" i="6"/>
  <c r="I3" i="6"/>
  <c r="I4" i="6"/>
  <c r="I5" i="6"/>
  <c r="I6" i="6"/>
  <c r="I7" i="6"/>
  <c r="I8" i="6"/>
  <c r="I9" i="6"/>
  <c r="M1" i="6"/>
  <c r="L1" i="6"/>
  <c r="K1" i="6"/>
  <c r="J1" i="6"/>
  <c r="I1" i="6"/>
  <c r="H9" i="6"/>
  <c r="H8" i="6"/>
  <c r="H7" i="6"/>
  <c r="H6" i="6"/>
  <c r="H5" i="6"/>
  <c r="H4" i="6"/>
  <c r="H3" i="6"/>
  <c r="H2" i="6"/>
  <c r="D10" i="5"/>
  <c r="E10" i="5"/>
  <c r="F10" i="5"/>
  <c r="C10" i="5"/>
  <c r="K3" i="5" l="1"/>
  <c r="K4" i="5"/>
  <c r="K5" i="5"/>
  <c r="K6" i="5"/>
  <c r="K7" i="5"/>
  <c r="K8" i="5"/>
  <c r="K9" i="5"/>
  <c r="K2" i="5"/>
  <c r="J3" i="5"/>
  <c r="J4" i="5"/>
  <c r="J5" i="5"/>
  <c r="J6" i="5"/>
  <c r="J7" i="5"/>
  <c r="J8" i="5"/>
  <c r="J9" i="5"/>
  <c r="J2" i="5"/>
  <c r="I3" i="5"/>
  <c r="I4" i="5"/>
  <c r="I5" i="5"/>
  <c r="I6" i="5"/>
  <c r="I7" i="5"/>
  <c r="I8" i="5"/>
  <c r="I9" i="5"/>
  <c r="I2" i="5"/>
  <c r="H3" i="5"/>
  <c r="H4" i="5"/>
  <c r="H5" i="5"/>
  <c r="H6" i="5"/>
  <c r="H7" i="5"/>
  <c r="H8" i="5"/>
  <c r="H9" i="5"/>
  <c r="H2" i="5"/>
  <c r="I2" i="1"/>
  <c r="G2" i="5"/>
  <c r="K1" i="5"/>
  <c r="J1" i="5"/>
  <c r="I1" i="5"/>
  <c r="H1" i="5"/>
  <c r="G9" i="5"/>
  <c r="G8" i="5"/>
  <c r="G7" i="5"/>
  <c r="G6" i="5"/>
  <c r="G5" i="5"/>
  <c r="G4" i="5"/>
  <c r="G3" i="5"/>
  <c r="K9" i="4" l="1"/>
  <c r="J9" i="4"/>
  <c r="I9" i="4"/>
  <c r="H9" i="4"/>
  <c r="G9" i="4"/>
  <c r="K8" i="4"/>
  <c r="J8" i="4"/>
  <c r="I8" i="4"/>
  <c r="H8" i="4"/>
  <c r="G8" i="4"/>
  <c r="K7" i="4"/>
  <c r="J7" i="4"/>
  <c r="I7" i="4"/>
  <c r="H7" i="4"/>
  <c r="G7" i="4"/>
  <c r="K6" i="4"/>
  <c r="J6" i="4"/>
  <c r="I6" i="4"/>
  <c r="H6" i="4"/>
  <c r="G6" i="4"/>
  <c r="K5" i="4"/>
  <c r="J5" i="4"/>
  <c r="I5" i="4"/>
  <c r="H5" i="4"/>
  <c r="G5" i="4"/>
  <c r="K4" i="4"/>
  <c r="J4" i="4"/>
  <c r="I4" i="4"/>
  <c r="H4" i="4"/>
  <c r="G4" i="4"/>
  <c r="K3" i="4"/>
  <c r="J3" i="4"/>
  <c r="I3" i="4"/>
  <c r="H3" i="4"/>
  <c r="G3" i="4"/>
  <c r="K2" i="4"/>
  <c r="J2" i="4"/>
  <c r="I2" i="4"/>
  <c r="H2" i="4"/>
  <c r="G2" i="4"/>
  <c r="K1" i="4"/>
  <c r="J1" i="4"/>
  <c r="I1" i="4"/>
  <c r="H1" i="4"/>
  <c r="O3" i="3" l="1"/>
  <c r="O4" i="3"/>
  <c r="O5" i="3"/>
  <c r="O6" i="3"/>
  <c r="O7" i="3"/>
  <c r="O8" i="3"/>
  <c r="O9" i="3"/>
  <c r="O2" i="3"/>
  <c r="O1" i="3"/>
  <c r="I2" i="3"/>
  <c r="J2" i="3"/>
  <c r="K2" i="3"/>
  <c r="L2" i="3"/>
  <c r="M2" i="3"/>
  <c r="N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N1" i="3"/>
  <c r="M1" i="3"/>
  <c r="L1" i="3"/>
  <c r="K1" i="3"/>
  <c r="J1" i="3"/>
  <c r="M3" i="2" l="1"/>
  <c r="M4" i="2"/>
  <c r="M5" i="2"/>
  <c r="M6" i="2"/>
  <c r="M7" i="2"/>
  <c r="M8" i="2"/>
  <c r="M9" i="2"/>
  <c r="M2" i="2"/>
  <c r="L3" i="2"/>
  <c r="L4" i="2"/>
  <c r="L5" i="2"/>
  <c r="L6" i="2"/>
  <c r="L7" i="2"/>
  <c r="L8" i="2"/>
  <c r="L9" i="2"/>
  <c r="L2" i="2"/>
  <c r="K3" i="2" l="1"/>
  <c r="K4" i="2"/>
  <c r="K5" i="2"/>
  <c r="K6" i="2"/>
  <c r="K7" i="2"/>
  <c r="K8" i="2"/>
  <c r="K9" i="2"/>
  <c r="K2" i="2"/>
  <c r="J3" i="2" l="1"/>
  <c r="J4" i="2"/>
  <c r="J5" i="2"/>
  <c r="J6" i="2"/>
  <c r="J7" i="2"/>
  <c r="J8" i="2"/>
  <c r="J9" i="2"/>
  <c r="J2" i="2"/>
  <c r="I3" i="2"/>
  <c r="I4" i="2"/>
  <c r="I5" i="2"/>
  <c r="I6" i="2"/>
  <c r="I7" i="2"/>
  <c r="I8" i="2"/>
  <c r="I9" i="2"/>
  <c r="I2" i="2"/>
  <c r="M1" i="2"/>
  <c r="L1" i="2"/>
  <c r="K1" i="2"/>
  <c r="J1" i="2"/>
  <c r="I1" i="2"/>
  <c r="H9" i="2"/>
  <c r="H8" i="2"/>
  <c r="H7" i="2"/>
  <c r="H6" i="2"/>
  <c r="H5" i="2"/>
  <c r="H4" i="2"/>
  <c r="H3" i="2"/>
  <c r="H2" i="2"/>
  <c r="H9" i="1" l="1"/>
  <c r="H8" i="1"/>
  <c r="H7" i="1"/>
  <c r="H6" i="1"/>
  <c r="H5" i="1"/>
  <c r="H4" i="1"/>
  <c r="H3" i="1"/>
  <c r="H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 l="1"/>
  <c r="I4" i="1"/>
  <c r="I5" i="1"/>
  <c r="I6" i="1"/>
  <c r="I7" i="1"/>
  <c r="I8" i="1"/>
  <c r="I9" i="1"/>
  <c r="M1" i="1" l="1"/>
  <c r="L1" i="1"/>
  <c r="K1" i="1"/>
  <c r="J1" i="1" l="1"/>
  <c r="I1" i="1"/>
</calcChain>
</file>

<file path=xl/sharedStrings.xml><?xml version="1.0" encoding="utf-8"?>
<sst xmlns="http://schemas.openxmlformats.org/spreadsheetml/2006/main" count="90" uniqueCount="42">
  <si>
    <t>distance</t>
  </si>
  <si>
    <t>Sand(cm)</t>
  </si>
  <si>
    <t>0.875-1.125</t>
  </si>
  <si>
    <t>1.125-1.375</t>
  </si>
  <si>
    <t>1.375-1.625</t>
  </si>
  <si>
    <t>1.625-1.875</t>
  </si>
  <si>
    <t>1.875-2.125</t>
  </si>
  <si>
    <t>distance(m)</t>
  </si>
  <si>
    <t>0.4-1.0</t>
  </si>
  <si>
    <t>1.0-1.6</t>
  </si>
  <si>
    <t>1.6-2.2</t>
  </si>
  <si>
    <t>2.2-2.8</t>
  </si>
  <si>
    <t>2.8-3.4</t>
  </si>
  <si>
    <t>3.4-4.0</t>
  </si>
  <si>
    <t xml:space="preserve">                </t>
  </si>
  <si>
    <t>thickness</t>
  </si>
  <si>
    <t>0.875 -1.1875</t>
  </si>
  <si>
    <t>1.1875- 1.5</t>
  </si>
  <si>
    <t>1.5 -1.8125</t>
  </si>
  <si>
    <t xml:space="preserve">1.8125- 2.125 </t>
  </si>
  <si>
    <t>0.875 -1.08333333</t>
  </si>
  <si>
    <t>1.08333333 -1.29166667</t>
  </si>
  <si>
    <t xml:space="preserve">1.29166667 1.5 </t>
  </si>
  <si>
    <t>1.5 - 1.70833333</t>
  </si>
  <si>
    <t>1.70833333 1.91666667</t>
  </si>
  <si>
    <t>1.91666667-2.125</t>
  </si>
  <si>
    <t>minus0.125-125</t>
  </si>
  <si>
    <t>0.375-0.125</t>
  </si>
  <si>
    <t>0.625-0.375</t>
  </si>
  <si>
    <t>0.875-0.625</t>
  </si>
  <si>
    <t>2.125-2.375</t>
  </si>
  <si>
    <t>0.875-1.05357143</t>
  </si>
  <si>
    <t>1.05357143- 1.23214286</t>
  </si>
  <si>
    <t>1.41071429 1.58928571</t>
  </si>
  <si>
    <t>1.58928571 1.76785714</t>
  </si>
  <si>
    <t>1.76785714 1.94642857</t>
  </si>
  <si>
    <t xml:space="preserve">1.94642857 2.125  </t>
  </si>
  <si>
    <t xml:space="preserve"> 1.23214286 1.41071429</t>
  </si>
  <si>
    <t>GPS</t>
    <phoneticPr fontId="0"/>
  </si>
  <si>
    <t>dis (m)</t>
    <phoneticPr fontId="0"/>
  </si>
  <si>
    <t>Total Thick(cm)</t>
    <phoneticPr fontId="0"/>
  </si>
  <si>
    <t>site5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</si>
</sst>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164" fontId="0" fillId="3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jogan_4gs!$A$2:$A$9</c:f>
              <c:numCache>
                <c:formatCode>General</c:formatCode>
                <c:ptCount val="8"/>
                <c:pt idx="0">
                  <c:v>1712.6252398183208</c:v>
                </c:pt>
                <c:pt idx="1">
                  <c:v>1822.2714216003524</c:v>
                </c:pt>
                <c:pt idx="2">
                  <c:v>2163.3074545178388</c:v>
                </c:pt>
                <c:pt idx="3">
                  <c:v>2255.7039426554761</c:v>
                </c:pt>
                <c:pt idx="4">
                  <c:v>2386.8469773629454</c:v>
                </c:pt>
                <c:pt idx="5">
                  <c:v>2479.4504746133998</c:v>
                </c:pt>
                <c:pt idx="6">
                  <c:v>2591.6560995621267</c:v>
                </c:pt>
                <c:pt idx="7">
                  <c:v>2677.9274088655343</c:v>
                </c:pt>
              </c:numCache>
            </c:numRef>
          </c:xVal>
          <c:yVal>
            <c:numRef>
              <c:f>jogan_4gs!$C$2:$C$9</c:f>
              <c:numCache>
                <c:formatCode>General</c:formatCode>
                <c:ptCount val="8"/>
                <c:pt idx="0">
                  <c:v>25.1870140769092</c:v>
                </c:pt>
                <c:pt idx="1">
                  <c:v>24.4724286738963</c:v>
                </c:pt>
                <c:pt idx="2">
                  <c:v>26.823317160826502</c:v>
                </c:pt>
                <c:pt idx="3">
                  <c:v>25.4389384056723</c:v>
                </c:pt>
                <c:pt idx="4">
                  <c:v>22.7518370769691</c:v>
                </c:pt>
                <c:pt idx="5">
                  <c:v>22.0459119496855</c:v>
                </c:pt>
                <c:pt idx="6">
                  <c:v>21.537880802635499</c:v>
                </c:pt>
                <c:pt idx="7">
                  <c:v>19.6088176100628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A-45ED-83BB-8DCF1C515006}"/>
            </c:ext>
          </c:extLst>
        </c:ser>
        <c:ser>
          <c:idx val="1"/>
          <c:order val="1"/>
          <c:tx>
            <c:v>420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jogan_4gs!$A$2:$A$9</c:f>
              <c:numCache>
                <c:formatCode>General</c:formatCode>
                <c:ptCount val="8"/>
                <c:pt idx="0">
                  <c:v>1712.6252398183208</c:v>
                </c:pt>
                <c:pt idx="1">
                  <c:v>1822.2714216003524</c:v>
                </c:pt>
                <c:pt idx="2">
                  <c:v>2163.3074545178388</c:v>
                </c:pt>
                <c:pt idx="3">
                  <c:v>2255.7039426554761</c:v>
                </c:pt>
                <c:pt idx="4">
                  <c:v>2386.8469773629454</c:v>
                </c:pt>
                <c:pt idx="5">
                  <c:v>2479.4504746133998</c:v>
                </c:pt>
                <c:pt idx="6">
                  <c:v>2591.6560995621267</c:v>
                </c:pt>
                <c:pt idx="7">
                  <c:v>2677.9274088655343</c:v>
                </c:pt>
              </c:numCache>
            </c:numRef>
          </c:xVal>
          <c:yVal>
            <c:numRef>
              <c:f>jogan_4gs!$D$2:$D$9</c:f>
              <c:numCache>
                <c:formatCode>General</c:formatCode>
                <c:ptCount val="8"/>
                <c:pt idx="0">
                  <c:v>23.445191963191899</c:v>
                </c:pt>
                <c:pt idx="1">
                  <c:v>22.118309110890301</c:v>
                </c:pt>
                <c:pt idx="2">
                  <c:v>24.380620535714201</c:v>
                </c:pt>
                <c:pt idx="3">
                  <c:v>25.301200975969699</c:v>
                </c:pt>
                <c:pt idx="4">
                  <c:v>27.626186507936499</c:v>
                </c:pt>
                <c:pt idx="5">
                  <c:v>30.062937499999901</c:v>
                </c:pt>
                <c:pt idx="6">
                  <c:v>29.182910962301499</c:v>
                </c:pt>
                <c:pt idx="7">
                  <c:v>28.711197916666599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A-45ED-83BB-8DCF1C515006}"/>
            </c:ext>
          </c:extLst>
        </c:ser>
        <c:ser>
          <c:idx val="2"/>
          <c:order val="2"/>
          <c:tx>
            <c:v>354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jogan_4gs!$A$2:$A$9</c:f>
              <c:numCache>
                <c:formatCode>General</c:formatCode>
                <c:ptCount val="8"/>
                <c:pt idx="0">
                  <c:v>1712.6252398183208</c:v>
                </c:pt>
                <c:pt idx="1">
                  <c:v>1822.2714216003524</c:v>
                </c:pt>
                <c:pt idx="2">
                  <c:v>2163.3074545178388</c:v>
                </c:pt>
                <c:pt idx="3">
                  <c:v>2255.7039426554761</c:v>
                </c:pt>
                <c:pt idx="4">
                  <c:v>2386.8469773629454</c:v>
                </c:pt>
                <c:pt idx="5">
                  <c:v>2479.4504746133998</c:v>
                </c:pt>
                <c:pt idx="6">
                  <c:v>2591.6560995621267</c:v>
                </c:pt>
                <c:pt idx="7">
                  <c:v>2677.9274088655343</c:v>
                </c:pt>
              </c:numCache>
            </c:numRef>
          </c:xVal>
          <c:yVal>
            <c:numRef>
              <c:f>jogan_4gs!$E$2:$E$9</c:f>
              <c:numCache>
                <c:formatCode>General</c:formatCode>
                <c:ptCount val="8"/>
                <c:pt idx="0">
                  <c:v>16.674067706093702</c:v>
                </c:pt>
                <c:pt idx="1">
                  <c:v>15.275635414390599</c:v>
                </c:pt>
                <c:pt idx="2">
                  <c:v>16.800390624999899</c:v>
                </c:pt>
                <c:pt idx="3">
                  <c:v>18.888713539390601</c:v>
                </c:pt>
                <c:pt idx="4">
                  <c:v>23.6441484375</c:v>
                </c:pt>
                <c:pt idx="5">
                  <c:v>26.774984374999899</c:v>
                </c:pt>
                <c:pt idx="6">
                  <c:v>26.273390624999902</c:v>
                </c:pt>
                <c:pt idx="7">
                  <c:v>27.7415937499999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A-45ED-83BB-8DCF1C515006}"/>
            </c:ext>
          </c:extLst>
        </c:ser>
        <c:ser>
          <c:idx val="3"/>
          <c:order val="3"/>
          <c:tx>
            <c:v>297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jogan_4gs!$A$2:$A$9</c:f>
              <c:numCache>
                <c:formatCode>General</c:formatCode>
                <c:ptCount val="8"/>
                <c:pt idx="0">
                  <c:v>1712.6252398183208</c:v>
                </c:pt>
                <c:pt idx="1">
                  <c:v>1822.2714216003524</c:v>
                </c:pt>
                <c:pt idx="2">
                  <c:v>2163.3074545178388</c:v>
                </c:pt>
                <c:pt idx="3">
                  <c:v>2255.7039426554761</c:v>
                </c:pt>
                <c:pt idx="4">
                  <c:v>2386.8469773629454</c:v>
                </c:pt>
                <c:pt idx="5">
                  <c:v>2479.4504746133998</c:v>
                </c:pt>
                <c:pt idx="6">
                  <c:v>2591.6560995621267</c:v>
                </c:pt>
                <c:pt idx="7">
                  <c:v>2677.9274088655343</c:v>
                </c:pt>
              </c:numCache>
            </c:numRef>
          </c:xVal>
          <c:yVal>
            <c:numRef>
              <c:f>jogan_4gs!$F$2:$F$9</c:f>
              <c:numCache>
                <c:formatCode>General</c:formatCode>
                <c:ptCount val="8"/>
                <c:pt idx="0">
                  <c:v>2.8117187499999901</c:v>
                </c:pt>
                <c:pt idx="1">
                  <c:v>1.99401041640625</c:v>
                </c:pt>
                <c:pt idx="2">
                  <c:v>1.6664062500000001</c:v>
                </c:pt>
                <c:pt idx="3">
                  <c:v>2.44322916640624</c:v>
                </c:pt>
                <c:pt idx="4">
                  <c:v>6.9457031249999899</c:v>
                </c:pt>
                <c:pt idx="5">
                  <c:v>10.28515625</c:v>
                </c:pt>
                <c:pt idx="6">
                  <c:v>10.7</c:v>
                </c:pt>
                <c:pt idx="7">
                  <c:v>15.893750000000001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A-45ED-83BB-8DCF1C515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92447"/>
        <c:axId val="1522624831"/>
      </c:scatterChart>
      <c:valAx>
        <c:axId val="15206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24831"/>
        <c:crosses val="autoZero"/>
        <c:crossBetween val="midCat"/>
      </c:valAx>
      <c:valAx>
        <c:axId val="15226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sendai4gs!$A$2:$A$9</c:f>
              <c:numCache>
                <c:formatCode>General</c:formatCode>
                <c:ptCount val="8"/>
                <c:pt idx="0">
                  <c:v>1712.6252398183208</c:v>
                </c:pt>
                <c:pt idx="1">
                  <c:v>1822.2714216003524</c:v>
                </c:pt>
                <c:pt idx="2">
                  <c:v>2163.3074545178388</c:v>
                </c:pt>
                <c:pt idx="3">
                  <c:v>2255.7039426554761</c:v>
                </c:pt>
                <c:pt idx="4">
                  <c:v>2386.8469773629454</c:v>
                </c:pt>
                <c:pt idx="5">
                  <c:v>2479.4504746133998</c:v>
                </c:pt>
                <c:pt idx="6">
                  <c:v>2591.6560995621267</c:v>
                </c:pt>
                <c:pt idx="7">
                  <c:v>2677.9274088655343</c:v>
                </c:pt>
              </c:numCache>
            </c:numRef>
          </c:xVal>
          <c:yVal>
            <c:numRef>
              <c:f>sendai4gs!$C$2:$C$9</c:f>
              <c:numCache>
                <c:formatCode>General</c:formatCode>
                <c:ptCount val="8"/>
                <c:pt idx="0">
                  <c:v>53.195230651428503</c:v>
                </c:pt>
                <c:pt idx="1">
                  <c:v>49.9483794637991</c:v>
                </c:pt>
                <c:pt idx="2">
                  <c:v>55.057227678571401</c:v>
                </c:pt>
                <c:pt idx="3">
                  <c:v>57.948633928084803</c:v>
                </c:pt>
                <c:pt idx="4">
                  <c:v>64.846399553571402</c:v>
                </c:pt>
                <c:pt idx="5">
                  <c:v>71.059406249999896</c:v>
                </c:pt>
                <c:pt idx="6">
                  <c:v>69.113285714285695</c:v>
                </c:pt>
                <c:pt idx="7">
                  <c:v>68.871749999999906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8-4669-ABB9-6B310E2E08F2}"/>
            </c:ext>
          </c:extLst>
        </c:ser>
        <c:ser>
          <c:idx val="1"/>
          <c:order val="1"/>
          <c:tx>
            <c:v>268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sendai4gs!$A$2:$A$9</c:f>
              <c:numCache>
                <c:formatCode>General</c:formatCode>
                <c:ptCount val="8"/>
                <c:pt idx="0">
                  <c:v>1712.6252398183208</c:v>
                </c:pt>
                <c:pt idx="1">
                  <c:v>1822.2714216003524</c:v>
                </c:pt>
                <c:pt idx="2">
                  <c:v>2163.3074545178388</c:v>
                </c:pt>
                <c:pt idx="3">
                  <c:v>2255.7039426554761</c:v>
                </c:pt>
                <c:pt idx="4">
                  <c:v>2386.8469773629454</c:v>
                </c:pt>
                <c:pt idx="5">
                  <c:v>2479.4504746133998</c:v>
                </c:pt>
                <c:pt idx="6">
                  <c:v>2591.6560995621267</c:v>
                </c:pt>
                <c:pt idx="7">
                  <c:v>2677.9274088655343</c:v>
                </c:pt>
              </c:numCache>
            </c:numRef>
          </c:xVal>
          <c:yVal>
            <c:numRef>
              <c:f>sendai4gs!$D$2:$D$9</c:f>
              <c:numCache>
                <c:formatCode>General</c:formatCode>
                <c:ptCount val="8"/>
                <c:pt idx="0">
                  <c:v>5.6016602822580603</c:v>
                </c:pt>
                <c:pt idx="1">
                  <c:v>4.2113256048276</c:v>
                </c:pt>
                <c:pt idx="2">
                  <c:v>3.5397308467741899</c:v>
                </c:pt>
                <c:pt idx="3">
                  <c:v>5.0415181451501896</c:v>
                </c:pt>
                <c:pt idx="4">
                  <c:v>10.4494944556451</c:v>
                </c:pt>
                <c:pt idx="5">
                  <c:v>14.074496975806399</c:v>
                </c:pt>
                <c:pt idx="6">
                  <c:v>14.514064516129</c:v>
                </c:pt>
                <c:pt idx="7">
                  <c:v>20.497798387096701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8-4669-ABB9-6B310E2E08F2}"/>
            </c:ext>
          </c:extLst>
        </c:ser>
        <c:ser>
          <c:idx val="2"/>
          <c:order val="2"/>
          <c:tx>
            <c:v>176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sendai4gs!$A$2:$A$9</c:f>
              <c:numCache>
                <c:formatCode>General</c:formatCode>
                <c:ptCount val="8"/>
                <c:pt idx="0">
                  <c:v>1712.6252398183208</c:v>
                </c:pt>
                <c:pt idx="1">
                  <c:v>1822.2714216003524</c:v>
                </c:pt>
                <c:pt idx="2">
                  <c:v>2163.3074545178388</c:v>
                </c:pt>
                <c:pt idx="3">
                  <c:v>2255.7039426554761</c:v>
                </c:pt>
                <c:pt idx="4">
                  <c:v>2386.8469773629454</c:v>
                </c:pt>
                <c:pt idx="5">
                  <c:v>2479.4504746133998</c:v>
                </c:pt>
                <c:pt idx="6">
                  <c:v>2591.6560995621267</c:v>
                </c:pt>
                <c:pt idx="7">
                  <c:v>2677.9274088655343</c:v>
                </c:pt>
              </c:numCache>
            </c:numRef>
          </c:xVal>
          <c:yVal>
            <c:numRef>
              <c:f>sendai4gs!$E$2:$E$9</c:f>
              <c:numCache>
                <c:formatCode>General</c:formatCode>
                <c:ptCount val="8"/>
                <c:pt idx="0">
                  <c:v>1.28768346780442</c:v>
                </c:pt>
                <c:pt idx="1">
                  <c:v>1.0145806454536299</c:v>
                </c:pt>
                <c:pt idx="2">
                  <c:v>0.84755040322580999</c:v>
                </c:pt>
                <c:pt idx="3">
                  <c:v>1.2429610221310401</c:v>
                </c:pt>
                <c:pt idx="4">
                  <c:v>1.1045836693548201</c:v>
                </c:pt>
                <c:pt idx="5">
                  <c:v>0.82940927419355104</c:v>
                </c:pt>
                <c:pt idx="6">
                  <c:v>0.78937298387097599</c:v>
                </c:pt>
                <c:pt idx="7">
                  <c:v>0.84438911290322904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8-4669-ABB9-6B310E2E08F2}"/>
            </c:ext>
          </c:extLst>
        </c:ser>
        <c:ser>
          <c:idx val="3"/>
          <c:order val="3"/>
          <c:tx>
            <c:v>117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sendai4gs!$A$2:$A$9</c:f>
              <c:numCache>
                <c:formatCode>General</c:formatCode>
                <c:ptCount val="8"/>
                <c:pt idx="0">
                  <c:v>1712.6252398183208</c:v>
                </c:pt>
                <c:pt idx="1">
                  <c:v>1822.2714216003524</c:v>
                </c:pt>
                <c:pt idx="2">
                  <c:v>2163.3074545178388</c:v>
                </c:pt>
                <c:pt idx="3">
                  <c:v>2255.7039426554761</c:v>
                </c:pt>
                <c:pt idx="4">
                  <c:v>2386.8469773629454</c:v>
                </c:pt>
                <c:pt idx="5">
                  <c:v>2479.4504746133998</c:v>
                </c:pt>
                <c:pt idx="6">
                  <c:v>2591.6560995621267</c:v>
                </c:pt>
                <c:pt idx="7">
                  <c:v>2677.9274088655343</c:v>
                </c:pt>
              </c:numCache>
            </c:numRef>
          </c:xVal>
          <c:yVal>
            <c:numRef>
              <c:f>sendai4gs!$F$2:$F$9</c:f>
              <c:numCache>
                <c:formatCode>General</c:formatCode>
                <c:ptCount val="8"/>
                <c:pt idx="0">
                  <c:v>5.6187499937507802E-2</c:v>
                </c:pt>
                <c:pt idx="1">
                  <c:v>3.6000000062500703E-2</c:v>
                </c:pt>
                <c:pt idx="2">
                  <c:v>2.6062499999994701E-2</c:v>
                </c:pt>
                <c:pt idx="3">
                  <c:v>5.3125000062493599E-2</c:v>
                </c:pt>
                <c:pt idx="4">
                  <c:v>4.2093750000006397E-2</c:v>
                </c:pt>
                <c:pt idx="5">
                  <c:v>3.7687500000004003E-2</c:v>
                </c:pt>
                <c:pt idx="6">
                  <c:v>3.6562500000002197E-2</c:v>
                </c:pt>
                <c:pt idx="7">
                  <c:v>9.4062499999992596E-2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78-4669-ABB9-6B310E2E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966655"/>
        <c:axId val="1465440335"/>
      </c:scatterChart>
      <c:valAx>
        <c:axId val="14109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40335"/>
        <c:crosses val="autoZero"/>
        <c:crossBetween val="midCat"/>
      </c:valAx>
      <c:valAx>
        <c:axId val="14654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6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14</xdr:row>
      <xdr:rowOff>19050</xdr:rowOff>
    </xdr:from>
    <xdr:to>
      <xdr:col>17</xdr:col>
      <xdr:colOff>411480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3AA23-F53D-400C-81B7-A5121C41D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6</xdr:row>
      <xdr:rowOff>34290</xdr:rowOff>
    </xdr:from>
    <xdr:to>
      <xdr:col>19</xdr:col>
      <xdr:colOff>53340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17116-A312-4EC5-880C-42207B34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A5F4-51FD-4BFE-889E-F1189D0C8C71}">
  <dimension ref="A1:P10"/>
  <sheetViews>
    <sheetView tabSelected="1" workbookViewId="0">
      <selection activeCell="C10" sqref="C10"/>
    </sheetView>
  </sheetViews>
  <sheetFormatPr defaultRowHeight="14.4" x14ac:dyDescent="0.3"/>
  <cols>
    <col min="3" max="3" width="12" customWidth="1"/>
    <col min="7" max="7" width="13" customWidth="1"/>
    <col min="11" max="11" width="11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>
        <f>2^(-(0.875+1.125)/2)*1000</f>
        <v>500</v>
      </c>
      <c r="I1">
        <f>2^(-(1.125+1.375)/2)*1000</f>
        <v>420.44820762685731</v>
      </c>
      <c r="J1">
        <f>2^(-(1.375+1.625)/2)*1000</f>
        <v>353.55339059327378</v>
      </c>
      <c r="K1">
        <f>2^(-(1.625+1.875)/2)*1000</f>
        <v>297.30177875068028</v>
      </c>
      <c r="M1">
        <v>1</v>
      </c>
      <c r="N1">
        <v>1.25</v>
      </c>
      <c r="O1">
        <v>1.5</v>
      </c>
      <c r="P1">
        <v>1.75</v>
      </c>
    </row>
    <row r="2" spans="1:16" x14ac:dyDescent="0.3">
      <c r="A2" s="1">
        <v>1712.6252398183208</v>
      </c>
      <c r="B2" s="2">
        <v>12</v>
      </c>
      <c r="C2">
        <v>25.1870140769092</v>
      </c>
      <c r="D2">
        <v>23.445191963191899</v>
      </c>
      <c r="E2">
        <v>16.674067706093702</v>
      </c>
      <c r="F2">
        <v>2.8117187499999901</v>
      </c>
      <c r="G2">
        <f>A2-A2</f>
        <v>0</v>
      </c>
      <c r="H2">
        <f>$B2*0.01*C2/100</f>
        <v>3.0224416892291037E-2</v>
      </c>
      <c r="I2">
        <f>B2*0.01*D2/100</f>
        <v>2.8134230355830278E-2</v>
      </c>
      <c r="J2">
        <f>B2*0.01*E2/100</f>
        <v>2.0008881247312441E-2</v>
      </c>
      <c r="K2">
        <f>B2*0.01*F2/100</f>
        <v>3.3740624999999882E-3</v>
      </c>
    </row>
    <row r="3" spans="1:16" x14ac:dyDescent="0.3">
      <c r="A3" s="1">
        <v>1822.2714216003524</v>
      </c>
      <c r="B3" s="2">
        <v>9</v>
      </c>
      <c r="C3">
        <v>24.4724286738963</v>
      </c>
      <c r="D3">
        <v>22.118309110890301</v>
      </c>
      <c r="E3">
        <v>15.275635414390599</v>
      </c>
      <c r="F3">
        <v>1.99401041640625</v>
      </c>
      <c r="G3">
        <f>A3-A2</f>
        <v>109.64618178203159</v>
      </c>
      <c r="H3">
        <f t="shared" ref="H3:H9" si="0">$B3*0.01*C3/100</f>
        <v>2.202518580650667E-2</v>
      </c>
      <c r="I3">
        <f t="shared" ref="I3:I9" si="1">B3*0.01*D3/100</f>
        <v>1.9906478199801271E-2</v>
      </c>
      <c r="J3">
        <f t="shared" ref="J3:J9" si="2">B3*0.01*E3/100</f>
        <v>1.374807187295154E-2</v>
      </c>
      <c r="K3">
        <f t="shared" ref="K3:K9" si="3">B3*0.01*F3/100</f>
        <v>1.794609374765625E-3</v>
      </c>
    </row>
    <row r="4" spans="1:16" x14ac:dyDescent="0.3">
      <c r="A4" s="1">
        <v>2163.3074545178388</v>
      </c>
      <c r="B4" s="2">
        <v>3</v>
      </c>
      <c r="C4">
        <v>26.823317160826502</v>
      </c>
      <c r="D4">
        <v>24.380620535714201</v>
      </c>
      <c r="E4">
        <v>16.800390624999899</v>
      </c>
      <c r="F4">
        <v>1.6664062500000001</v>
      </c>
      <c r="G4">
        <f>A4-A2</f>
        <v>450.682214699518</v>
      </c>
      <c r="H4">
        <f t="shared" si="0"/>
        <v>8.0469951482479499E-3</v>
      </c>
      <c r="I4">
        <f t="shared" si="1"/>
        <v>7.3141861607142599E-3</v>
      </c>
      <c r="J4">
        <f t="shared" si="2"/>
        <v>5.0401171874999698E-3</v>
      </c>
      <c r="K4">
        <f t="shared" si="3"/>
        <v>4.9992187500000004E-4</v>
      </c>
    </row>
    <row r="5" spans="1:16" x14ac:dyDescent="0.3">
      <c r="A5" s="1">
        <v>2255.7039426554761</v>
      </c>
      <c r="B5" s="2">
        <v>6</v>
      </c>
      <c r="C5">
        <v>25.4389384056723</v>
      </c>
      <c r="D5">
        <v>25.301200975969699</v>
      </c>
      <c r="E5">
        <v>18.888713539390601</v>
      </c>
      <c r="F5">
        <v>2.44322916640624</v>
      </c>
      <c r="G5">
        <f>A5-A2</f>
        <v>543.07870283715533</v>
      </c>
      <c r="H5">
        <f t="shared" si="0"/>
        <v>1.526336304340338E-2</v>
      </c>
      <c r="I5">
        <f t="shared" si="1"/>
        <v>1.5180720585581819E-2</v>
      </c>
      <c r="J5">
        <f t="shared" si="2"/>
        <v>1.133322812363436E-2</v>
      </c>
      <c r="K5">
        <f t="shared" si="3"/>
        <v>1.4659374998437439E-3</v>
      </c>
    </row>
    <row r="6" spans="1:16" x14ac:dyDescent="0.3">
      <c r="A6" s="1">
        <v>2386.8469773629454</v>
      </c>
      <c r="B6" s="2">
        <v>6</v>
      </c>
      <c r="C6">
        <v>22.7518370769691</v>
      </c>
      <c r="D6">
        <v>27.626186507936499</v>
      </c>
      <c r="E6">
        <v>23.6441484375</v>
      </c>
      <c r="F6">
        <v>6.9457031249999899</v>
      </c>
      <c r="G6">
        <f>A6-A2</f>
        <v>674.2217375446246</v>
      </c>
      <c r="H6">
        <f t="shared" si="0"/>
        <v>1.3651102246181459E-2</v>
      </c>
      <c r="I6">
        <f t="shared" si="1"/>
        <v>1.6575711904761897E-2</v>
      </c>
      <c r="J6">
        <f t="shared" si="2"/>
        <v>1.41864890625E-2</v>
      </c>
      <c r="K6">
        <f t="shared" si="3"/>
        <v>4.1674218749999936E-3</v>
      </c>
    </row>
    <row r="7" spans="1:16" x14ac:dyDescent="0.3">
      <c r="A7" s="1">
        <v>2479.4504746133998</v>
      </c>
      <c r="B7" s="2">
        <v>3</v>
      </c>
      <c r="C7">
        <v>22.0459119496855</v>
      </c>
      <c r="D7">
        <v>30.062937499999901</v>
      </c>
      <c r="E7">
        <v>26.774984374999899</v>
      </c>
      <c r="F7">
        <v>10.28515625</v>
      </c>
      <c r="G7">
        <f>A7-A2</f>
        <v>766.82523479507904</v>
      </c>
      <c r="H7">
        <f t="shared" si="0"/>
        <v>6.6137735849056498E-3</v>
      </c>
      <c r="I7">
        <f t="shared" si="1"/>
        <v>9.0188812499999698E-3</v>
      </c>
      <c r="J7">
        <f t="shared" si="2"/>
        <v>8.0324953124999692E-3</v>
      </c>
      <c r="K7">
        <f t="shared" si="3"/>
        <v>3.0855468749999997E-3</v>
      </c>
    </row>
    <row r="8" spans="1:16" x14ac:dyDescent="0.3">
      <c r="A8" s="1">
        <v>2591.6560995621267</v>
      </c>
      <c r="B8" s="2">
        <v>0.5</v>
      </c>
      <c r="C8">
        <v>21.537880802635499</v>
      </c>
      <c r="D8">
        <v>29.182910962301499</v>
      </c>
      <c r="E8">
        <v>26.273390624999902</v>
      </c>
      <c r="F8">
        <v>10.7</v>
      </c>
      <c r="G8">
        <f>A8-A2</f>
        <v>879.03085974380588</v>
      </c>
      <c r="H8">
        <f t="shared" si="0"/>
        <v>1.076894040131775E-3</v>
      </c>
      <c r="I8">
        <f t="shared" si="1"/>
        <v>1.459145548115075E-3</v>
      </c>
      <c r="J8">
        <f t="shared" si="2"/>
        <v>1.3136695312499951E-3</v>
      </c>
      <c r="K8">
        <f t="shared" si="3"/>
        <v>5.3499999999999999E-4</v>
      </c>
    </row>
    <row r="9" spans="1:16" x14ac:dyDescent="0.3">
      <c r="A9" s="1">
        <v>2677.9274088655343</v>
      </c>
      <c r="B9" s="2">
        <v>2</v>
      </c>
      <c r="C9">
        <v>19.6088176100628</v>
      </c>
      <c r="D9">
        <v>28.711197916666599</v>
      </c>
      <c r="E9">
        <v>27.7415937499999</v>
      </c>
      <c r="F9">
        <v>15.893750000000001</v>
      </c>
      <c r="G9">
        <f>A9-A2</f>
        <v>965.30216904721351</v>
      </c>
      <c r="H9">
        <f t="shared" si="0"/>
        <v>3.9217635220125599E-3</v>
      </c>
      <c r="I9">
        <f t="shared" si="1"/>
        <v>5.7422395833333197E-3</v>
      </c>
      <c r="J9">
        <f t="shared" si="2"/>
        <v>5.5483187499999797E-3</v>
      </c>
      <c r="K9">
        <f t="shared" si="3"/>
        <v>3.1787500000000002E-3</v>
      </c>
    </row>
    <row r="10" spans="1:16" x14ac:dyDescent="0.3">
      <c r="C10">
        <f>SUM(C2:C9)</f>
        <v>187.8661457566572</v>
      </c>
      <c r="D10">
        <f t="shared" ref="D10:F10" si="4">SUM(D2:D9)</f>
        <v>210.82855547267059</v>
      </c>
      <c r="E10">
        <f t="shared" si="4"/>
        <v>172.0729244723745</v>
      </c>
      <c r="F10">
        <f t="shared" si="4"/>
        <v>52.739973957812467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757-A6BD-419E-BF68-9B1129B3B997}">
  <dimension ref="A1:M9"/>
  <sheetViews>
    <sheetView workbookViewId="0">
      <selection activeCell="J8" sqref="J8"/>
    </sheetView>
  </sheetViews>
  <sheetFormatPr defaultRowHeight="14.4" x14ac:dyDescent="0.3"/>
  <cols>
    <col min="3" max="3" width="13.33203125" customWidth="1"/>
    <col min="4" max="4" width="11.6640625" customWidth="1"/>
    <col min="5" max="5" width="12" customWidth="1"/>
    <col min="6" max="6" width="11.5546875" customWidth="1"/>
    <col min="7" max="7" width="12.6640625" customWidth="1"/>
    <col min="8" max="8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f>2^(-(0.875+1.125)/2)*1000</f>
        <v>500</v>
      </c>
      <c r="J1">
        <f>2^(-(1.125+1.375)/2)*1000</f>
        <v>420.44820762685731</v>
      </c>
      <c r="K1">
        <f>2^(-(1.375+1.625)/2)*1000</f>
        <v>353.55339059327378</v>
      </c>
      <c r="L1">
        <f>2^(-(1.625+1.875)/2)*1000</f>
        <v>297.30177875068028</v>
      </c>
      <c r="M1">
        <f>2^(-(1.875+2.125)/2)*1000</f>
        <v>250</v>
      </c>
    </row>
    <row r="2" spans="1:13" x14ac:dyDescent="0.3">
      <c r="A2" s="1">
        <v>1712.6252398183208</v>
      </c>
      <c r="B2" s="2">
        <v>12</v>
      </c>
      <c r="C2">
        <v>26.113211813075001</v>
      </c>
      <c r="D2">
        <v>24.9658124978994</v>
      </c>
      <c r="E2">
        <v>14.999758313051201</v>
      </c>
      <c r="F2">
        <v>2.66816422251582</v>
      </c>
      <c r="G2">
        <v>1.98602574301538</v>
      </c>
      <c r="H2">
        <f>A2-A2</f>
        <v>0</v>
      </c>
      <c r="I2">
        <f>$B2*0.01*C2/100</f>
        <v>3.1335854175690001E-2</v>
      </c>
      <c r="J2">
        <f>$B2*0.01*D2/100</f>
        <v>2.9958974997479279E-2</v>
      </c>
      <c r="K2">
        <f>B2*0.01*E2/100</f>
        <v>1.799970997566144E-2</v>
      </c>
      <c r="L2">
        <f>$F2*0.01*B2/100</f>
        <v>3.2017970670189838E-3</v>
      </c>
      <c r="M2">
        <f>$B2*0.01*G2/100</f>
        <v>2.3832308916184562E-3</v>
      </c>
    </row>
    <row r="3" spans="1:13" x14ac:dyDescent="0.3">
      <c r="A3" s="1">
        <v>1822.2714216003524</v>
      </c>
      <c r="B3" s="2">
        <v>9</v>
      </c>
      <c r="C3">
        <v>25.4048398674691</v>
      </c>
      <c r="D3">
        <v>23.464048060829398</v>
      </c>
      <c r="E3">
        <v>13.549064170702801</v>
      </c>
      <c r="F3">
        <v>1.8672905223182501</v>
      </c>
      <c r="G3">
        <v>1.57667966468204</v>
      </c>
      <c r="H3">
        <f>A3-A2</f>
        <v>109.64618178203159</v>
      </c>
      <c r="I3">
        <f t="shared" ref="I3:I9" si="0">$B3*0.01*C3/100</f>
        <v>2.2864355880722189E-2</v>
      </c>
      <c r="J3">
        <f t="shared" ref="J3:J9" si="1">$B3*0.01*D3/100</f>
        <v>2.1117643254746458E-2</v>
      </c>
      <c r="K3">
        <f t="shared" ref="K3:K9" si="2">B3*0.01*E3/100</f>
        <v>1.219415775363252E-2</v>
      </c>
      <c r="L3">
        <f t="shared" ref="L3:L9" si="3">$F3*0.01*B3/100</f>
        <v>1.680561470086425E-3</v>
      </c>
      <c r="M3">
        <f t="shared" ref="M3:M9" si="4">$B3*0.01*G3/100</f>
        <v>1.4190116982138359E-3</v>
      </c>
    </row>
    <row r="4" spans="1:13" x14ac:dyDescent="0.3">
      <c r="A4" s="1">
        <v>2163.3074545178388</v>
      </c>
      <c r="B4" s="2">
        <v>3</v>
      </c>
      <c r="C4">
        <v>27.851557976703798</v>
      </c>
      <c r="D4">
        <v>25.9847607663344</v>
      </c>
      <c r="E4">
        <v>14.7767855840781</v>
      </c>
      <c r="F4">
        <v>1.5519299201977601</v>
      </c>
      <c r="G4">
        <v>1.3308417658791001</v>
      </c>
      <c r="H4">
        <f>A4-A2</f>
        <v>450.682214699518</v>
      </c>
      <c r="I4">
        <f t="shared" si="0"/>
        <v>8.3554673930111394E-3</v>
      </c>
      <c r="J4">
        <f t="shared" si="1"/>
        <v>7.7954282299003193E-3</v>
      </c>
      <c r="K4">
        <f t="shared" si="2"/>
        <v>4.4330356752234294E-3</v>
      </c>
      <c r="L4">
        <f t="shared" si="3"/>
        <v>4.6557897605932805E-4</v>
      </c>
      <c r="M4">
        <f t="shared" si="4"/>
        <v>3.9925252976372996E-4</v>
      </c>
    </row>
    <row r="5" spans="1:13" x14ac:dyDescent="0.3">
      <c r="A5" s="1">
        <v>2255.7039426554761</v>
      </c>
      <c r="B5" s="2">
        <v>6</v>
      </c>
      <c r="C5">
        <v>26.225253183792798</v>
      </c>
      <c r="D5">
        <v>27.483609986217999</v>
      </c>
      <c r="E5">
        <v>16.987280278223199</v>
      </c>
      <c r="F5">
        <v>2.2942268337640099</v>
      </c>
      <c r="G5">
        <v>1.8482403505592899</v>
      </c>
      <c r="H5">
        <f>A5-A2</f>
        <v>543.07870283715533</v>
      </c>
      <c r="I5">
        <f t="shared" si="0"/>
        <v>1.5735151910275677E-2</v>
      </c>
      <c r="J5">
        <f t="shared" si="1"/>
        <v>1.6490165991730799E-2</v>
      </c>
      <c r="K5">
        <f t="shared" si="2"/>
        <v>1.0192368166933918E-2</v>
      </c>
      <c r="L5">
        <f t="shared" si="3"/>
        <v>1.376536100258406E-3</v>
      </c>
      <c r="M5">
        <f t="shared" si="4"/>
        <v>1.1089442103355738E-3</v>
      </c>
    </row>
    <row r="6" spans="1:13" x14ac:dyDescent="0.3">
      <c r="A6" s="1">
        <v>2386.8469773629454</v>
      </c>
      <c r="B6" s="2">
        <v>6</v>
      </c>
      <c r="C6">
        <v>22.457425479891199</v>
      </c>
      <c r="D6">
        <v>30.962790221951298</v>
      </c>
      <c r="E6">
        <v>22.5316142647738</v>
      </c>
      <c r="F6">
        <v>6.97749044142867</v>
      </c>
      <c r="G6">
        <v>2.1622334730741901</v>
      </c>
      <c r="H6">
        <f>A6-A2</f>
        <v>674.2217375446246</v>
      </c>
      <c r="I6">
        <f t="shared" si="0"/>
        <v>1.3474455287934719E-2</v>
      </c>
      <c r="J6">
        <f t="shared" si="1"/>
        <v>1.8577674133170779E-2</v>
      </c>
      <c r="K6">
        <f t="shared" si="2"/>
        <v>1.3518968558864279E-2</v>
      </c>
      <c r="L6">
        <f t="shared" si="3"/>
        <v>4.1864942648572019E-3</v>
      </c>
      <c r="M6">
        <f t="shared" si="4"/>
        <v>1.2973400838445139E-3</v>
      </c>
    </row>
    <row r="7" spans="1:13" x14ac:dyDescent="0.3">
      <c r="A7" s="1">
        <v>2479.4504746133998</v>
      </c>
      <c r="B7" s="2">
        <v>3</v>
      </c>
      <c r="C7">
        <v>19.586828210827498</v>
      </c>
      <c r="D7">
        <v>34.742519232924998</v>
      </c>
      <c r="E7">
        <v>26.0252774465329</v>
      </c>
      <c r="F7">
        <v>10.604810069263801</v>
      </c>
      <c r="G7">
        <v>1.71718760117117</v>
      </c>
      <c r="H7">
        <f>A7-A2</f>
        <v>766.82523479507904</v>
      </c>
      <c r="I7">
        <f t="shared" si="0"/>
        <v>5.8760484632482488E-3</v>
      </c>
      <c r="J7">
        <f t="shared" si="1"/>
        <v>1.0422755769877499E-2</v>
      </c>
      <c r="K7">
        <f t="shared" si="2"/>
        <v>7.8075832339598696E-3</v>
      </c>
      <c r="L7">
        <f t="shared" si="3"/>
        <v>3.1814430207791401E-3</v>
      </c>
      <c r="M7">
        <f t="shared" si="4"/>
        <v>5.1515628035135098E-4</v>
      </c>
    </row>
    <row r="8" spans="1:13" x14ac:dyDescent="0.3">
      <c r="A8" s="1">
        <v>2591.6560995621267</v>
      </c>
      <c r="B8" s="2">
        <v>0.5</v>
      </c>
      <c r="C8">
        <v>19.421390141890601</v>
      </c>
      <c r="D8">
        <v>33.481724376410597</v>
      </c>
      <c r="E8">
        <v>25.654139109985799</v>
      </c>
      <c r="F8">
        <v>11.0752047881297</v>
      </c>
      <c r="G8">
        <v>1.64916087203273</v>
      </c>
      <c r="H8">
        <f>A8-A2</f>
        <v>879.03085974380588</v>
      </c>
      <c r="I8">
        <f t="shared" si="0"/>
        <v>9.7106950709453007E-4</v>
      </c>
      <c r="J8">
        <f t="shared" si="1"/>
        <v>1.67408621882053E-3</v>
      </c>
      <c r="K8">
        <f t="shared" si="2"/>
        <v>1.2827069554992901E-3</v>
      </c>
      <c r="L8">
        <f t="shared" si="3"/>
        <v>5.5376023940648502E-4</v>
      </c>
      <c r="M8">
        <f t="shared" si="4"/>
        <v>8.2458043601636491E-5</v>
      </c>
    </row>
    <row r="9" spans="1:13" x14ac:dyDescent="0.3">
      <c r="A9" s="1">
        <v>2677.9274088655343</v>
      </c>
      <c r="B9" s="2">
        <v>2</v>
      </c>
      <c r="C9">
        <v>16.292210639563599</v>
      </c>
      <c r="D9">
        <v>33.078754100372002</v>
      </c>
      <c r="E9">
        <v>27.805305771510302</v>
      </c>
      <c r="F9">
        <v>16.847327127938499</v>
      </c>
      <c r="G9">
        <v>1.29856595888259</v>
      </c>
      <c r="H9">
        <f>A9-A2</f>
        <v>965.30216904721351</v>
      </c>
      <c r="I9">
        <f t="shared" si="0"/>
        <v>3.2584421279127202E-3</v>
      </c>
      <c r="J9">
        <f t="shared" si="1"/>
        <v>6.6157508200744009E-3</v>
      </c>
      <c r="K9">
        <f t="shared" si="2"/>
        <v>5.5610611543020607E-3</v>
      </c>
      <c r="L9">
        <f t="shared" si="3"/>
        <v>3.3694654255876999E-3</v>
      </c>
      <c r="M9">
        <f t="shared" si="4"/>
        <v>2.5971319177651802E-4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1F38-C87D-410A-82FD-427B9EE90A96}">
  <dimension ref="A1:W14"/>
  <sheetViews>
    <sheetView workbookViewId="0">
      <selection activeCell="M18" sqref="M18"/>
    </sheetView>
  </sheetViews>
  <sheetFormatPr defaultRowHeight="14.4" x14ac:dyDescent="0.3"/>
  <sheetData>
    <row r="1" spans="1:23" x14ac:dyDescent="0.3">
      <c r="A1" s="1" t="s">
        <v>38</v>
      </c>
      <c r="B1" s="1" t="s">
        <v>39</v>
      </c>
      <c r="C1" s="1" t="s">
        <v>40</v>
      </c>
      <c r="D1" s="1">
        <v>3000</v>
      </c>
      <c r="E1" s="1">
        <v>2407.4549999999999</v>
      </c>
      <c r="F1" s="1">
        <v>1931.9469999999999</v>
      </c>
      <c r="G1" s="1">
        <v>1550.3589999999999</v>
      </c>
      <c r="H1" s="1">
        <v>1244.1400000000001</v>
      </c>
      <c r="I1" s="1">
        <v>998.404</v>
      </c>
      <c r="J1" s="1">
        <v>801.20399999999995</v>
      </c>
      <c r="K1" s="1">
        <v>642.95399999999995</v>
      </c>
      <c r="L1" s="7">
        <v>515.96100000000001</v>
      </c>
      <c r="M1" s="7">
        <v>414.05099999999999</v>
      </c>
      <c r="N1" s="7">
        <v>332.27</v>
      </c>
      <c r="O1" s="7">
        <v>266.642</v>
      </c>
      <c r="P1" s="7">
        <v>213.976</v>
      </c>
      <c r="Q1" s="7">
        <v>171.71299999999999</v>
      </c>
      <c r="R1" s="7">
        <v>137.797</v>
      </c>
      <c r="S1" s="7">
        <v>110.58</v>
      </c>
      <c r="T1" s="1">
        <v>88.739000000000004</v>
      </c>
      <c r="U1" s="1">
        <v>71.210999999999999</v>
      </c>
      <c r="V1" s="1">
        <v>57.146000000000001</v>
      </c>
      <c r="W1" s="1"/>
    </row>
    <row r="2" spans="1:23" x14ac:dyDescent="0.3">
      <c r="A2" s="1">
        <v>422</v>
      </c>
      <c r="B2" s="1">
        <v>1712.6252398183208</v>
      </c>
      <c r="C2" s="2">
        <v>12</v>
      </c>
      <c r="D2" s="2">
        <v>1.4666666666666666E-2</v>
      </c>
      <c r="E2" s="2">
        <v>4.5333333333333337E-2</v>
      </c>
      <c r="F2" s="2">
        <v>0.10566666666666667</v>
      </c>
      <c r="G2" s="2">
        <v>0.21966666666666668</v>
      </c>
      <c r="H2" s="2">
        <v>0.50266666666666671</v>
      </c>
      <c r="I2" s="2">
        <v>1.075</v>
      </c>
      <c r="J2" s="2">
        <v>1.9303333333333332</v>
      </c>
      <c r="K2" s="2">
        <v>3.2479999999999998</v>
      </c>
      <c r="L2" s="2">
        <v>27.909666666666666</v>
      </c>
      <c r="M2" s="2">
        <v>33.659999999999997</v>
      </c>
      <c r="N2" s="2">
        <v>24.231333333333332</v>
      </c>
      <c r="O2" s="2">
        <v>3.5990000000000002</v>
      </c>
      <c r="P2" s="2">
        <v>2.2610000000000001</v>
      </c>
      <c r="Q2" s="2">
        <v>0.95466666666666666</v>
      </c>
      <c r="R2" s="2">
        <v>0.23033333333333333</v>
      </c>
      <c r="S2" s="2">
        <v>1.2999999999999999E-2</v>
      </c>
      <c r="T2" s="2">
        <v>0</v>
      </c>
      <c r="U2" s="2">
        <v>0</v>
      </c>
      <c r="V2" s="2">
        <v>0</v>
      </c>
      <c r="W2" s="2">
        <f>SUM(D2:V2)</f>
        <v>100.00033333333333</v>
      </c>
    </row>
    <row r="3" spans="1:23" x14ac:dyDescent="0.3">
      <c r="A3" s="1">
        <v>423</v>
      </c>
      <c r="B3" s="1">
        <v>1822.2714216003524</v>
      </c>
      <c r="C3" s="2">
        <v>9</v>
      </c>
      <c r="D3" s="1">
        <v>0</v>
      </c>
      <c r="E3" s="1">
        <v>6.1666666666666661E-2</v>
      </c>
      <c r="F3" s="1">
        <v>0.35100000000000003</v>
      </c>
      <c r="G3" s="1">
        <v>1.0430000000000001</v>
      </c>
      <c r="H3" s="1">
        <v>1.9863333333333331</v>
      </c>
      <c r="I3" s="1">
        <v>2.6669999999999998</v>
      </c>
      <c r="J3" s="1">
        <v>2.9673333333333334</v>
      </c>
      <c r="K3" s="1">
        <v>2.7076666666666664</v>
      </c>
      <c r="L3" s="1">
        <v>28.330666666666666</v>
      </c>
      <c r="M3" s="1">
        <v>32.13966666666667</v>
      </c>
      <c r="N3" s="1">
        <v>22.320333333333334</v>
      </c>
      <c r="O3" s="1">
        <v>2.5523333333333333</v>
      </c>
      <c r="P3" s="1">
        <v>1.8586666666666667</v>
      </c>
      <c r="Q3" s="1">
        <v>0.75600000000000001</v>
      </c>
      <c r="R3" s="1">
        <v>0.17066666666666666</v>
      </c>
      <c r="S3" s="1">
        <v>4.0000000000000001E-3</v>
      </c>
      <c r="T3" s="1">
        <v>0</v>
      </c>
      <c r="U3" s="1">
        <v>0</v>
      </c>
      <c r="V3" s="1">
        <v>0</v>
      </c>
      <c r="W3" s="1"/>
    </row>
    <row r="4" spans="1:23" x14ac:dyDescent="0.3">
      <c r="A4" s="1">
        <v>426</v>
      </c>
      <c r="B4" s="1">
        <v>2163.3074545178388</v>
      </c>
      <c r="C4" s="2">
        <v>3</v>
      </c>
      <c r="D4" s="1">
        <v>0</v>
      </c>
      <c r="E4" s="1">
        <v>1E-3</v>
      </c>
      <c r="F4" s="1">
        <v>8.0000000000000002E-3</v>
      </c>
      <c r="G4" s="1">
        <v>3.5000000000000003E-2</v>
      </c>
      <c r="H4" s="1">
        <v>0.223</v>
      </c>
      <c r="I4" s="1">
        <v>0.76200000000000001</v>
      </c>
      <c r="J4" s="1">
        <v>1.6519999999999999</v>
      </c>
      <c r="K4" s="1">
        <v>2.0859999999999999</v>
      </c>
      <c r="L4" s="1">
        <v>30.707000000000001</v>
      </c>
      <c r="M4" s="1">
        <v>35.387999999999998</v>
      </c>
      <c r="N4" s="1">
        <v>24.658000000000001</v>
      </c>
      <c r="O4" s="1">
        <v>2.133</v>
      </c>
      <c r="P4" s="1">
        <v>1.575</v>
      </c>
      <c r="Q4" s="1">
        <v>0.63300000000000001</v>
      </c>
      <c r="R4" s="1">
        <v>0.13900000000000001</v>
      </c>
      <c r="S4" s="1">
        <v>0</v>
      </c>
      <c r="T4" s="1">
        <v>0</v>
      </c>
      <c r="U4" s="1">
        <v>0</v>
      </c>
      <c r="V4" s="1">
        <v>0</v>
      </c>
      <c r="W4" s="1"/>
    </row>
    <row r="5" spans="1:23" x14ac:dyDescent="0.3">
      <c r="A5" s="1">
        <v>427</v>
      </c>
      <c r="B5" s="1">
        <v>2255.7039426554761</v>
      </c>
      <c r="C5" s="2">
        <v>6</v>
      </c>
      <c r="D5" s="1">
        <v>0</v>
      </c>
      <c r="E5" s="1">
        <v>0</v>
      </c>
      <c r="F5" s="1">
        <v>3.5666666666666666E-2</v>
      </c>
      <c r="G5" s="1">
        <v>0.23166666666666669</v>
      </c>
      <c r="H5" s="1">
        <v>0.73466666666666658</v>
      </c>
      <c r="I5" s="1">
        <v>1.4023333333333334</v>
      </c>
      <c r="J5" s="1">
        <v>1.6486666666666667</v>
      </c>
      <c r="K5" s="1">
        <v>1.2003333333333333</v>
      </c>
      <c r="L5" s="1">
        <v>25.419333333333334</v>
      </c>
      <c r="M5" s="1">
        <v>35.287666666666667</v>
      </c>
      <c r="N5" s="1">
        <v>27.604333333333336</v>
      </c>
      <c r="O5" s="1">
        <v>3.1273333333333335</v>
      </c>
      <c r="P5" s="1">
        <v>2.1506666666666665</v>
      </c>
      <c r="Q5" s="1">
        <v>0.92166666666666675</v>
      </c>
      <c r="R5" s="1">
        <v>0.22466666666666668</v>
      </c>
      <c r="S5" s="1">
        <v>1.1000000000000001E-2</v>
      </c>
      <c r="T5" s="1">
        <v>0</v>
      </c>
      <c r="U5" s="1">
        <v>0</v>
      </c>
      <c r="V5" s="1">
        <v>0</v>
      </c>
      <c r="W5" s="1"/>
    </row>
    <row r="6" spans="1:23" x14ac:dyDescent="0.3">
      <c r="A6" s="1">
        <v>428</v>
      </c>
      <c r="B6" s="1">
        <v>2386.8469773629454</v>
      </c>
      <c r="C6" s="2">
        <v>6</v>
      </c>
      <c r="D6" s="1">
        <v>0</v>
      </c>
      <c r="E6" s="1">
        <v>1.7999999999999999E-2</v>
      </c>
      <c r="F6" s="1">
        <v>0.115</v>
      </c>
      <c r="G6" s="1">
        <v>0.371</v>
      </c>
      <c r="H6" s="1">
        <v>0.72899999999999998</v>
      </c>
      <c r="I6" s="1">
        <v>1.018</v>
      </c>
      <c r="J6" s="1">
        <v>1.238</v>
      </c>
      <c r="K6" s="1">
        <v>1.6400000000000001</v>
      </c>
      <c r="L6" s="1">
        <v>13.291499999999999</v>
      </c>
      <c r="M6" s="1">
        <v>35.962000000000003</v>
      </c>
      <c r="N6" s="1">
        <v>33.744</v>
      </c>
      <c r="O6" s="1">
        <v>8.8904999999999994</v>
      </c>
      <c r="P6" s="1">
        <v>1.9635</v>
      </c>
      <c r="Q6" s="1">
        <v>0.82150000000000001</v>
      </c>
      <c r="R6" s="1">
        <v>0.1925</v>
      </c>
      <c r="S6" s="1">
        <v>6.0000000000000001E-3</v>
      </c>
      <c r="T6" s="1">
        <v>0</v>
      </c>
      <c r="U6" s="1">
        <v>0</v>
      </c>
      <c r="V6" s="1">
        <v>0</v>
      </c>
      <c r="W6" s="1"/>
    </row>
    <row r="7" spans="1:23" x14ac:dyDescent="0.3">
      <c r="A7" s="1">
        <v>429</v>
      </c>
      <c r="B7" s="1">
        <v>2479.4504746134048</v>
      </c>
      <c r="C7" s="2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0.19600000000000001</v>
      </c>
      <c r="J7" s="1">
        <v>0.89600000000000002</v>
      </c>
      <c r="K7" s="1">
        <v>2.226</v>
      </c>
      <c r="L7" s="1">
        <v>5.1909999999999998</v>
      </c>
      <c r="M7" s="1">
        <v>38.43</v>
      </c>
      <c r="N7" s="1">
        <v>37.707999999999998</v>
      </c>
      <c r="O7" s="1">
        <v>13.164999999999999</v>
      </c>
      <c r="P7" s="1">
        <v>1.4119999999999999</v>
      </c>
      <c r="Q7" s="1">
        <v>0.61399999999999999</v>
      </c>
      <c r="R7" s="1">
        <v>0.153</v>
      </c>
      <c r="S7" s="1">
        <v>8.9999999999999993E-3</v>
      </c>
      <c r="T7" s="1">
        <v>0</v>
      </c>
      <c r="U7" s="1">
        <v>0</v>
      </c>
      <c r="V7" s="1">
        <v>0</v>
      </c>
      <c r="W7" s="1"/>
    </row>
    <row r="8" spans="1:23" x14ac:dyDescent="0.3">
      <c r="A8" s="1">
        <v>471</v>
      </c>
      <c r="B8" s="1">
        <v>2591.6560995621267</v>
      </c>
      <c r="C8" s="2">
        <v>0.5</v>
      </c>
      <c r="D8" s="1">
        <v>0</v>
      </c>
      <c r="E8" s="1">
        <v>0</v>
      </c>
      <c r="F8" s="1">
        <v>8.0000000000000002E-3</v>
      </c>
      <c r="G8" s="1">
        <v>4.5999999999999999E-2</v>
      </c>
      <c r="H8" s="1">
        <v>0.13800000000000001</v>
      </c>
      <c r="I8" s="1">
        <v>0.44400000000000001</v>
      </c>
      <c r="J8" s="1">
        <v>1.181</v>
      </c>
      <c r="K8" s="1">
        <v>2.427</v>
      </c>
      <c r="L8" s="1">
        <v>5.9989999999999997</v>
      </c>
      <c r="M8" s="1">
        <v>37.112000000000002</v>
      </c>
      <c r="N8" s="1">
        <v>36.875</v>
      </c>
      <c r="O8" s="1">
        <v>13.696</v>
      </c>
      <c r="P8" s="1">
        <v>1.3320000000000001</v>
      </c>
      <c r="Q8" s="1">
        <v>0.58399999999999996</v>
      </c>
      <c r="R8" s="1">
        <v>0.14699999999999999</v>
      </c>
      <c r="S8" s="1">
        <v>8.9999999999999993E-3</v>
      </c>
      <c r="T8" s="1">
        <v>0</v>
      </c>
      <c r="U8" s="1">
        <v>0</v>
      </c>
      <c r="V8" s="1">
        <v>0</v>
      </c>
      <c r="W8" s="1"/>
    </row>
    <row r="9" spans="1:23" x14ac:dyDescent="0.3">
      <c r="A9" s="1">
        <v>470</v>
      </c>
      <c r="B9" s="1">
        <v>2677.9274088655343</v>
      </c>
      <c r="C9" s="2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0.14399999999999999</v>
      </c>
      <c r="J9" s="1">
        <v>0.65600000000000003</v>
      </c>
      <c r="K9" s="1">
        <v>1.6319999999999999</v>
      </c>
      <c r="L9" s="1">
        <v>2.2160000000000002</v>
      </c>
      <c r="M9" s="1">
        <v>35.301000000000002</v>
      </c>
      <c r="N9" s="1">
        <v>37.978000000000002</v>
      </c>
      <c r="O9" s="1">
        <v>20.344000000000001</v>
      </c>
      <c r="P9" s="1">
        <v>0.84399999999999997</v>
      </c>
      <c r="Q9" s="1">
        <v>0.59899999999999998</v>
      </c>
      <c r="R9" s="1">
        <v>0.23499999999999999</v>
      </c>
      <c r="S9" s="1">
        <v>0.05</v>
      </c>
      <c r="T9" s="1">
        <v>0</v>
      </c>
      <c r="U9" s="1">
        <v>0</v>
      </c>
      <c r="V9" s="1">
        <v>0</v>
      </c>
      <c r="W9" s="1"/>
    </row>
    <row r="10" spans="1:23" x14ac:dyDescent="0.3">
      <c r="A10" s="8" t="s">
        <v>41</v>
      </c>
      <c r="B10" s="8">
        <v>420</v>
      </c>
      <c r="C10" s="9">
        <v>20</v>
      </c>
      <c r="D10" s="10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1">
        <v>417</v>
      </c>
      <c r="B11" s="1">
        <v>693.8</v>
      </c>
      <c r="C11" s="2">
        <v>5</v>
      </c>
      <c r="D11" s="1">
        <v>0</v>
      </c>
      <c r="E11" s="1">
        <v>6.2E-2</v>
      </c>
      <c r="F11" s="1">
        <v>0.34399999999999997</v>
      </c>
      <c r="G11" s="1">
        <v>0.98599999999999999</v>
      </c>
      <c r="H11" s="1">
        <v>1.66</v>
      </c>
      <c r="I11" s="1">
        <v>1.8380000000000001</v>
      </c>
      <c r="J11" s="1">
        <v>1.7869999999999999</v>
      </c>
      <c r="K11" s="1">
        <v>2.319</v>
      </c>
      <c r="L11" s="1">
        <v>8.0630000000000006</v>
      </c>
      <c r="M11" s="1">
        <v>33.040999999999997</v>
      </c>
      <c r="N11" s="1">
        <v>31.835999999999999</v>
      </c>
      <c r="O11" s="1">
        <v>13.282999999999999</v>
      </c>
      <c r="P11" s="1">
        <v>2.68</v>
      </c>
      <c r="Q11" s="1">
        <v>1.5129999999999999</v>
      </c>
      <c r="R11" s="1">
        <v>0.50600000000000001</v>
      </c>
      <c r="S11" s="1">
        <v>8.4000000000000005E-2</v>
      </c>
      <c r="T11" s="1">
        <v>0</v>
      </c>
      <c r="U11" s="1">
        <v>0</v>
      </c>
      <c r="V11" s="1">
        <v>0</v>
      </c>
      <c r="W11" s="1"/>
    </row>
    <row r="12" spans="1:23" x14ac:dyDescent="0.3">
      <c r="A12" s="1"/>
      <c r="B12" s="1"/>
      <c r="C12" s="1"/>
      <c r="D12" s="1">
        <f t="shared" ref="D12:K12" si="0">-LOG(D1/1000,2)</f>
        <v>-1.5849625007211563</v>
      </c>
      <c r="E12" s="1">
        <f t="shared" si="0"/>
        <v>-1.267508831554264</v>
      </c>
      <c r="F12" s="1">
        <f t="shared" si="0"/>
        <v>-0.95005551659295229</v>
      </c>
      <c r="G12" s="1">
        <f t="shared" si="0"/>
        <v>-0.63260232359602275</v>
      </c>
      <c r="H12" s="1">
        <f t="shared" si="0"/>
        <v>-0.31514883751135686</v>
      </c>
      <c r="I12" s="1">
        <f t="shared" si="0"/>
        <v>2.3043806705709716E-3</v>
      </c>
      <c r="J12" s="1">
        <f t="shared" si="0"/>
        <v>0.3197584710835239</v>
      </c>
      <c r="K12" s="1">
        <f t="shared" si="0"/>
        <v>0.63721257093572947</v>
      </c>
      <c r="L12" s="1">
        <f>-LOG(L1/1000,2)</f>
        <v>0.95466607426402572</v>
      </c>
      <c r="M12" s="1">
        <f t="shared" ref="M12:S12" si="1">-LOG(M1/1000,2)</f>
        <v>1.2721196148064495</v>
      </c>
      <c r="N12" s="1">
        <f t="shared" si="1"/>
        <v>1.5895720540543457</v>
      </c>
      <c r="O12" s="1">
        <f t="shared" si="1"/>
        <v>1.9070240510722112</v>
      </c>
      <c r="P12" s="1">
        <f t="shared" si="1"/>
        <v>2.2244791049090589</v>
      </c>
      <c r="Q12" s="1">
        <f t="shared" si="1"/>
        <v>2.5419288282580719</v>
      </c>
      <c r="R12" s="1">
        <f t="shared" si="1"/>
        <v>2.8593836156422268</v>
      </c>
      <c r="S12" s="1">
        <f t="shared" si="1"/>
        <v>3.1768376180849427</v>
      </c>
      <c r="T12" s="1"/>
      <c r="U12" s="1"/>
      <c r="V12" s="1"/>
      <c r="W12" s="1"/>
    </row>
    <row r="13" spans="1:23" x14ac:dyDescent="0.3">
      <c r="A13" s="1"/>
      <c r="B13" s="1"/>
      <c r="C13" s="1"/>
      <c r="D13" s="2">
        <f t="shared" ref="D13:R13" si="2">SUM(D2:D9)</f>
        <v>1.4666666666666666E-2</v>
      </c>
      <c r="E13" s="2">
        <f t="shared" si="2"/>
        <v>0.126</v>
      </c>
      <c r="F13" s="2">
        <f t="shared" si="2"/>
        <v>0.62333333333333341</v>
      </c>
      <c r="G13" s="2">
        <f t="shared" si="2"/>
        <v>1.9463333333333335</v>
      </c>
      <c r="H13" s="2">
        <f t="shared" si="2"/>
        <v>4.3136666666666663</v>
      </c>
      <c r="I13" s="2">
        <f t="shared" si="2"/>
        <v>7.7083333333333321</v>
      </c>
      <c r="J13" s="2">
        <f t="shared" si="2"/>
        <v>12.169333333333336</v>
      </c>
      <c r="K13" s="2">
        <f t="shared" si="2"/>
        <v>17.167000000000002</v>
      </c>
      <c r="L13" s="2">
        <f t="shared" si="2"/>
        <v>139.06416666666667</v>
      </c>
      <c r="M13" s="2">
        <f t="shared" si="2"/>
        <v>283.28033333333337</v>
      </c>
      <c r="N13" s="2">
        <f t="shared" si="2"/>
        <v>245.119</v>
      </c>
      <c r="O13" s="2">
        <f t="shared" si="2"/>
        <v>67.507166666666663</v>
      </c>
      <c r="P13" s="2">
        <f t="shared" si="2"/>
        <v>13.396833333333335</v>
      </c>
      <c r="Q13" s="2">
        <f t="shared" si="2"/>
        <v>5.8838333333333335</v>
      </c>
      <c r="R13" s="2">
        <f t="shared" si="2"/>
        <v>1.4921666666666669</v>
      </c>
      <c r="S13" s="2">
        <f t="shared" ref="S13" si="3">SUM(S2:S9)</f>
        <v>0.10200000000000001</v>
      </c>
      <c r="T13" s="1"/>
      <c r="U13" s="1"/>
      <c r="V13" s="1"/>
      <c r="W13" s="1"/>
    </row>
    <row r="14" spans="1:23" x14ac:dyDescent="0.3">
      <c r="A14" s="1"/>
      <c r="B14" s="1"/>
      <c r="C14" s="1"/>
      <c r="D14" s="1">
        <f>D13/SUM($D$13:$S$13)</f>
        <v>1.8335300558289065E-5</v>
      </c>
      <c r="E14" s="1">
        <f t="shared" ref="E14:S14" si="4">E13/SUM($D$13:$S$13)</f>
        <v>1.5751690025075606E-4</v>
      </c>
      <c r="F14" s="1">
        <f t="shared" si="4"/>
        <v>7.7925027372728541E-4</v>
      </c>
      <c r="G14" s="1">
        <f t="shared" si="4"/>
        <v>2.433177726360224E-3</v>
      </c>
      <c r="H14" s="1">
        <f t="shared" si="4"/>
        <v>5.3926619210186086E-3</v>
      </c>
      <c r="I14" s="1">
        <f t="shared" si="4"/>
        <v>9.6364505775098763E-3</v>
      </c>
      <c r="J14" s="1">
        <f t="shared" si="4"/>
        <v>1.5213298926864032E-2</v>
      </c>
      <c r="K14" s="1">
        <f t="shared" si="4"/>
        <v>2.1461052592101029E-2</v>
      </c>
      <c r="L14" s="1">
        <f t="shared" si="4"/>
        <v>0.1738488608673639</v>
      </c>
      <c r="M14" s="1">
        <f t="shared" si="4"/>
        <v>0.3541384127672032</v>
      </c>
      <c r="N14" s="1">
        <f t="shared" si="4"/>
        <v>0.30643162756004028</v>
      </c>
      <c r="O14" s="1">
        <f t="shared" si="4"/>
        <v>8.4393013000353151E-2</v>
      </c>
      <c r="P14" s="1">
        <f t="shared" si="4"/>
        <v>1.6747838570179929E-2</v>
      </c>
      <c r="Q14" s="1">
        <f t="shared" si="4"/>
        <v>7.3555808591963517E-3</v>
      </c>
      <c r="R14" s="1">
        <f t="shared" si="4"/>
        <v>1.8654084761177503E-3</v>
      </c>
      <c r="S14" s="1">
        <f t="shared" si="4"/>
        <v>1.2751368115537396E-4</v>
      </c>
      <c r="T14" s="1"/>
      <c r="U14" s="1"/>
      <c r="V14" s="1"/>
      <c r="W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AB0D-88F1-4E46-B696-1054E89141A5}">
  <dimension ref="A1:K9"/>
  <sheetViews>
    <sheetView workbookViewId="0">
      <selection activeCell="H1" sqref="H1:K1"/>
    </sheetView>
  </sheetViews>
  <sheetFormatPr defaultRowHeight="14.4" x14ac:dyDescent="0.3"/>
  <cols>
    <col min="3" max="3" width="14.33203125" customWidth="1"/>
    <col min="4" max="4" width="16" customWidth="1"/>
    <col min="5" max="5" width="13.6640625" customWidth="1"/>
    <col min="6" max="6" width="12.5546875" customWidth="1"/>
    <col min="7" max="7" width="11.33203125" customWidth="1"/>
  </cols>
  <sheetData>
    <row r="1" spans="1:11" x14ac:dyDescent="0.3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7</v>
      </c>
      <c r="H1">
        <f>2^(-(0.875+1.1875)/2)*1000</f>
        <v>489.28603104385007</v>
      </c>
      <c r="I1">
        <f>2^(-(1.1875+1.5)/2)*1000</f>
        <v>393.99521127697165</v>
      </c>
      <c r="J1">
        <f>2^(-(1.5+1.8125)/2)*1000</f>
        <v>317.26273929793331</v>
      </c>
      <c r="K1">
        <f>2^(-(1.8125+2.125)/2)*1000</f>
        <v>255.47428716352923</v>
      </c>
    </row>
    <row r="2" spans="1:11" x14ac:dyDescent="0.3">
      <c r="A2" s="1">
        <v>1712.6252398183208</v>
      </c>
      <c r="B2" s="2">
        <v>12</v>
      </c>
      <c r="C2">
        <v>31.865585505480599</v>
      </c>
      <c r="D2">
        <v>26.2319851166517</v>
      </c>
      <c r="E2">
        <v>9.3174921865625002</v>
      </c>
      <c r="F2">
        <v>2.6646832157258</v>
      </c>
      <c r="G2">
        <v>0</v>
      </c>
      <c r="H2">
        <f>$B2*0.01*C2/100</f>
        <v>3.8238702606576719E-2</v>
      </c>
      <c r="I2">
        <f>$B2*0.01*D2/100</f>
        <v>3.1478382139982039E-2</v>
      </c>
      <c r="J2">
        <f>$B2*0.01*E2/100</f>
        <v>1.1180990623875E-2</v>
      </c>
      <c r="K2">
        <f>$B2*0.01*F2/100</f>
        <v>3.1976198588709597E-3</v>
      </c>
    </row>
    <row r="3" spans="1:11" x14ac:dyDescent="0.3">
      <c r="A3" s="1">
        <v>1822.2714216003524</v>
      </c>
      <c r="B3" s="2">
        <v>9</v>
      </c>
      <c r="C3">
        <v>30.849346663975702</v>
      </c>
      <c r="D3">
        <v>24.4602713278422</v>
      </c>
      <c r="E3">
        <v>8.0522630196640606</v>
      </c>
      <c r="F3">
        <v>2.0667393314468101</v>
      </c>
      <c r="G3">
        <v>109.64618178203159</v>
      </c>
      <c r="H3">
        <f t="shared" ref="H3:H9" si="0">$B3*0.01*C3/100</f>
        <v>2.776441199757813E-2</v>
      </c>
      <c r="I3">
        <f t="shared" ref="I3:I9" si="1">$B3*0.01*D3/100</f>
        <v>2.2014244195057979E-2</v>
      </c>
      <c r="J3">
        <f t="shared" ref="J3:J9" si="2">$B3*0.01*E3/100</f>
        <v>7.2470367176976549E-3</v>
      </c>
      <c r="K3">
        <f t="shared" ref="K3:K9" si="3">$B3*0.01*F3/100</f>
        <v>1.8600653983021291E-3</v>
      </c>
    </row>
    <row r="4" spans="1:11" x14ac:dyDescent="0.3">
      <c r="A4" s="1">
        <v>2163.3074545178388</v>
      </c>
      <c r="B4" s="2">
        <v>3</v>
      </c>
      <c r="C4">
        <v>33.844745732255099</v>
      </c>
      <c r="D4">
        <v>26.9912232142857</v>
      </c>
      <c r="E4">
        <v>8.4181640624999901</v>
      </c>
      <c r="F4">
        <v>1.7422371471774101</v>
      </c>
      <c r="G4">
        <v>450.682214699518</v>
      </c>
      <c r="H4">
        <f t="shared" si="0"/>
        <v>1.0153423719676528E-2</v>
      </c>
      <c r="I4">
        <f t="shared" si="1"/>
        <v>8.0973669642857085E-3</v>
      </c>
      <c r="J4">
        <f t="shared" si="2"/>
        <v>2.5254492187499972E-3</v>
      </c>
      <c r="K4">
        <f t="shared" si="3"/>
        <v>5.2267114415322305E-4</v>
      </c>
    </row>
    <row r="5" spans="1:11" x14ac:dyDescent="0.3">
      <c r="A5" s="1">
        <v>2255.7039426554761</v>
      </c>
      <c r="B5" s="2">
        <v>6</v>
      </c>
      <c r="C5">
        <v>32.440459570354797</v>
      </c>
      <c r="D5">
        <v>29.082622518318399</v>
      </c>
      <c r="E5">
        <v>9.9381927071640597</v>
      </c>
      <c r="F5">
        <v>2.4444507729790801</v>
      </c>
      <c r="G5">
        <v>543.07870283715533</v>
      </c>
      <c r="H5">
        <f t="shared" si="0"/>
        <v>1.9464275742212878E-2</v>
      </c>
      <c r="I5">
        <f t="shared" si="1"/>
        <v>1.7449573510991037E-2</v>
      </c>
      <c r="J5">
        <f t="shared" si="2"/>
        <v>5.9629156242984359E-3</v>
      </c>
      <c r="K5">
        <f t="shared" si="3"/>
        <v>1.4666704637874481E-3</v>
      </c>
    </row>
    <row r="6" spans="1:11" x14ac:dyDescent="0.3">
      <c r="A6" s="1">
        <v>2386.8469773629454</v>
      </c>
      <c r="B6" s="2">
        <v>6</v>
      </c>
      <c r="C6">
        <v>29.887154537286602</v>
      </c>
      <c r="D6">
        <v>33.672119047618999</v>
      </c>
      <c r="E6">
        <v>15.672175781250001</v>
      </c>
      <c r="F6">
        <v>4.0706064768144996</v>
      </c>
      <c r="G6">
        <v>674.2217375446246</v>
      </c>
      <c r="H6">
        <f t="shared" si="0"/>
        <v>1.793229272237196E-2</v>
      </c>
      <c r="I6">
        <f t="shared" si="1"/>
        <v>2.0203271428571399E-2</v>
      </c>
      <c r="J6">
        <f t="shared" si="2"/>
        <v>9.4033054687500013E-3</v>
      </c>
      <c r="K6">
        <f t="shared" si="3"/>
        <v>2.4423638860886997E-3</v>
      </c>
    </row>
    <row r="7" spans="1:11" x14ac:dyDescent="0.3">
      <c r="A7" s="1">
        <v>2479.4504746133998</v>
      </c>
      <c r="B7" s="2">
        <v>3</v>
      </c>
      <c r="C7">
        <v>29.6709119496855</v>
      </c>
      <c r="D7">
        <v>37.167624999999902</v>
      </c>
      <c r="E7">
        <v>19.759164062499998</v>
      </c>
      <c r="F7">
        <v>4.9905012600806398</v>
      </c>
      <c r="G7">
        <v>766.82523479507904</v>
      </c>
      <c r="H7">
        <f t="shared" si="0"/>
        <v>8.9012735849056494E-3</v>
      </c>
      <c r="I7">
        <f t="shared" si="1"/>
        <v>1.1150287499999969E-2</v>
      </c>
      <c r="J7">
        <f t="shared" si="2"/>
        <v>5.9277492187499994E-3</v>
      </c>
      <c r="K7">
        <f t="shared" si="3"/>
        <v>1.4971503780241919E-3</v>
      </c>
    </row>
    <row r="8" spans="1:11" x14ac:dyDescent="0.3">
      <c r="A8" s="1">
        <v>2591.6560995621267</v>
      </c>
      <c r="B8" s="2">
        <v>0.5</v>
      </c>
      <c r="C8">
        <v>28.901372866127499</v>
      </c>
      <c r="D8">
        <v>36.223715773809502</v>
      </c>
      <c r="E8">
        <v>19.8940937499999</v>
      </c>
      <c r="F8">
        <v>5.0968064516128999</v>
      </c>
      <c r="G8">
        <v>879.03085974380588</v>
      </c>
      <c r="H8">
        <f t="shared" si="0"/>
        <v>1.4450686433063751E-3</v>
      </c>
      <c r="I8">
        <f t="shared" si="1"/>
        <v>1.811185788690475E-3</v>
      </c>
      <c r="J8">
        <f t="shared" si="2"/>
        <v>9.9470468749999499E-4</v>
      </c>
      <c r="K8">
        <f t="shared" si="3"/>
        <v>2.5484032258064502E-4</v>
      </c>
    </row>
    <row r="9" spans="1:11" x14ac:dyDescent="0.3">
      <c r="A9" s="1">
        <v>2677.9274088655343</v>
      </c>
      <c r="B9" s="2">
        <v>2</v>
      </c>
      <c r="C9">
        <v>26.612984276729499</v>
      </c>
      <c r="D9">
        <v>36.542187499999898</v>
      </c>
      <c r="E9">
        <v>24.826750000000001</v>
      </c>
      <c r="F9">
        <v>6.7839173387096698</v>
      </c>
      <c r="G9">
        <v>965.30216904721351</v>
      </c>
      <c r="H9">
        <f t="shared" si="0"/>
        <v>5.3225968553459006E-3</v>
      </c>
      <c r="I9">
        <f t="shared" si="1"/>
        <v>7.3084374999999799E-3</v>
      </c>
      <c r="J9">
        <f t="shared" si="2"/>
        <v>4.9653500000000003E-3</v>
      </c>
      <c r="K9">
        <f t="shared" si="3"/>
        <v>1.356783467741934E-3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077F-AE89-4560-85A1-3BF0079E5948}">
  <dimension ref="A1:N10"/>
  <sheetViews>
    <sheetView workbookViewId="0">
      <selection activeCell="H4" sqref="H4"/>
    </sheetView>
  </sheetViews>
  <sheetFormatPr defaultRowHeight="14.4" x14ac:dyDescent="0.3"/>
  <cols>
    <col min="3" max="3" width="22.6640625" customWidth="1"/>
    <col min="4" max="4" width="21" customWidth="1"/>
    <col min="5" max="5" width="12.44140625" customWidth="1"/>
    <col min="6" max="6" width="15" customWidth="1"/>
    <col min="7" max="7" width="27" customWidth="1"/>
    <col min="8" max="8" width="14.109375" customWidth="1"/>
    <col min="9" max="9" width="12" bestFit="1" customWidth="1"/>
    <col min="10" max="10" width="11" bestFit="1" customWidth="1"/>
    <col min="11" max="11" width="12" bestFit="1" customWidth="1"/>
    <col min="12" max="12" width="9.6640625" customWidth="1"/>
    <col min="13" max="14" width="10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>
        <f>2^(-(0.875+1.125)/2)*1000</f>
        <v>500</v>
      </c>
      <c r="J1" s="3">
        <f>2^(-(1.125+1.375)/2)*1000</f>
        <v>420.44820762685731</v>
      </c>
      <c r="K1" s="3">
        <f>2^(-(1.375+1.625)/2)*1000</f>
        <v>353.55339059327378</v>
      </c>
      <c r="L1" s="3">
        <f>2^(-(1.625+1.875)/2)*1000</f>
        <v>297.30177875068028</v>
      </c>
      <c r="M1" s="3">
        <f>2^(-(1.875+2.125)/2)*1000</f>
        <v>250</v>
      </c>
      <c r="N1" t="s">
        <v>15</v>
      </c>
    </row>
    <row r="2" spans="1:14" x14ac:dyDescent="0.3">
      <c r="A2" s="1">
        <v>1712.6252398183208</v>
      </c>
      <c r="B2" s="2">
        <v>12</v>
      </c>
      <c r="C2">
        <v>25.1870140769092</v>
      </c>
      <c r="D2">
        <v>23.445191963191899</v>
      </c>
      <c r="E2">
        <v>16.674067706093702</v>
      </c>
      <c r="F2">
        <v>2.8117187499999901</v>
      </c>
      <c r="G2">
        <v>1.9617535282257901</v>
      </c>
      <c r="H2">
        <f>A2-A2</f>
        <v>0</v>
      </c>
      <c r="I2">
        <f>$B2*0.01*C2/100</f>
        <v>3.0224416892291037E-2</v>
      </c>
      <c r="J2">
        <f>$B2*0.01*D2/100</f>
        <v>2.8134230355830278E-2</v>
      </c>
      <c r="K2">
        <f>$B2*0.01*E2/100</f>
        <v>2.0008881247312441E-2</v>
      </c>
      <c r="L2">
        <f>$B2*0.01*F2/100</f>
        <v>3.3740624999999882E-3</v>
      </c>
      <c r="M2">
        <f>$B2*0.01*G2/100</f>
        <v>2.3541042338709479E-3</v>
      </c>
      <c r="N2">
        <f>SUM(I2:M2)</f>
        <v>8.4095695229304684E-2</v>
      </c>
    </row>
    <row r="3" spans="1:14" x14ac:dyDescent="0.3">
      <c r="A3" s="1">
        <v>1822.2714216003524</v>
      </c>
      <c r="B3" s="2">
        <v>9</v>
      </c>
      <c r="C3">
        <v>24.4724286738963</v>
      </c>
      <c r="D3">
        <v>22.118309110890301</v>
      </c>
      <c r="E3">
        <v>15.275635414390599</v>
      </c>
      <c r="F3">
        <v>1.99401041640625</v>
      </c>
      <c r="G3">
        <v>1.56823672734525</v>
      </c>
      <c r="H3">
        <f>A3-A2</f>
        <v>109.64618178203159</v>
      </c>
      <c r="I3">
        <f t="shared" ref="I3:I9" si="0">$B3*0.01*C3/100</f>
        <v>2.202518580650667E-2</v>
      </c>
      <c r="J3">
        <f t="shared" ref="J3:J9" si="1">$B3*0.01*D3/100</f>
        <v>1.9906478199801271E-2</v>
      </c>
      <c r="K3">
        <f t="shared" ref="K3:K9" si="2">$B3*0.01*E3/100</f>
        <v>1.374807187295154E-2</v>
      </c>
      <c r="L3">
        <f t="shared" ref="L3:L9" si="3">$B3*0.01*F3/100</f>
        <v>1.794609374765625E-3</v>
      </c>
      <c r="M3">
        <f t="shared" ref="M3:M9" si="4">$B3*0.01*G3/100</f>
        <v>1.4114130546107248E-3</v>
      </c>
      <c r="N3">
        <f t="shared" ref="N3:N9" si="5">SUM(I3:M3)</f>
        <v>5.8885758308635829E-2</v>
      </c>
    </row>
    <row r="4" spans="1:14" x14ac:dyDescent="0.3">
      <c r="A4" s="1">
        <v>2163.3074545178388</v>
      </c>
      <c r="B4" s="2">
        <v>3</v>
      </c>
      <c r="C4">
        <v>26.823317160826502</v>
      </c>
      <c r="D4">
        <v>24.380620535714201</v>
      </c>
      <c r="E4">
        <v>16.800390624999899</v>
      </c>
      <c r="F4">
        <v>1.6664062500000001</v>
      </c>
      <c r="G4">
        <v>1.3256355846774099</v>
      </c>
      <c r="H4">
        <f>A4-A2</f>
        <v>450.682214699518</v>
      </c>
      <c r="I4">
        <f t="shared" si="0"/>
        <v>8.0469951482479499E-3</v>
      </c>
      <c r="J4">
        <f t="shared" si="1"/>
        <v>7.3141861607142599E-3</v>
      </c>
      <c r="K4">
        <f t="shared" si="2"/>
        <v>5.0401171874999698E-3</v>
      </c>
      <c r="L4">
        <f t="shared" si="3"/>
        <v>4.9992187500000004E-4</v>
      </c>
      <c r="M4">
        <f t="shared" si="4"/>
        <v>3.9769067540322301E-4</v>
      </c>
      <c r="N4">
        <f t="shared" si="5"/>
        <v>2.1298911046865401E-2</v>
      </c>
    </row>
    <row r="5" spans="1:14" x14ac:dyDescent="0.3">
      <c r="A5" s="1">
        <v>2255.7039426554761</v>
      </c>
      <c r="B5" s="2">
        <v>6</v>
      </c>
      <c r="C5">
        <v>25.4389384056723</v>
      </c>
      <c r="D5">
        <v>25.301200975969699</v>
      </c>
      <c r="E5">
        <v>18.888713539390601</v>
      </c>
      <c r="F5">
        <v>2.44322916640624</v>
      </c>
      <c r="G5">
        <v>1.83364348137752</v>
      </c>
      <c r="H5">
        <f>A5-A2</f>
        <v>543.07870283715533</v>
      </c>
      <c r="I5">
        <f t="shared" si="0"/>
        <v>1.526336304340338E-2</v>
      </c>
      <c r="J5">
        <f t="shared" si="1"/>
        <v>1.5180720585581819E-2</v>
      </c>
      <c r="K5">
        <f t="shared" si="2"/>
        <v>1.133322812363436E-2</v>
      </c>
      <c r="L5">
        <f t="shared" si="3"/>
        <v>1.4659374998437439E-3</v>
      </c>
      <c r="M5">
        <f t="shared" si="4"/>
        <v>1.1001860888265119E-3</v>
      </c>
      <c r="N5">
        <f t="shared" si="5"/>
        <v>4.4343435341289816E-2</v>
      </c>
    </row>
    <row r="6" spans="1:14" x14ac:dyDescent="0.3">
      <c r="A6" s="1">
        <v>2386.8469773629454</v>
      </c>
      <c r="B6" s="2">
        <v>6</v>
      </c>
      <c r="C6">
        <v>22.7518370769691</v>
      </c>
      <c r="D6">
        <v>27.626186507936499</v>
      </c>
      <c r="E6">
        <v>23.6441484375</v>
      </c>
      <c r="F6">
        <v>6.9457031249999899</v>
      </c>
      <c r="G6">
        <v>2.3341806955645099</v>
      </c>
      <c r="H6">
        <f>A6-A2</f>
        <v>674.2217375446246</v>
      </c>
      <c r="I6">
        <f t="shared" si="0"/>
        <v>1.3651102246181459E-2</v>
      </c>
      <c r="J6">
        <f t="shared" si="1"/>
        <v>1.6575711904761897E-2</v>
      </c>
      <c r="K6">
        <f t="shared" si="2"/>
        <v>1.41864890625E-2</v>
      </c>
      <c r="L6">
        <f t="shared" si="3"/>
        <v>4.1674218749999936E-3</v>
      </c>
      <c r="M6">
        <f t="shared" si="4"/>
        <v>1.4005084173387059E-3</v>
      </c>
      <c r="N6">
        <f t="shared" si="5"/>
        <v>4.9981233505782055E-2</v>
      </c>
    </row>
    <row r="7" spans="1:14" x14ac:dyDescent="0.3">
      <c r="A7" s="1">
        <v>2479.4504746133998</v>
      </c>
      <c r="B7" s="2">
        <v>3</v>
      </c>
      <c r="C7">
        <v>22.0459119496855</v>
      </c>
      <c r="D7">
        <v>30.062937499999901</v>
      </c>
      <c r="E7">
        <v>26.774984374999899</v>
      </c>
      <c r="F7">
        <v>10.28515625</v>
      </c>
      <c r="G7">
        <v>2.4192121975806402</v>
      </c>
      <c r="H7">
        <f>A7-A2</f>
        <v>766.82523479507904</v>
      </c>
      <c r="I7">
        <f t="shared" si="0"/>
        <v>6.6137735849056498E-3</v>
      </c>
      <c r="J7">
        <f t="shared" si="1"/>
        <v>9.0188812499999698E-3</v>
      </c>
      <c r="K7">
        <f t="shared" si="2"/>
        <v>8.0324953124999692E-3</v>
      </c>
      <c r="L7">
        <f t="shared" si="3"/>
        <v>3.0855468749999997E-3</v>
      </c>
      <c r="M7">
        <f t="shared" si="4"/>
        <v>7.2576365927419203E-4</v>
      </c>
      <c r="N7">
        <f t="shared" si="5"/>
        <v>2.7476460681679783E-2</v>
      </c>
    </row>
    <row r="8" spans="1:14" x14ac:dyDescent="0.3">
      <c r="A8" s="1">
        <v>2591.6560995621267</v>
      </c>
      <c r="B8" s="2">
        <v>0.5</v>
      </c>
      <c r="C8">
        <v>21.537880802635499</v>
      </c>
      <c r="D8">
        <v>29.182910962301499</v>
      </c>
      <c r="E8">
        <v>26.273390624999902</v>
      </c>
      <c r="F8">
        <v>10.7</v>
      </c>
      <c r="G8">
        <v>2.4218064516128899</v>
      </c>
      <c r="H8">
        <f>A8-A2</f>
        <v>879.03085974380588</v>
      </c>
      <c r="I8">
        <f t="shared" si="0"/>
        <v>1.076894040131775E-3</v>
      </c>
      <c r="J8">
        <f t="shared" si="1"/>
        <v>1.459145548115075E-3</v>
      </c>
      <c r="K8">
        <f t="shared" si="2"/>
        <v>1.3136695312499951E-3</v>
      </c>
      <c r="L8">
        <f t="shared" si="3"/>
        <v>5.3499999999999999E-4</v>
      </c>
      <c r="M8">
        <f t="shared" si="4"/>
        <v>1.2109032258064451E-4</v>
      </c>
      <c r="N8">
        <f t="shared" si="5"/>
        <v>4.5057994420774896E-3</v>
      </c>
    </row>
    <row r="9" spans="1:14" x14ac:dyDescent="0.3">
      <c r="A9" s="1">
        <v>2677.9274088655343</v>
      </c>
      <c r="B9" s="2">
        <v>2</v>
      </c>
      <c r="C9">
        <v>19.6088176100628</v>
      </c>
      <c r="D9">
        <v>28.711197916666599</v>
      </c>
      <c r="E9">
        <v>27.7415937499999</v>
      </c>
      <c r="F9">
        <v>15.893750000000001</v>
      </c>
      <c r="G9">
        <v>2.8104798387096599</v>
      </c>
      <c r="H9">
        <f>A9-A2</f>
        <v>965.30216904721351</v>
      </c>
      <c r="I9">
        <f t="shared" si="0"/>
        <v>3.9217635220125599E-3</v>
      </c>
      <c r="J9">
        <f t="shared" si="1"/>
        <v>5.7422395833333197E-3</v>
      </c>
      <c r="K9">
        <f t="shared" si="2"/>
        <v>5.5483187499999797E-3</v>
      </c>
      <c r="L9">
        <f t="shared" si="3"/>
        <v>3.1787500000000002E-3</v>
      </c>
      <c r="M9">
        <f t="shared" si="4"/>
        <v>5.6209596774193192E-4</v>
      </c>
      <c r="N9">
        <f t="shared" si="5"/>
        <v>1.8953167823087789E-2</v>
      </c>
    </row>
    <row r="10" spans="1:14" x14ac:dyDescent="0.3">
      <c r="C10">
        <f>SUM(C2:C9)</f>
        <v>187.8661457566572</v>
      </c>
      <c r="D10">
        <f t="shared" ref="D10:G10" si="6">SUM(D2:D9)</f>
        <v>210.82855547267059</v>
      </c>
      <c r="E10">
        <f t="shared" si="6"/>
        <v>172.0729244723745</v>
      </c>
      <c r="F10">
        <f t="shared" si="6"/>
        <v>52.739973957812467</v>
      </c>
      <c r="G10">
        <f t="shared" si="6"/>
        <v>16.674948505093671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2DD7-5061-486E-900F-69C8615C1902}">
  <dimension ref="A1:O9"/>
  <sheetViews>
    <sheetView workbookViewId="0">
      <selection activeCell="I1" sqref="I1:I9"/>
    </sheetView>
  </sheetViews>
  <sheetFormatPr defaultRowHeight="14.4" x14ac:dyDescent="0.3"/>
  <cols>
    <col min="3" max="3" width="16.44140625" customWidth="1"/>
    <col min="4" max="4" width="22.44140625" customWidth="1"/>
    <col min="5" max="5" width="14.5546875" customWidth="1"/>
    <col min="6" max="6" width="15.109375" customWidth="1"/>
    <col min="7" max="7" width="21" customWidth="1"/>
    <col min="8" max="8" width="21.33203125" customWidth="1"/>
    <col min="9" max="9" width="19.109375" customWidth="1"/>
    <col min="10" max="10" width="15.5546875" customWidth="1"/>
    <col min="11" max="11" width="13.44140625" customWidth="1"/>
    <col min="12" max="12" width="11" customWidth="1"/>
  </cols>
  <sheetData>
    <row r="1" spans="1:15" x14ac:dyDescent="0.3">
      <c r="A1" t="s">
        <v>0</v>
      </c>
      <c r="B1" t="s">
        <v>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s="4" t="s">
        <v>25</v>
      </c>
      <c r="I1" t="s">
        <v>7</v>
      </c>
      <c r="J1">
        <f>2^(-(0.875+1.08333333)/2)*1000</f>
        <v>507.27266805478621</v>
      </c>
      <c r="K1">
        <f>2^(-(1.08333333+1.29166667)/2)*1000</f>
        <v>439.0630400933249</v>
      </c>
      <c r="L1">
        <f>2^(-(1.29166667+1.5)/2)*1000</f>
        <v>380.02511334825658</v>
      </c>
      <c r="M1">
        <f>2^(-(1.5+1.70833333)/2)*1000</f>
        <v>328.9256304633991</v>
      </c>
      <c r="N1">
        <f>2^(-(1.70833333+1.91666667)/2)*1000</f>
        <v>284.69715868917291</v>
      </c>
      <c r="O1">
        <f>2^(-(2.125+1.91666667)/2)*1000</f>
        <v>246.41579937537625</v>
      </c>
    </row>
    <row r="2" spans="1:15" x14ac:dyDescent="0.3">
      <c r="A2" s="1">
        <v>1712.6252398183208</v>
      </c>
      <c r="B2" s="2">
        <v>12</v>
      </c>
      <c r="C2">
        <v>20.734633124528202</v>
      </c>
      <c r="D2">
        <v>21.587329860885401</v>
      </c>
      <c r="E2">
        <v>15.7756076367187</v>
      </c>
      <c r="F2">
        <v>8.1459427073958395</v>
      </c>
      <c r="G2">
        <v>2.3167434475806399</v>
      </c>
      <c r="H2">
        <v>1.51948924731181</v>
      </c>
      <c r="I2">
        <v>0</v>
      </c>
      <c r="J2">
        <f t="shared" ref="J2:O2" si="0">$B2*0.01*C2/100</f>
        <v>2.4881559749433842E-2</v>
      </c>
      <c r="K2">
        <f t="shared" si="0"/>
        <v>2.5904795833062478E-2</v>
      </c>
      <c r="L2">
        <f t="shared" si="0"/>
        <v>1.8930729164062438E-2</v>
      </c>
      <c r="M2">
        <f t="shared" si="0"/>
        <v>9.7751312488750068E-3</v>
      </c>
      <c r="N2">
        <f t="shared" si="0"/>
        <v>2.780092137096768E-3</v>
      </c>
      <c r="O2">
        <f t="shared" si="0"/>
        <v>1.8233870967741719E-3</v>
      </c>
    </row>
    <row r="3" spans="1:15" x14ac:dyDescent="0.3">
      <c r="A3" s="1">
        <v>1822.2714216003524</v>
      </c>
      <c r="B3" s="2">
        <v>9</v>
      </c>
      <c r="C3">
        <v>20.221150013843399</v>
      </c>
      <c r="D3">
        <v>20.5570009662557</v>
      </c>
      <c r="E3">
        <v>14.5314670117187</v>
      </c>
      <c r="F3">
        <v>7.2214253461614604</v>
      </c>
      <c r="G3">
        <v>1.6484730620730801</v>
      </c>
      <c r="H3">
        <v>1.24910394287633</v>
      </c>
      <c r="I3">
        <v>109.64618178203159</v>
      </c>
      <c r="J3">
        <f t="shared" ref="J3:J9" si="1">$B3*0.01*C3/100</f>
        <v>1.819903501245906E-2</v>
      </c>
      <c r="K3">
        <f t="shared" ref="K3:K9" si="2">$B3*0.01*D3/100</f>
        <v>1.850130086963013E-2</v>
      </c>
      <c r="L3">
        <f t="shared" ref="L3:L9" si="3">$B3*0.01*E3/100</f>
        <v>1.3078320310546829E-2</v>
      </c>
      <c r="M3">
        <f t="shared" ref="M3:M9" si="4">$B3*0.01*F3/100</f>
        <v>6.4992828115453139E-3</v>
      </c>
      <c r="N3">
        <f t="shared" ref="N3:N9" si="5">$B3*0.01*G3/100</f>
        <v>1.483625755865772E-3</v>
      </c>
      <c r="O3">
        <f t="shared" ref="O3:O9" si="6">$B3*0.01*H3/100</f>
        <v>1.1241935485886969E-3</v>
      </c>
    </row>
    <row r="4" spans="1:15" x14ac:dyDescent="0.3">
      <c r="A4" s="1">
        <v>2163.3074545178388</v>
      </c>
      <c r="B4" s="2">
        <v>3</v>
      </c>
      <c r="C4">
        <v>22.1423647798742</v>
      </c>
      <c r="D4">
        <v>22.640218749999999</v>
      </c>
      <c r="E4">
        <v>16.0533854166666</v>
      </c>
      <c r="F4">
        <v>7.7238281249999901</v>
      </c>
      <c r="G4">
        <v>1.3781053427419301</v>
      </c>
      <c r="H4">
        <v>1.05846774193548</v>
      </c>
      <c r="I4">
        <v>450.682214699518</v>
      </c>
      <c r="J4">
        <f t="shared" si="1"/>
        <v>6.6427094339622595E-3</v>
      </c>
      <c r="K4">
        <f t="shared" si="2"/>
        <v>6.7920656249999987E-3</v>
      </c>
      <c r="L4">
        <f t="shared" si="3"/>
        <v>4.8160156249999796E-3</v>
      </c>
      <c r="M4">
        <f t="shared" si="4"/>
        <v>2.3171484374999969E-3</v>
      </c>
      <c r="N4">
        <f t="shared" si="5"/>
        <v>4.1343160282257904E-4</v>
      </c>
      <c r="O4">
        <f t="shared" si="6"/>
        <v>3.17540322580644E-4</v>
      </c>
    </row>
    <row r="5" spans="1:15" x14ac:dyDescent="0.3">
      <c r="A5" s="1">
        <v>2255.7039426554761</v>
      </c>
      <c r="B5" s="2">
        <v>6</v>
      </c>
      <c r="C5">
        <v>20.771257629217299</v>
      </c>
      <c r="D5">
        <v>22.7802532810706</v>
      </c>
      <c r="E5">
        <v>17.9715711783854</v>
      </c>
      <c r="F5">
        <v>8.9201805544947899</v>
      </c>
      <c r="G5">
        <v>2.0171224236322298</v>
      </c>
      <c r="H5">
        <v>1.4453405020161201</v>
      </c>
      <c r="I5">
        <v>543.07870283715533</v>
      </c>
      <c r="J5">
        <f t="shared" si="1"/>
        <v>1.2462754577530379E-2</v>
      </c>
      <c r="K5">
        <f t="shared" si="2"/>
        <v>1.3668151968642359E-2</v>
      </c>
      <c r="L5">
        <f t="shared" si="3"/>
        <v>1.0782942707031239E-2</v>
      </c>
      <c r="M5">
        <f t="shared" si="4"/>
        <v>5.352108332696873E-3</v>
      </c>
      <c r="N5">
        <f t="shared" si="5"/>
        <v>1.2102734541793378E-3</v>
      </c>
      <c r="O5">
        <f t="shared" si="6"/>
        <v>8.67204301209672E-4</v>
      </c>
    </row>
    <row r="6" spans="1:15" x14ac:dyDescent="0.3">
      <c r="A6" s="1">
        <v>2386.8469773629454</v>
      </c>
      <c r="B6" s="2">
        <v>6</v>
      </c>
      <c r="C6">
        <v>17.9949587700908</v>
      </c>
      <c r="D6">
        <v>23.5955648148148</v>
      </c>
      <c r="E6">
        <v>21.968749999999901</v>
      </c>
      <c r="F6">
        <v>12.778132812500001</v>
      </c>
      <c r="G6">
        <v>5.6450929939516001</v>
      </c>
      <c r="H6">
        <v>1.3195564516128899</v>
      </c>
      <c r="I6">
        <v>674.2217375446246</v>
      </c>
      <c r="J6">
        <f t="shared" si="1"/>
        <v>1.0796975262054481E-2</v>
      </c>
      <c r="K6">
        <f t="shared" si="2"/>
        <v>1.4157338888888879E-2</v>
      </c>
      <c r="L6">
        <f t="shared" si="3"/>
        <v>1.318124999999994E-2</v>
      </c>
      <c r="M6">
        <f t="shared" si="4"/>
        <v>7.6668796875000002E-3</v>
      </c>
      <c r="N6">
        <f t="shared" si="5"/>
        <v>3.3870557963709604E-3</v>
      </c>
      <c r="O6">
        <f t="shared" si="6"/>
        <v>7.9173387096773389E-4</v>
      </c>
    </row>
    <row r="7" spans="1:15" x14ac:dyDescent="0.3">
      <c r="A7" s="1">
        <v>2479.4504746133998</v>
      </c>
      <c r="B7" s="2">
        <v>3</v>
      </c>
      <c r="C7">
        <v>16.962578616352101</v>
      </c>
      <c r="D7">
        <v>25.326479166666601</v>
      </c>
      <c r="E7">
        <v>24.5494791666666</v>
      </c>
      <c r="F7">
        <v>15.4736822916666</v>
      </c>
      <c r="G7">
        <v>8.3270582997311706</v>
      </c>
      <c r="H7">
        <v>0.94892473118279896</v>
      </c>
      <c r="I7">
        <v>766.82523479507904</v>
      </c>
      <c r="J7">
        <f t="shared" si="1"/>
        <v>5.0887735849056304E-3</v>
      </c>
      <c r="K7">
        <f t="shared" si="2"/>
        <v>7.5979437499999799E-3</v>
      </c>
      <c r="L7">
        <f t="shared" si="3"/>
        <v>7.3648437499999799E-3</v>
      </c>
      <c r="M7">
        <f t="shared" si="4"/>
        <v>4.6421046874999799E-3</v>
      </c>
      <c r="N7">
        <f t="shared" si="5"/>
        <v>2.498117489919351E-3</v>
      </c>
      <c r="O7">
        <f t="shared" si="6"/>
        <v>2.846774193548397E-4</v>
      </c>
    </row>
    <row r="8" spans="1:15" x14ac:dyDescent="0.3">
      <c r="A8" s="1">
        <v>2591.6560995621267</v>
      </c>
      <c r="B8" s="2">
        <v>0.5</v>
      </c>
      <c r="C8">
        <v>16.628886093640801</v>
      </c>
      <c r="D8">
        <v>24.489041087962899</v>
      </c>
      <c r="E8">
        <v>24.0071614583333</v>
      </c>
      <c r="F8">
        <v>15.4357604166666</v>
      </c>
      <c r="G8">
        <v>8.6599784946236493</v>
      </c>
      <c r="H8">
        <v>0.89516129032257596</v>
      </c>
      <c r="I8">
        <v>879.03085974380588</v>
      </c>
      <c r="J8">
        <f t="shared" si="1"/>
        <v>8.314443046820401E-4</v>
      </c>
      <c r="K8">
        <f t="shared" si="2"/>
        <v>1.2244520543981451E-3</v>
      </c>
      <c r="L8">
        <f t="shared" si="3"/>
        <v>1.200358072916665E-3</v>
      </c>
      <c r="M8">
        <f t="shared" si="4"/>
        <v>7.7178802083332999E-4</v>
      </c>
      <c r="N8">
        <f t="shared" si="5"/>
        <v>4.3299892473118245E-4</v>
      </c>
      <c r="O8">
        <f t="shared" si="6"/>
        <v>4.4758064516128795E-5</v>
      </c>
    </row>
    <row r="9" spans="1:15" x14ac:dyDescent="0.3">
      <c r="A9" s="1">
        <v>2677.9274088655343</v>
      </c>
      <c r="B9" s="2">
        <v>2</v>
      </c>
      <c r="C9">
        <v>14.939373165618401</v>
      </c>
      <c r="D9">
        <v>23.490538194444401</v>
      </c>
      <c r="E9">
        <v>24.7252604166666</v>
      </c>
      <c r="F9">
        <v>18.204354166666601</v>
      </c>
      <c r="G9">
        <v>12.839108870967699</v>
      </c>
      <c r="H9">
        <v>0.56720430107526398</v>
      </c>
      <c r="I9">
        <v>965.30216904721351</v>
      </c>
      <c r="J9">
        <f t="shared" si="1"/>
        <v>2.98787463312368E-3</v>
      </c>
      <c r="K9">
        <f t="shared" si="2"/>
        <v>4.6981076388888801E-3</v>
      </c>
      <c r="L9">
        <f t="shared" si="3"/>
        <v>4.9450520833333204E-3</v>
      </c>
      <c r="M9">
        <f t="shared" si="4"/>
        <v>3.6408708333333199E-3</v>
      </c>
      <c r="N9">
        <f t="shared" si="5"/>
        <v>2.5678217741935401E-3</v>
      </c>
      <c r="O9">
        <f t="shared" si="6"/>
        <v>1.1344086021505281E-4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4C67-3C2B-44EA-B911-749156850147}">
  <dimension ref="A1:P9"/>
  <sheetViews>
    <sheetView topLeftCell="C1" workbookViewId="0">
      <selection activeCell="I20" sqref="I20"/>
    </sheetView>
  </sheetViews>
  <sheetFormatPr defaultRowHeight="14.4" x14ac:dyDescent="0.3"/>
  <cols>
    <col min="1" max="1" width="13.44140625" customWidth="1"/>
    <col min="2" max="2" width="20.44140625" customWidth="1"/>
    <col min="3" max="3" width="26.88671875" customWidth="1"/>
    <col min="4" max="4" width="34.109375" customWidth="1"/>
    <col min="5" max="5" width="22.6640625" customWidth="1"/>
    <col min="6" max="6" width="21.88671875" customWidth="1"/>
    <col min="7" max="7" width="28.44140625" customWidth="1"/>
    <col min="8" max="9" width="34" customWidth="1"/>
  </cols>
  <sheetData>
    <row r="1" spans="1:16" x14ac:dyDescent="0.3">
      <c r="A1" t="s">
        <v>7</v>
      </c>
      <c r="B1" t="s">
        <v>31</v>
      </c>
      <c r="C1" s="6" t="s">
        <v>32</v>
      </c>
      <c r="D1" s="5" t="s">
        <v>37</v>
      </c>
      <c r="E1" s="6" t="s">
        <v>33</v>
      </c>
      <c r="F1" s="6" t="s">
        <v>34</v>
      </c>
      <c r="G1" s="5" t="s">
        <v>35</v>
      </c>
      <c r="H1" s="5" t="s">
        <v>36</v>
      </c>
      <c r="I1" t="s">
        <v>1</v>
      </c>
      <c r="J1">
        <f>2^(-(0.875+1.05357143)/2)*1000</f>
        <v>512.53210572917999</v>
      </c>
      <c r="K1">
        <f>2^(-(1.23214286+1.05357143)/2)*1000</f>
        <v>452.86183145931074</v>
      </c>
      <c r="L1">
        <f>2^(-(1.23214286+1.41071429)/2)*1000</f>
        <v>400.13852029992955</v>
      </c>
      <c r="M1">
        <f>2^(-(1.41071429+1.58928571)/2)*1000</f>
        <v>353.55339059327378</v>
      </c>
      <c r="N1">
        <f>2^(-(1.58928571+1.76785714)/2)*1000</f>
        <v>312.39181847902194</v>
      </c>
      <c r="O1">
        <f>2^(-(1.76785714+1.94642857)/2)*1000</f>
        <v>276.02237882843338</v>
      </c>
      <c r="P1">
        <f>2^(-(1.94642857+2.125)/2)*1000</f>
        <v>243.88716063389313</v>
      </c>
    </row>
    <row r="2" spans="1:16" x14ac:dyDescent="0.3">
      <c r="A2">
        <v>0</v>
      </c>
      <c r="B2">
        <v>17.554361015684702</v>
      </c>
      <c r="C2">
        <v>19.081632653061199</v>
      </c>
      <c r="D2">
        <v>14.7006022519355</v>
      </c>
      <c r="E2">
        <v>13.521949402901701</v>
      </c>
      <c r="F2">
        <v>2.0544248511830201</v>
      </c>
      <c r="G2">
        <v>1.8643564948156599</v>
      </c>
      <c r="H2">
        <v>1.3024193548387</v>
      </c>
      <c r="I2" s="2">
        <v>12</v>
      </c>
      <c r="J2">
        <f t="shared" ref="J2:P2" si="0">$I2*0.01*B2/100</f>
        <v>2.1065233218821641E-2</v>
      </c>
      <c r="K2">
        <f t="shared" si="0"/>
        <v>2.2897959183673437E-2</v>
      </c>
      <c r="L2">
        <f t="shared" si="0"/>
        <v>1.76407227023226E-2</v>
      </c>
      <c r="M2">
        <f t="shared" si="0"/>
        <v>1.6226339283482039E-2</v>
      </c>
      <c r="N2">
        <f t="shared" si="0"/>
        <v>2.4653098214196239E-3</v>
      </c>
      <c r="O2">
        <f t="shared" si="0"/>
        <v>2.2372277937787919E-3</v>
      </c>
      <c r="P2">
        <f t="shared" si="0"/>
        <v>1.5629032258064398E-3</v>
      </c>
    </row>
    <row r="3" spans="1:16" x14ac:dyDescent="0.3">
      <c r="A3">
        <v>109.64618178203159</v>
      </c>
      <c r="B3">
        <v>17.184522399519899</v>
      </c>
      <c r="C3">
        <v>18.219765685940999</v>
      </c>
      <c r="D3">
        <v>13.677558329906001</v>
      </c>
      <c r="E3">
        <v>12.4555431529018</v>
      </c>
      <c r="F3">
        <v>1.4684181545691699</v>
      </c>
      <c r="G3">
        <v>1.35215209762536</v>
      </c>
      <c r="H3">
        <v>1.07066052246543</v>
      </c>
      <c r="I3" s="2">
        <v>9</v>
      </c>
      <c r="J3">
        <f t="shared" ref="J3:J9" si="1">$I3*0.01*B3/100</f>
        <v>1.5466070159567908E-2</v>
      </c>
      <c r="K3">
        <f t="shared" ref="K3:K9" si="2">$I3*0.01*C3/100</f>
        <v>1.6397789117346899E-2</v>
      </c>
      <c r="L3">
        <f t="shared" ref="L3:L9" si="3">$I3*0.01*D3/100</f>
        <v>1.2309802496915401E-2</v>
      </c>
      <c r="M3">
        <f t="shared" ref="M3:M9" si="4">$I3*0.01*E3/100</f>
        <v>1.120998883761162E-2</v>
      </c>
      <c r="N3">
        <f t="shared" ref="N3:N9" si="5">$I3*0.01*F3/100</f>
        <v>1.3215763391122529E-3</v>
      </c>
      <c r="O3">
        <f t="shared" ref="O3:O9" si="6">$I3*0.01*G3/100</f>
        <v>1.2169368878628239E-3</v>
      </c>
      <c r="P3">
        <f t="shared" ref="P3:P9" si="7">$I3*0.01*H3/100</f>
        <v>9.6359447021888696E-4</v>
      </c>
    </row>
    <row r="4" spans="1:16" x14ac:dyDescent="0.3">
      <c r="A4">
        <v>450.682214699518</v>
      </c>
      <c r="B4">
        <v>18.798827364908199</v>
      </c>
      <c r="C4">
        <v>20.061224489795901</v>
      </c>
      <c r="D4">
        <v>15.095894770408099</v>
      </c>
      <c r="E4">
        <v>13.7600446428571</v>
      </c>
      <c r="F4">
        <v>1.2405691964285499</v>
      </c>
      <c r="G4">
        <v>1.13255162730415</v>
      </c>
      <c r="H4">
        <v>0.907258064516128</v>
      </c>
      <c r="I4" s="2">
        <v>3</v>
      </c>
      <c r="J4">
        <f t="shared" si="1"/>
        <v>5.6396482094724599E-3</v>
      </c>
      <c r="K4">
        <f t="shared" si="2"/>
        <v>6.0183673469387695E-3</v>
      </c>
      <c r="L4">
        <f t="shared" si="3"/>
        <v>4.5287684311224293E-3</v>
      </c>
      <c r="M4">
        <f t="shared" si="4"/>
        <v>4.1280133928571303E-3</v>
      </c>
      <c r="N4">
        <f t="shared" si="5"/>
        <v>3.7217075892856491E-4</v>
      </c>
      <c r="O4">
        <f t="shared" si="6"/>
        <v>3.3976548819124498E-4</v>
      </c>
      <c r="P4">
        <f t="shared" si="7"/>
        <v>2.7217741935483842E-4</v>
      </c>
    </row>
    <row r="5" spans="1:16" x14ac:dyDescent="0.3">
      <c r="A5">
        <v>543.07870283715533</v>
      </c>
      <c r="B5">
        <v>17.437199931749401</v>
      </c>
      <c r="C5">
        <v>20.004346184807201</v>
      </c>
      <c r="D5">
        <v>16.379434038522799</v>
      </c>
      <c r="E5">
        <v>15.404203867187499</v>
      </c>
      <c r="F5">
        <v>1.79979985099777</v>
      </c>
      <c r="G5">
        <v>1.6418784081092199</v>
      </c>
      <c r="H5">
        <v>1.2388632874423899</v>
      </c>
      <c r="I5" s="2">
        <v>6</v>
      </c>
      <c r="J5">
        <f t="shared" si="1"/>
        <v>1.0462319959049639E-2</v>
      </c>
      <c r="K5">
        <f t="shared" si="2"/>
        <v>1.200260771088432E-2</v>
      </c>
      <c r="L5">
        <f t="shared" si="3"/>
        <v>9.827660423113678E-3</v>
      </c>
      <c r="M5">
        <f t="shared" si="4"/>
        <v>9.2425223203125E-3</v>
      </c>
      <c r="N5">
        <f t="shared" si="5"/>
        <v>1.079879910598662E-3</v>
      </c>
      <c r="O5">
        <f t="shared" si="6"/>
        <v>9.85127044865532E-4</v>
      </c>
      <c r="P5">
        <f t="shared" si="7"/>
        <v>7.4331797246543388E-4</v>
      </c>
    </row>
    <row r="6" spans="1:16" x14ac:dyDescent="0.3">
      <c r="A6">
        <v>674.2217375446246</v>
      </c>
      <c r="B6">
        <v>14.597188550892</v>
      </c>
      <c r="C6">
        <v>20.386621315192698</v>
      </c>
      <c r="D6">
        <v>19.160285147392202</v>
      </c>
      <c r="E6">
        <v>18.8303571428571</v>
      </c>
      <c r="F6">
        <v>5.0166930803571397</v>
      </c>
      <c r="G6">
        <v>4.1798622191820201</v>
      </c>
      <c r="H6">
        <v>1.13104838709676</v>
      </c>
      <c r="I6" s="2">
        <v>6</v>
      </c>
      <c r="J6">
        <f t="shared" si="1"/>
        <v>8.7583131305351992E-3</v>
      </c>
      <c r="K6">
        <f t="shared" si="2"/>
        <v>1.2231972789115619E-2</v>
      </c>
      <c r="L6">
        <f t="shared" si="3"/>
        <v>1.1496171088435321E-2</v>
      </c>
      <c r="M6">
        <f t="shared" si="4"/>
        <v>1.1298214285714259E-2</v>
      </c>
      <c r="N6">
        <f t="shared" si="5"/>
        <v>3.0100158482142835E-3</v>
      </c>
      <c r="O6">
        <f t="shared" si="6"/>
        <v>2.5079173315092117E-3</v>
      </c>
      <c r="P6">
        <f t="shared" si="7"/>
        <v>6.7862903225805596E-4</v>
      </c>
    </row>
    <row r="7" spans="1:16" x14ac:dyDescent="0.3">
      <c r="A7">
        <v>766.82523479507904</v>
      </c>
      <c r="B7">
        <v>13.331626235399799</v>
      </c>
      <c r="C7">
        <v>21.785714285714199</v>
      </c>
      <c r="D7">
        <v>21.199991071428499</v>
      </c>
      <c r="E7">
        <v>21.042410714285701</v>
      </c>
      <c r="F7">
        <v>7.4013236607142803</v>
      </c>
      <c r="G7">
        <v>6.01377224942396</v>
      </c>
      <c r="H7">
        <v>0.81336405529954403</v>
      </c>
      <c r="I7" s="2">
        <v>3</v>
      </c>
      <c r="J7">
        <f t="shared" si="1"/>
        <v>3.9994878706199393E-3</v>
      </c>
      <c r="K7">
        <f t="shared" si="2"/>
        <v>6.5357142857142593E-3</v>
      </c>
      <c r="L7">
        <f t="shared" si="3"/>
        <v>6.3599973214285496E-3</v>
      </c>
      <c r="M7">
        <f t="shared" si="4"/>
        <v>6.31272321428571E-3</v>
      </c>
      <c r="N7">
        <f t="shared" si="5"/>
        <v>2.2203970982142842E-3</v>
      </c>
      <c r="O7">
        <f t="shared" si="6"/>
        <v>1.8041316748271879E-3</v>
      </c>
      <c r="P7">
        <f t="shared" si="7"/>
        <v>2.4400921658986321E-4</v>
      </c>
    </row>
    <row r="8" spans="1:16" x14ac:dyDescent="0.3">
      <c r="A8">
        <v>879.03085974380588</v>
      </c>
      <c r="B8">
        <v>13.1224613015017</v>
      </c>
      <c r="C8">
        <v>21.038548752834402</v>
      </c>
      <c r="D8">
        <v>20.675295103458001</v>
      </c>
      <c r="E8">
        <v>20.577566964285701</v>
      </c>
      <c r="F8">
        <v>7.6945959821428502</v>
      </c>
      <c r="G8">
        <v>6.2402396313363901</v>
      </c>
      <c r="H8">
        <v>0.76728110599079002</v>
      </c>
      <c r="I8" s="2">
        <v>0.5</v>
      </c>
      <c r="J8">
        <f t="shared" si="1"/>
        <v>6.5612306507508507E-4</v>
      </c>
      <c r="K8">
        <f t="shared" si="2"/>
        <v>1.05192743764172E-3</v>
      </c>
      <c r="L8">
        <f t="shared" si="3"/>
        <v>1.0337647551729001E-3</v>
      </c>
      <c r="M8">
        <f t="shared" si="4"/>
        <v>1.0288783482142851E-3</v>
      </c>
      <c r="N8">
        <f t="shared" si="5"/>
        <v>3.8472979910714254E-4</v>
      </c>
      <c r="O8">
        <f t="shared" si="6"/>
        <v>3.1201198156681953E-4</v>
      </c>
      <c r="P8">
        <f t="shared" si="7"/>
        <v>3.8364055299539505E-5</v>
      </c>
    </row>
    <row r="9" spans="1:16" x14ac:dyDescent="0.3">
      <c r="A9">
        <v>965.30216904721351</v>
      </c>
      <c r="B9">
        <v>11.604055705300899</v>
      </c>
      <c r="C9">
        <v>20.011904761904699</v>
      </c>
      <c r="D9">
        <v>20.942671130952299</v>
      </c>
      <c r="E9">
        <v>21.193080357142801</v>
      </c>
      <c r="F9">
        <v>11.392040178571399</v>
      </c>
      <c r="G9">
        <v>9.1359118663594501</v>
      </c>
      <c r="H9">
        <v>0.486175115207373</v>
      </c>
      <c r="I9" s="2">
        <v>2</v>
      </c>
      <c r="J9">
        <f t="shared" si="1"/>
        <v>2.3208111410601799E-3</v>
      </c>
      <c r="K9">
        <f t="shared" si="2"/>
        <v>4.0023809523809404E-3</v>
      </c>
      <c r="L9">
        <f t="shared" si="3"/>
        <v>4.1885342261904594E-3</v>
      </c>
      <c r="M9">
        <f t="shared" si="4"/>
        <v>4.2386160714285607E-3</v>
      </c>
      <c r="N9">
        <f t="shared" si="5"/>
        <v>2.2784080357142801E-3</v>
      </c>
      <c r="O9">
        <f t="shared" si="6"/>
        <v>1.8271823732718901E-3</v>
      </c>
      <c r="P9">
        <f t="shared" si="7"/>
        <v>9.7235023041474612E-5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D400-EBFA-4550-B6B4-674AD30B4C82}">
  <dimension ref="A1:Z25"/>
  <sheetViews>
    <sheetView workbookViewId="0">
      <selection activeCell="V9" sqref="V9"/>
    </sheetView>
  </sheetViews>
  <sheetFormatPr defaultRowHeight="14.4" x14ac:dyDescent="0.3"/>
  <cols>
    <col min="3" max="3" width="14.6640625" customWidth="1"/>
    <col min="4" max="4" width="14.88671875" customWidth="1"/>
    <col min="5" max="5" width="12.44140625" customWidth="1"/>
    <col min="7" max="7" width="14" customWidth="1"/>
    <col min="8" max="8" width="15.44140625" customWidth="1"/>
    <col min="9" max="9" width="15.109375" customWidth="1"/>
    <col min="10" max="10" width="16.33203125" customWidth="1"/>
    <col min="11" max="11" width="11.6640625" customWidth="1"/>
    <col min="12" max="15" width="11" customWidth="1"/>
    <col min="16" max="16" width="12" bestFit="1" customWidth="1"/>
  </cols>
  <sheetData>
    <row r="1" spans="1:22" x14ac:dyDescent="0.3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30</v>
      </c>
      <c r="M1" s="3">
        <f>2^(-(-0.125+0.125)/2)*1000</f>
        <v>1000</v>
      </c>
      <c r="N1" s="3">
        <f>2^(-(0.375+0.125)/2)*1000</f>
        <v>840.89641525371462</v>
      </c>
      <c r="O1" s="3">
        <f>2^(-(0.375+0.625)/2)*1000</f>
        <v>707.10678118654744</v>
      </c>
      <c r="P1" s="3">
        <f>2^(-(0.875+0.625)/2)*1000</f>
        <v>594.60355750136057</v>
      </c>
      <c r="Q1" s="3">
        <f>2^(-(0.875+1.125)/2)*1000</f>
        <v>500</v>
      </c>
      <c r="R1" s="3">
        <f>2^(-(1.125+1.375)/2)*1000</f>
        <v>420.44820762685731</v>
      </c>
      <c r="S1" s="3">
        <f>2^(-(1.375+1.625)/2)*1000</f>
        <v>353.55339059327378</v>
      </c>
      <c r="T1" s="3">
        <f>2^(-(1.625+1.875)/2)*1000</f>
        <v>297.30177875068028</v>
      </c>
      <c r="U1" s="3">
        <f>2^(-(1.875+2.125)/2)*1000</f>
        <v>250</v>
      </c>
      <c r="V1" s="3">
        <f>2^(-(2.125+2.375)/2)*1000</f>
        <v>210.22410381342866</v>
      </c>
    </row>
    <row r="2" spans="1:22" x14ac:dyDescent="0.3">
      <c r="A2" s="1">
        <v>1712.6252398183208</v>
      </c>
      <c r="B2" s="2">
        <v>12</v>
      </c>
      <c r="C2">
        <v>1.1768080419551701</v>
      </c>
      <c r="D2">
        <v>1.7483458392229101</v>
      </c>
      <c r="E2">
        <v>2.5615141955835901</v>
      </c>
      <c r="F2">
        <v>21.011319560193002</v>
      </c>
      <c r="G2">
        <v>25.1870140769092</v>
      </c>
      <c r="H2">
        <v>23.445191963191899</v>
      </c>
      <c r="I2">
        <v>16.674067706093702</v>
      </c>
      <c r="J2">
        <v>2.8117187499999901</v>
      </c>
      <c r="K2">
        <v>1.9617535282257901</v>
      </c>
      <c r="L2">
        <v>1.15530376360231</v>
      </c>
      <c r="M2">
        <f>$B2*0.01*C2/100</f>
        <v>1.4121696503462042E-3</v>
      </c>
      <c r="N2">
        <f>$B2*0.01*D2/100</f>
        <v>2.0980150070674924E-3</v>
      </c>
      <c r="O2">
        <f>$B2*0.01*E2/100</f>
        <v>3.0738170347003081E-3</v>
      </c>
      <c r="P2">
        <f>$B2*0.01*F2/100</f>
        <v>2.5213583472231602E-2</v>
      </c>
      <c r="Q2">
        <f>jogan_5gs!I2</f>
        <v>3.0224416892291037E-2</v>
      </c>
      <c r="R2">
        <f>jogan_5gs!J2</f>
        <v>2.8134230355830278E-2</v>
      </c>
      <c r="S2">
        <f>jogan_5gs!K2</f>
        <v>2.0008881247312441E-2</v>
      </c>
      <c r="T2">
        <f>jogan_5gs!L2</f>
        <v>3.3740624999999882E-3</v>
      </c>
      <c r="U2">
        <f>jogan_5gs!M2</f>
        <v>2.3541042338709479E-3</v>
      </c>
      <c r="V2">
        <f>$B2*0.01*L2/100</f>
        <v>1.386364516322772E-3</v>
      </c>
    </row>
    <row r="3" spans="1:22" x14ac:dyDescent="0.3">
      <c r="A3" s="1">
        <v>1822.2714216003524</v>
      </c>
      <c r="B3" s="2">
        <v>9</v>
      </c>
      <c r="C3">
        <v>2.2160179337862398</v>
      </c>
      <c r="D3">
        <v>2.2910938486819101</v>
      </c>
      <c r="E3">
        <v>2.1353838067823299</v>
      </c>
      <c r="F3">
        <v>21.305953351845002</v>
      </c>
      <c r="G3">
        <v>24.4724286738963</v>
      </c>
      <c r="H3">
        <v>22.118309110890301</v>
      </c>
      <c r="I3">
        <v>15.275635414390599</v>
      </c>
      <c r="J3">
        <v>1.99401041640625</v>
      </c>
      <c r="K3">
        <v>1.56823672734525</v>
      </c>
      <c r="L3">
        <v>0.93577889795160696</v>
      </c>
      <c r="M3">
        <f t="shared" ref="M3:M9" si="0">$B3*0.01*C3/100</f>
        <v>1.9944161404076158E-3</v>
      </c>
      <c r="N3">
        <f t="shared" ref="N3:N9" si="1">$B3*0.01*D3/100</f>
        <v>2.061984463813719E-3</v>
      </c>
      <c r="O3">
        <f t="shared" ref="O3:O9" si="2">$B3*0.01*E3/100</f>
        <v>1.9218454261040968E-3</v>
      </c>
      <c r="P3">
        <f t="shared" ref="P3:P9" si="3">$B3*0.01*F3/100</f>
        <v>1.9175358016660499E-2</v>
      </c>
      <c r="Q3">
        <f>jogan_5gs!I3</f>
        <v>2.202518580650667E-2</v>
      </c>
      <c r="R3">
        <f>jogan_5gs!J3</f>
        <v>1.9906478199801271E-2</v>
      </c>
      <c r="S3">
        <f>jogan_5gs!K3</f>
        <v>1.374807187295154E-2</v>
      </c>
      <c r="T3">
        <f>jogan_5gs!L3</f>
        <v>1.794609374765625E-3</v>
      </c>
      <c r="U3">
        <f>jogan_5gs!M3</f>
        <v>1.4114130546107248E-3</v>
      </c>
      <c r="V3">
        <f t="shared" ref="V3:V9" si="4">$B3*0.01*L3/100</f>
        <v>8.4220100815644633E-4</v>
      </c>
    </row>
    <row r="4" spans="1:22" x14ac:dyDescent="0.3">
      <c r="A4" s="1">
        <v>2163.3074545178388</v>
      </c>
      <c r="B4" s="2">
        <v>3</v>
      </c>
      <c r="C4">
        <v>0.94373712631394402</v>
      </c>
      <c r="D4">
        <v>1.3758997387571701</v>
      </c>
      <c r="E4">
        <v>1.6451104100946301</v>
      </c>
      <c r="F4">
        <v>23.060933853143599</v>
      </c>
      <c r="G4">
        <v>26.823317160826502</v>
      </c>
      <c r="H4">
        <v>24.380620535714201</v>
      </c>
      <c r="I4">
        <v>16.800390624999899</v>
      </c>
      <c r="J4">
        <v>1.6664062500000001</v>
      </c>
      <c r="K4">
        <v>1.3256355846774099</v>
      </c>
      <c r="L4">
        <v>0.78927066532257495</v>
      </c>
      <c r="M4">
        <f t="shared" si="0"/>
        <v>2.8312113789418316E-4</v>
      </c>
      <c r="N4">
        <f t="shared" si="1"/>
        <v>4.1276992162715101E-4</v>
      </c>
      <c r="O4">
        <f t="shared" si="2"/>
        <v>4.9353312302838901E-4</v>
      </c>
      <c r="P4">
        <f t="shared" si="3"/>
        <v>6.9182801559430794E-3</v>
      </c>
      <c r="Q4">
        <f>jogan_5gs!I4</f>
        <v>8.0469951482479499E-3</v>
      </c>
      <c r="R4">
        <f>jogan_5gs!J4</f>
        <v>7.3141861607142599E-3</v>
      </c>
      <c r="S4">
        <f>jogan_5gs!K4</f>
        <v>5.0401171874999698E-3</v>
      </c>
      <c r="T4">
        <f>jogan_5gs!L4</f>
        <v>4.9992187500000004E-4</v>
      </c>
      <c r="U4">
        <f>jogan_5gs!M4</f>
        <v>3.9769067540322301E-4</v>
      </c>
      <c r="V4">
        <f t="shared" si="4"/>
        <v>2.367811995967725E-4</v>
      </c>
    </row>
    <row r="5" spans="1:22" x14ac:dyDescent="0.3">
      <c r="A5" s="1">
        <v>2255.7039426554761</v>
      </c>
      <c r="B5" s="2">
        <v>6</v>
      </c>
      <c r="C5">
        <v>1.1993499478801599</v>
      </c>
      <c r="D5">
        <v>1.2201892199829401</v>
      </c>
      <c r="E5">
        <v>0.94663512066246103</v>
      </c>
      <c r="F5">
        <v>19.069970978055899</v>
      </c>
      <c r="G5">
        <v>25.4389384056723</v>
      </c>
      <c r="H5">
        <v>25.301200975969699</v>
      </c>
      <c r="I5">
        <v>18.888713539390601</v>
      </c>
      <c r="J5">
        <v>2.44322916640624</v>
      </c>
      <c r="K5">
        <v>1.83364348137752</v>
      </c>
      <c r="L5">
        <v>1.10550756074746</v>
      </c>
      <c r="M5">
        <f t="shared" si="0"/>
        <v>7.1960996872809586E-4</v>
      </c>
      <c r="N5">
        <f t="shared" si="1"/>
        <v>7.3211353198976393E-4</v>
      </c>
      <c r="O5">
        <f t="shared" si="2"/>
        <v>5.6798107239747664E-4</v>
      </c>
      <c r="P5">
        <f t="shared" si="3"/>
        <v>1.1441982586833538E-2</v>
      </c>
      <c r="Q5">
        <f>jogan_5gs!I5</f>
        <v>1.526336304340338E-2</v>
      </c>
      <c r="R5">
        <f>jogan_5gs!J5</f>
        <v>1.5180720585581819E-2</v>
      </c>
      <c r="S5">
        <f>jogan_5gs!K5</f>
        <v>1.133322812363436E-2</v>
      </c>
      <c r="T5">
        <f>jogan_5gs!L5</f>
        <v>1.4659374998437439E-3</v>
      </c>
      <c r="U5">
        <f>jogan_5gs!M5</f>
        <v>1.1001860888265119E-3</v>
      </c>
      <c r="V5">
        <f t="shared" si="4"/>
        <v>6.63304536448476E-4</v>
      </c>
    </row>
    <row r="6" spans="1:22" x14ac:dyDescent="0.3">
      <c r="A6" s="1">
        <v>2386.8469773629454</v>
      </c>
      <c r="B6" s="2">
        <v>6</v>
      </c>
      <c r="C6">
        <v>0.88655136186550398</v>
      </c>
      <c r="D6">
        <v>1.0444103865619301</v>
      </c>
      <c r="E6">
        <v>1.2933753943217601</v>
      </c>
      <c r="F6">
        <v>10.0098084340217</v>
      </c>
      <c r="G6">
        <v>22.7518370769691</v>
      </c>
      <c r="H6">
        <v>27.626186507936499</v>
      </c>
      <c r="I6">
        <v>23.6441484375</v>
      </c>
      <c r="J6">
        <v>6.9457031249999899</v>
      </c>
      <c r="K6">
        <v>2.3341806955645099</v>
      </c>
      <c r="L6">
        <v>0.99963180443548005</v>
      </c>
      <c r="M6">
        <f t="shared" si="0"/>
        <v>5.3193081711930235E-4</v>
      </c>
      <c r="N6">
        <f t="shared" si="1"/>
        <v>6.2664623193715797E-4</v>
      </c>
      <c r="O6">
        <f t="shared" si="2"/>
        <v>7.7602523659305598E-4</v>
      </c>
      <c r="P6">
        <f t="shared" si="3"/>
        <v>6.0058850604130199E-3</v>
      </c>
      <c r="Q6">
        <f>jogan_5gs!I6</f>
        <v>1.3651102246181459E-2</v>
      </c>
      <c r="R6">
        <f>jogan_5gs!J6</f>
        <v>1.6575711904761897E-2</v>
      </c>
      <c r="S6">
        <f>jogan_5gs!K6</f>
        <v>1.41864890625E-2</v>
      </c>
      <c r="T6">
        <f>jogan_5gs!L6</f>
        <v>4.1674218749999936E-3</v>
      </c>
      <c r="U6">
        <f>jogan_5gs!M6</f>
        <v>1.4005084173387059E-3</v>
      </c>
      <c r="V6">
        <f t="shared" si="4"/>
        <v>5.9977908266128802E-4</v>
      </c>
    </row>
    <row r="7" spans="1:22" x14ac:dyDescent="0.3">
      <c r="A7" s="1">
        <v>2479.4504746133998</v>
      </c>
      <c r="B7" s="2">
        <v>3</v>
      </c>
      <c r="C7">
        <v>0.42468194489208499</v>
      </c>
      <c r="D7">
        <v>0.93616729668784504</v>
      </c>
      <c r="E7">
        <v>1.7555205047318601</v>
      </c>
      <c r="F7">
        <v>3.9693530345415899</v>
      </c>
      <c r="G7">
        <v>22.0459119496855</v>
      </c>
      <c r="H7">
        <v>30.062937499999901</v>
      </c>
      <c r="I7">
        <v>26.774984374999899</v>
      </c>
      <c r="J7">
        <v>10.28515625</v>
      </c>
      <c r="K7">
        <v>2.4192121975806402</v>
      </c>
      <c r="L7">
        <v>0.73011592741936204</v>
      </c>
      <c r="M7">
        <f t="shared" si="0"/>
        <v>1.2740458346762549E-4</v>
      </c>
      <c r="N7">
        <f t="shared" si="1"/>
        <v>2.8085018900635351E-4</v>
      </c>
      <c r="O7">
        <f t="shared" si="2"/>
        <v>5.2665615141955801E-4</v>
      </c>
      <c r="P7">
        <f t="shared" si="3"/>
        <v>1.1908059103624769E-3</v>
      </c>
      <c r="Q7">
        <f>jogan_5gs!I7</f>
        <v>6.6137735849056498E-3</v>
      </c>
      <c r="R7">
        <f>jogan_5gs!J7</f>
        <v>9.0188812499999698E-3</v>
      </c>
      <c r="S7">
        <f>jogan_5gs!K7</f>
        <v>8.0324953124999692E-3</v>
      </c>
      <c r="T7">
        <f>jogan_5gs!L7</f>
        <v>3.0855468749999997E-3</v>
      </c>
      <c r="U7">
        <f>jogan_5gs!M7</f>
        <v>7.2576365927419203E-4</v>
      </c>
      <c r="V7">
        <f t="shared" si="4"/>
        <v>2.1903477822580861E-4</v>
      </c>
    </row>
    <row r="8" spans="1:22" x14ac:dyDescent="0.3">
      <c r="A8" s="1">
        <v>2591.6560995621267</v>
      </c>
      <c r="B8" s="2">
        <v>0.5</v>
      </c>
      <c r="C8">
        <v>0.63424977240985403</v>
      </c>
      <c r="D8">
        <v>1.1459702921928001</v>
      </c>
      <c r="E8">
        <v>1.91403785488958</v>
      </c>
      <c r="F8">
        <v>4.5816914270975904</v>
      </c>
      <c r="G8">
        <v>21.537880802635499</v>
      </c>
      <c r="H8">
        <v>29.182910962301499</v>
      </c>
      <c r="I8">
        <v>26.273390624999902</v>
      </c>
      <c r="J8">
        <v>10.7</v>
      </c>
      <c r="K8">
        <v>2.4218064516128899</v>
      </c>
      <c r="L8">
        <v>0.69106854838709297</v>
      </c>
      <c r="M8">
        <f t="shared" si="0"/>
        <v>3.1712488620492704E-5</v>
      </c>
      <c r="N8">
        <f t="shared" si="1"/>
        <v>5.7298514609640009E-5</v>
      </c>
      <c r="O8">
        <f t="shared" si="2"/>
        <v>9.5701892744478993E-5</v>
      </c>
      <c r="P8">
        <f t="shared" si="3"/>
        <v>2.2908457135487951E-4</v>
      </c>
      <c r="Q8">
        <f>jogan_5gs!I8</f>
        <v>1.076894040131775E-3</v>
      </c>
      <c r="R8">
        <f>jogan_5gs!J8</f>
        <v>1.459145548115075E-3</v>
      </c>
      <c r="S8">
        <f>jogan_5gs!K8</f>
        <v>1.3136695312499951E-3</v>
      </c>
      <c r="T8">
        <f>jogan_5gs!L8</f>
        <v>5.3499999999999999E-4</v>
      </c>
      <c r="U8">
        <f>jogan_5gs!M8</f>
        <v>1.2109032258064451E-4</v>
      </c>
      <c r="V8">
        <f t="shared" si="4"/>
        <v>3.4553427419354649E-5</v>
      </c>
    </row>
    <row r="9" spans="1:22" x14ac:dyDescent="0.3">
      <c r="A9" s="1">
        <v>2677.9274088655343</v>
      </c>
      <c r="B9" s="2">
        <v>2</v>
      </c>
      <c r="C9">
        <v>0.31112845131267203</v>
      </c>
      <c r="D9">
        <v>0.68579857790964005</v>
      </c>
      <c r="E9">
        <v>1.2870662460567801</v>
      </c>
      <c r="F9">
        <v>1.7202949030811601</v>
      </c>
      <c r="G9">
        <v>19.6088176100628</v>
      </c>
      <c r="H9">
        <v>28.711197916666599</v>
      </c>
      <c r="I9">
        <v>27.7415937499999</v>
      </c>
      <c r="J9">
        <v>15.893750000000001</v>
      </c>
      <c r="K9">
        <v>2.8104798387096599</v>
      </c>
      <c r="L9">
        <v>0.54878578629032404</v>
      </c>
      <c r="M9">
        <f t="shared" si="0"/>
        <v>6.2225690262534408E-5</v>
      </c>
      <c r="N9">
        <f t="shared" si="1"/>
        <v>1.37159715581928E-4</v>
      </c>
      <c r="O9">
        <f t="shared" si="2"/>
        <v>2.5741324921135599E-4</v>
      </c>
      <c r="P9">
        <f t="shared" si="3"/>
        <v>3.4405898061623205E-4</v>
      </c>
      <c r="Q9">
        <f>jogan_5gs!I9</f>
        <v>3.9217635220125599E-3</v>
      </c>
      <c r="R9">
        <f>jogan_5gs!J9</f>
        <v>5.7422395833333197E-3</v>
      </c>
      <c r="S9">
        <f>jogan_5gs!K9</f>
        <v>5.5483187499999797E-3</v>
      </c>
      <c r="T9">
        <f>jogan_5gs!L9</f>
        <v>3.1787500000000002E-3</v>
      </c>
      <c r="U9">
        <f>jogan_5gs!M9</f>
        <v>5.6209596774193192E-4</v>
      </c>
      <c r="V9">
        <f t="shared" si="4"/>
        <v>1.0975715725806482E-4</v>
      </c>
    </row>
    <row r="17" spans="3:26" x14ac:dyDescent="0.3">
      <c r="S17">
        <v>3.1289391026305916E-2</v>
      </c>
      <c r="T17">
        <v>2.4208008396182278E-2</v>
      </c>
      <c r="U17">
        <v>8.0176476098448596E-3</v>
      </c>
      <c r="V17">
        <v>1.3130218518363658E-2</v>
      </c>
      <c r="W17">
        <v>7.6998633309349196E-3</v>
      </c>
      <c r="X17">
        <v>2.1025526363360669E-3</v>
      </c>
      <c r="Y17">
        <v>4.0505180076787803E-4</v>
      </c>
      <c r="Z17">
        <v>7.8951190607860604E-4</v>
      </c>
    </row>
    <row r="20" spans="3:26" x14ac:dyDescent="0.3">
      <c r="R20">
        <v>7.8217559946199097E-2</v>
      </c>
      <c r="S20">
        <v>6.7648592092635601E-2</v>
      </c>
      <c r="T20">
        <v>6.0169451835229398E-2</v>
      </c>
      <c r="U20">
        <v>1.5288584228411501E-2</v>
      </c>
      <c r="V20">
        <v>2.8166984257809301E-2</v>
      </c>
    </row>
    <row r="21" spans="3:26" x14ac:dyDescent="0.3">
      <c r="C21">
        <v>1.1768080419551701</v>
      </c>
      <c r="D21">
        <v>2.2160179337862398</v>
      </c>
      <c r="E21">
        <v>0.94373712631394402</v>
      </c>
      <c r="F21">
        <v>1.1993499478801599</v>
      </c>
      <c r="G21">
        <v>0.88655136186550398</v>
      </c>
      <c r="H21">
        <v>0.42468194489208499</v>
      </c>
      <c r="I21">
        <v>0.63424977240985403</v>
      </c>
      <c r="J21">
        <v>0.31112845131267203</v>
      </c>
    </row>
    <row r="22" spans="3:26" x14ac:dyDescent="0.3">
      <c r="C22">
        <v>1.7483458392229101</v>
      </c>
      <c r="D22">
        <v>2.2910938486819101</v>
      </c>
      <c r="E22">
        <v>1.3758997387571701</v>
      </c>
      <c r="F22">
        <v>1.2201892199829401</v>
      </c>
      <c r="G22">
        <v>1.0444103865619301</v>
      </c>
      <c r="H22">
        <v>0.93616729668784504</v>
      </c>
      <c r="I22">
        <v>1.1459702921928001</v>
      </c>
      <c r="J22">
        <v>0.68579857790964005</v>
      </c>
    </row>
    <row r="23" spans="3:26" x14ac:dyDescent="0.3">
      <c r="C23">
        <v>2.5615141955835901</v>
      </c>
      <c r="D23">
        <v>2.1353838067823299</v>
      </c>
      <c r="E23">
        <v>1.6451104100946301</v>
      </c>
      <c r="F23">
        <v>0.94663512066246103</v>
      </c>
      <c r="G23">
        <v>1.2933753943217601</v>
      </c>
      <c r="H23">
        <v>1.7555205047318601</v>
      </c>
      <c r="I23">
        <v>1.91403785488958</v>
      </c>
      <c r="J23">
        <v>1.2870662460567801</v>
      </c>
    </row>
    <row r="24" spans="3:26" x14ac:dyDescent="0.3">
      <c r="C24">
        <v>21.011319560193002</v>
      </c>
      <c r="D24">
        <v>21.305953351845002</v>
      </c>
      <c r="E24">
        <v>23.060933853143599</v>
      </c>
      <c r="F24">
        <v>19.069970978055899</v>
      </c>
      <c r="G24">
        <v>10.0098084340217</v>
      </c>
      <c r="H24">
        <v>3.9693530345415899</v>
      </c>
      <c r="I24">
        <v>4.5816914270975904</v>
      </c>
      <c r="J24">
        <v>1.7202949030811601</v>
      </c>
    </row>
    <row r="25" spans="3:26" x14ac:dyDescent="0.3">
      <c r="C25">
        <v>1.15530376360231</v>
      </c>
      <c r="D25">
        <v>0.93577889795160696</v>
      </c>
      <c r="E25">
        <v>0.78927066532257495</v>
      </c>
      <c r="F25">
        <v>1.10550756074746</v>
      </c>
      <c r="G25">
        <v>0.99963180443548005</v>
      </c>
      <c r="H25">
        <v>0.73011592741936204</v>
      </c>
      <c r="I25">
        <v>0.69106854838709297</v>
      </c>
      <c r="J25">
        <v>0.54878578629032404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06FB-DDC6-4D39-8F34-809361942DEA}">
  <dimension ref="A1:M9"/>
  <sheetViews>
    <sheetView workbookViewId="0">
      <selection activeCell="H16" sqref="H16"/>
    </sheetView>
  </sheetViews>
  <sheetFormatPr defaultRowHeight="14.4" x14ac:dyDescent="0.3"/>
  <cols>
    <col min="8" max="8" width="10.88671875" customWidth="1"/>
    <col min="13" max="13" width="11" bestFit="1" customWidth="1"/>
  </cols>
  <sheetData>
    <row r="1" spans="1:13" x14ac:dyDescent="0.3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7</v>
      </c>
      <c r="I1">
        <f>2^(-(0.4+1)/2)*1000</f>
        <v>615.57220667245815</v>
      </c>
      <c r="J1">
        <f>2^(-(1+1.6)/2)*1000</f>
        <v>406.12619817811776</v>
      </c>
      <c r="K1">
        <f>2^(-(1.6+2.2)/2)*1000</f>
        <v>267.9433656340733</v>
      </c>
      <c r="L1">
        <f>2^(-(2.2+2.8)/2)*1000</f>
        <v>176.77669529663686</v>
      </c>
      <c r="M1">
        <f>2^(-(2.8+3.4)/2)*1000</f>
        <v>116.62912394210096</v>
      </c>
    </row>
    <row r="2" spans="1:13" x14ac:dyDescent="0.3">
      <c r="A2" s="1">
        <v>1712.6252398183208</v>
      </c>
      <c r="B2" s="2">
        <v>12</v>
      </c>
      <c r="C2">
        <v>35.139924342102702</v>
      </c>
      <c r="D2">
        <v>53.5200698509978</v>
      </c>
      <c r="E2">
        <v>5.5779215405305198</v>
      </c>
      <c r="F2">
        <v>1.26192883764215</v>
      </c>
      <c r="G2">
        <v>2.67016924942424E-2</v>
      </c>
      <c r="H2">
        <f>A2-A2</f>
        <v>0</v>
      </c>
      <c r="I2">
        <f>$B2*0.01*C2/100</f>
        <v>4.2167909210523241E-2</v>
      </c>
      <c r="J2">
        <f>$B2*0.01*D2/100</f>
        <v>6.4224083821197361E-2</v>
      </c>
      <c r="K2">
        <f>$B2*0.01*E2/100</f>
        <v>6.6935058486366243E-3</v>
      </c>
      <c r="L2">
        <f>$B2*0.01*F2/100</f>
        <v>1.51431460517058E-3</v>
      </c>
      <c r="M2">
        <f>$B2*0.01*G2/100</f>
        <v>3.2042030993090882E-5</v>
      </c>
    </row>
    <row r="3" spans="1:13" x14ac:dyDescent="0.3">
      <c r="A3" s="1">
        <v>1822.2714216003524</v>
      </c>
      <c r="B3" s="2">
        <v>9</v>
      </c>
      <c r="C3">
        <v>34.912966030175099</v>
      </c>
      <c r="D3">
        <v>50.130856771166499</v>
      </c>
      <c r="E3">
        <v>4.1979898445708104</v>
      </c>
      <c r="F3">
        <v>0.99131837123709898</v>
      </c>
      <c r="G3">
        <v>1.2763240723273801E-2</v>
      </c>
      <c r="H3">
        <f>A3-A2</f>
        <v>109.64618178203159</v>
      </c>
      <c r="I3">
        <f t="shared" ref="I3:I9" si="0">$B3*0.01*C3/100</f>
        <v>3.1421669427157586E-2</v>
      </c>
      <c r="J3">
        <f t="shared" ref="J3:J9" si="1">$B3*0.01*D3/100</f>
        <v>4.5117771094049852E-2</v>
      </c>
      <c r="K3">
        <f t="shared" ref="K3:K9" si="2">$B3*0.01*E3/100</f>
        <v>3.7781908601137292E-3</v>
      </c>
      <c r="L3">
        <f t="shared" ref="L3:L9" si="3">$B3*0.01*F3/100</f>
        <v>8.9218653411338904E-4</v>
      </c>
      <c r="M3">
        <f t="shared" ref="M3:M9" si="4">$B3*0.01*G3/100</f>
        <v>1.148691665094642E-5</v>
      </c>
    </row>
    <row r="4" spans="1:13" x14ac:dyDescent="0.3">
      <c r="A4" s="1">
        <v>2163.3074545178388</v>
      </c>
      <c r="B4" s="2">
        <v>3</v>
      </c>
      <c r="C4">
        <v>37.277971811212097</v>
      </c>
      <c r="D4">
        <v>55.275157876449803</v>
      </c>
      <c r="E4">
        <v>3.5266539329952802</v>
      </c>
      <c r="F4">
        <v>0.82750530736630801</v>
      </c>
      <c r="G4">
        <v>6.3164954308803003E-3</v>
      </c>
      <c r="H4">
        <f>A4-A2</f>
        <v>450.682214699518</v>
      </c>
      <c r="I4">
        <f t="shared" si="0"/>
        <v>1.1183391543363628E-2</v>
      </c>
      <c r="J4">
        <f t="shared" si="1"/>
        <v>1.6582547362934942E-2</v>
      </c>
      <c r="K4">
        <f t="shared" si="2"/>
        <v>1.0579961798985839E-3</v>
      </c>
      <c r="L4">
        <f t="shared" si="3"/>
        <v>2.482515922098924E-4</v>
      </c>
      <c r="M4">
        <f t="shared" si="4"/>
        <v>1.89494862926409E-6</v>
      </c>
    </row>
    <row r="5" spans="1:13" x14ac:dyDescent="0.3">
      <c r="A5" s="1">
        <v>2255.7039426554761</v>
      </c>
      <c r="B5" s="2">
        <v>6</v>
      </c>
      <c r="C5">
        <v>30.8450142063401</v>
      </c>
      <c r="D5">
        <v>58.5604933702853</v>
      </c>
      <c r="E5">
        <v>5.0194020611735004</v>
      </c>
      <c r="F5">
        <v>1.22063803996313</v>
      </c>
      <c r="G5">
        <v>2.40099644210118E-2</v>
      </c>
      <c r="H5">
        <f>A5-A2</f>
        <v>543.07870283715533</v>
      </c>
      <c r="I5">
        <f t="shared" si="0"/>
        <v>1.8507008523804058E-2</v>
      </c>
      <c r="J5">
        <f t="shared" si="1"/>
        <v>3.5136296022171179E-2</v>
      </c>
      <c r="K5">
        <f t="shared" si="2"/>
        <v>3.0116412367041001E-3</v>
      </c>
      <c r="L5">
        <f t="shared" si="3"/>
        <v>7.3238282397787807E-4</v>
      </c>
      <c r="M5">
        <f t="shared" si="4"/>
        <v>1.440597865260708E-5</v>
      </c>
    </row>
    <row r="6" spans="1:13" x14ac:dyDescent="0.3">
      <c r="A6" s="1">
        <v>2386.8469773629454</v>
      </c>
      <c r="B6" s="2">
        <v>6</v>
      </c>
      <c r="C6">
        <v>18.023444380464099</v>
      </c>
      <c r="D6">
        <v>66.728680109234006</v>
      </c>
      <c r="E6">
        <v>10.3437368742744</v>
      </c>
      <c r="F6">
        <v>1.0788471836303299</v>
      </c>
      <c r="G6">
        <v>1.6295786880689798E-2</v>
      </c>
      <c r="H6">
        <f>A6-A2</f>
        <v>674.2217375446246</v>
      </c>
      <c r="I6">
        <f t="shared" si="0"/>
        <v>1.0814066628278458E-2</v>
      </c>
      <c r="J6">
        <f t="shared" si="1"/>
        <v>4.0037208065540397E-2</v>
      </c>
      <c r="K6">
        <f t="shared" si="2"/>
        <v>6.2062421245646406E-3</v>
      </c>
      <c r="L6">
        <f t="shared" si="3"/>
        <v>6.4730831017819788E-4</v>
      </c>
      <c r="M6">
        <f t="shared" si="4"/>
        <v>9.7774721284138786E-6</v>
      </c>
    </row>
    <row r="7" spans="1:13" x14ac:dyDescent="0.3">
      <c r="A7" s="1">
        <v>2479.4504746133998</v>
      </c>
      <c r="B7" s="2">
        <v>3</v>
      </c>
      <c r="C7">
        <v>9.4527714360725099</v>
      </c>
      <c r="D7">
        <v>74.324340186465705</v>
      </c>
      <c r="E7">
        <v>13.914969606378</v>
      </c>
      <c r="F7">
        <v>0.81214872670889804</v>
      </c>
      <c r="G7">
        <v>1.82267404330076E-2</v>
      </c>
      <c r="H7">
        <f>A7-A2</f>
        <v>766.82523479507904</v>
      </c>
      <c r="I7">
        <f t="shared" si="0"/>
        <v>2.8358314308217529E-3</v>
      </c>
      <c r="J7">
        <f t="shared" si="1"/>
        <v>2.2297302055939713E-2</v>
      </c>
      <c r="K7">
        <f t="shared" si="2"/>
        <v>4.1744908819133994E-3</v>
      </c>
      <c r="L7">
        <f t="shared" si="3"/>
        <v>2.4364461801266939E-4</v>
      </c>
      <c r="M7">
        <f t="shared" si="4"/>
        <v>5.4680221299022799E-6</v>
      </c>
    </row>
    <row r="8" spans="1:13" x14ac:dyDescent="0.3">
      <c r="A8" s="1">
        <v>2591.6560995621267</v>
      </c>
      <c r="B8" s="2">
        <v>0.5</v>
      </c>
      <c r="C8">
        <v>10.4710480085591</v>
      </c>
      <c r="D8">
        <v>72.119504738890299</v>
      </c>
      <c r="E8">
        <v>14.3538275375087</v>
      </c>
      <c r="F8">
        <v>0.77351044345178299</v>
      </c>
      <c r="G8">
        <v>1.7956236540513201E-2</v>
      </c>
      <c r="H8">
        <f>A8-A2</f>
        <v>879.03085974380588</v>
      </c>
      <c r="I8">
        <f t="shared" si="0"/>
        <v>5.2355240042795505E-4</v>
      </c>
      <c r="J8">
        <f t="shared" si="1"/>
        <v>3.6059752369445152E-3</v>
      </c>
      <c r="K8">
        <f t="shared" si="2"/>
        <v>7.1769137687543506E-4</v>
      </c>
      <c r="L8">
        <f t="shared" si="3"/>
        <v>3.8675522172589149E-5</v>
      </c>
      <c r="M8">
        <f t="shared" si="4"/>
        <v>8.9781182702566004E-7</v>
      </c>
    </row>
    <row r="9" spans="1:13" x14ac:dyDescent="0.3">
      <c r="A9" s="1">
        <v>2677.9274088655343</v>
      </c>
      <c r="B9" s="2">
        <v>2</v>
      </c>
      <c r="C9">
        <v>5.3008892978494604</v>
      </c>
      <c r="D9">
        <v>72.358125761730093</v>
      </c>
      <c r="E9">
        <v>20.3114997598462</v>
      </c>
      <c r="F9">
        <v>0.85442946704904399</v>
      </c>
      <c r="G9">
        <v>7.2250988117829706E-2</v>
      </c>
      <c r="H9">
        <f>A9-A2</f>
        <v>965.30216904721351</v>
      </c>
      <c r="I9">
        <f t="shared" si="0"/>
        <v>1.0601778595698921E-3</v>
      </c>
      <c r="J9">
        <f t="shared" si="1"/>
        <v>1.447162515234602E-2</v>
      </c>
      <c r="K9">
        <f t="shared" si="2"/>
        <v>4.0622999519692397E-3</v>
      </c>
      <c r="L9">
        <f t="shared" si="3"/>
        <v>1.7088589340980879E-4</v>
      </c>
      <c r="M9">
        <f t="shared" si="4"/>
        <v>1.4450197623565941E-5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5501-42FF-44DC-912B-F33A0059CA17}">
  <dimension ref="A1:O14"/>
  <sheetViews>
    <sheetView workbookViewId="0">
      <selection activeCell="I14" sqref="I14"/>
    </sheetView>
  </sheetViews>
  <sheetFormatPr defaultRowHeight="14.4" x14ac:dyDescent="0.3"/>
  <cols>
    <col min="9" max="9" width="12.88671875" customWidth="1"/>
  </cols>
  <sheetData>
    <row r="1" spans="1:15" x14ac:dyDescent="0.3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>
        <f>2^(-(0.4+1)/2)*1000</f>
        <v>615.57220667245815</v>
      </c>
      <c r="K1">
        <f>2^(-(1+1.6)/2)*1000</f>
        <v>406.12619817811776</v>
      </c>
      <c r="L1">
        <f>2^(-(1.6+2.2)/2)*1000</f>
        <v>267.9433656340733</v>
      </c>
      <c r="M1">
        <f>2^(-(2.2+2.8)/2)*1000</f>
        <v>176.77669529663686</v>
      </c>
      <c r="N1">
        <f>2^(-(2.8+3.4)/2)*1000</f>
        <v>116.62912394210096</v>
      </c>
      <c r="O1">
        <f>2^(-(3.4+4)/2)*1000</f>
        <v>76.946525834057269</v>
      </c>
    </row>
    <row r="2" spans="1:15" x14ac:dyDescent="0.3">
      <c r="A2" s="1">
        <v>1712.6252398183208</v>
      </c>
      <c r="B2" s="2">
        <v>12</v>
      </c>
      <c r="C2">
        <v>35.146553555984603</v>
      </c>
      <c r="D2">
        <v>53.195230651428503</v>
      </c>
      <c r="E2">
        <v>5.6016602822580603</v>
      </c>
      <c r="F2">
        <v>1.28768346780442</v>
      </c>
      <c r="G2">
        <v>5.6187499937507802E-2</v>
      </c>
      <c r="H2">
        <v>0</v>
      </c>
      <c r="I2">
        <f>A2-A2</f>
        <v>0</v>
      </c>
      <c r="J2">
        <f>$B2*0.01*C2/100</f>
        <v>4.217586426718152E-2</v>
      </c>
      <c r="K2">
        <f>$B2*0.01*D2/100</f>
        <v>6.3834276781714203E-2</v>
      </c>
      <c r="L2">
        <f>$B2*0.01*E2/100</f>
        <v>6.7219923387096727E-3</v>
      </c>
      <c r="M2">
        <f>$B2*0.01*F2/100</f>
        <v>1.5452201613653039E-3</v>
      </c>
      <c r="N2">
        <f>$B2*0.01*G2/100</f>
        <v>6.7424999925009367E-5</v>
      </c>
      <c r="O2">
        <f>$H2*0.01*B2/100</f>
        <v>0</v>
      </c>
    </row>
    <row r="3" spans="1:15" x14ac:dyDescent="0.3">
      <c r="A3" s="1">
        <v>1822.2714216003524</v>
      </c>
      <c r="B3" s="2">
        <v>9</v>
      </c>
      <c r="C3">
        <v>34.946391471686702</v>
      </c>
      <c r="D3">
        <v>49.9483794637991</v>
      </c>
      <c r="E3">
        <v>4.2113256048276</v>
      </c>
      <c r="F3">
        <v>1.0145806454536299</v>
      </c>
      <c r="G3">
        <v>3.6000000062500703E-2</v>
      </c>
      <c r="H3">
        <v>0</v>
      </c>
      <c r="I3">
        <f>A3-A2</f>
        <v>109.64618178203159</v>
      </c>
      <c r="J3">
        <f t="shared" ref="J3:M9" si="0">$B3*0.01*C3/100</f>
        <v>3.145175232451803E-2</v>
      </c>
      <c r="K3">
        <f t="shared" si="0"/>
        <v>4.4953541517419184E-2</v>
      </c>
      <c r="L3">
        <f t="shared" si="0"/>
        <v>3.7901930443448402E-3</v>
      </c>
      <c r="M3">
        <f t="shared" si="0"/>
        <v>9.1312258090826685E-4</v>
      </c>
      <c r="N3">
        <f t="shared" ref="N3:N9" si="1">$B3*0.01*G3/100</f>
        <v>3.2400000056250633E-5</v>
      </c>
      <c r="O3">
        <f t="shared" ref="O3:O9" si="2">$H3*0.01*B3/100</f>
        <v>0</v>
      </c>
    </row>
    <row r="4" spans="1:15" x14ac:dyDescent="0.3">
      <c r="A4" s="1">
        <v>2163.3074545178388</v>
      </c>
      <c r="B4" s="2">
        <v>3</v>
      </c>
      <c r="C4">
        <v>37.321993240198204</v>
      </c>
      <c r="D4">
        <v>55.057227678571401</v>
      </c>
      <c r="E4">
        <v>3.5397308467741899</v>
      </c>
      <c r="F4">
        <v>0.84755040322580999</v>
      </c>
      <c r="G4">
        <v>2.6062499999994701E-2</v>
      </c>
      <c r="H4">
        <v>0</v>
      </c>
      <c r="I4">
        <f>A4-A2</f>
        <v>450.682214699518</v>
      </c>
      <c r="J4">
        <f t="shared" si="0"/>
        <v>1.1196597972059462E-2</v>
      </c>
      <c r="K4">
        <f t="shared" si="0"/>
        <v>1.651716830357142E-2</v>
      </c>
      <c r="L4">
        <f t="shared" si="0"/>
        <v>1.061919254032257E-3</v>
      </c>
      <c r="M4">
        <f t="shared" si="0"/>
        <v>2.5426512096774298E-4</v>
      </c>
      <c r="N4">
        <f t="shared" si="1"/>
        <v>7.8187499999984096E-6</v>
      </c>
      <c r="O4">
        <f t="shared" si="2"/>
        <v>0</v>
      </c>
    </row>
    <row r="5" spans="1:15" x14ac:dyDescent="0.3">
      <c r="A5" s="1">
        <v>2255.7039426554761</v>
      </c>
      <c r="B5" s="2">
        <v>6</v>
      </c>
      <c r="C5">
        <v>31.357838662959399</v>
      </c>
      <c r="D5">
        <v>57.948633928084803</v>
      </c>
      <c r="E5">
        <v>5.0415181451501896</v>
      </c>
      <c r="F5">
        <v>1.2429610221310401</v>
      </c>
      <c r="G5">
        <v>5.3125000062493599E-2</v>
      </c>
      <c r="H5">
        <v>0</v>
      </c>
      <c r="I5">
        <f>A5-A2</f>
        <v>543.07870283715533</v>
      </c>
      <c r="J5">
        <f t="shared" si="0"/>
        <v>1.8814703197775638E-2</v>
      </c>
      <c r="K5">
        <f t="shared" si="0"/>
        <v>3.4769180356850879E-2</v>
      </c>
      <c r="L5">
        <f t="shared" si="0"/>
        <v>3.0249108870901136E-3</v>
      </c>
      <c r="M5">
        <f t="shared" si="0"/>
        <v>7.4577661327862403E-4</v>
      </c>
      <c r="N5">
        <f t="shared" si="1"/>
        <v>3.1875000037496159E-5</v>
      </c>
      <c r="O5">
        <f t="shared" si="2"/>
        <v>0</v>
      </c>
    </row>
    <row r="6" spans="1:15" x14ac:dyDescent="0.3">
      <c r="A6" s="1">
        <v>2386.8469773629454</v>
      </c>
      <c r="B6" s="2">
        <v>6</v>
      </c>
      <c r="C6">
        <v>19.655048445245601</v>
      </c>
      <c r="D6">
        <v>64.846399553571402</v>
      </c>
      <c r="E6">
        <v>10.4494944556451</v>
      </c>
      <c r="F6">
        <v>1.1045836693548201</v>
      </c>
      <c r="G6">
        <v>4.2093750000006397E-2</v>
      </c>
      <c r="H6">
        <v>0</v>
      </c>
      <c r="I6">
        <f>A6-A2</f>
        <v>674.2217375446246</v>
      </c>
      <c r="J6">
        <f t="shared" si="0"/>
        <v>1.1793029067147361E-2</v>
      </c>
      <c r="K6">
        <f t="shared" si="0"/>
        <v>3.8907839732142839E-2</v>
      </c>
      <c r="L6">
        <f t="shared" si="0"/>
        <v>6.2696966733870596E-3</v>
      </c>
      <c r="M6">
        <f t="shared" si="0"/>
        <v>6.6275020161289211E-4</v>
      </c>
      <c r="N6">
        <f t="shared" si="1"/>
        <v>2.5256250000003839E-5</v>
      </c>
      <c r="O6">
        <f t="shared" si="2"/>
        <v>0</v>
      </c>
    </row>
    <row r="7" spans="1:15" x14ac:dyDescent="0.3">
      <c r="A7" s="1">
        <v>2479.4504746133998</v>
      </c>
      <c r="B7" s="2">
        <v>3</v>
      </c>
      <c r="C7">
        <v>12.345233438485799</v>
      </c>
      <c r="D7">
        <v>71.059406249999896</v>
      </c>
      <c r="E7">
        <v>14.074496975806399</v>
      </c>
      <c r="F7">
        <v>0.82940927419355104</v>
      </c>
      <c r="G7">
        <v>3.7687500000004003E-2</v>
      </c>
      <c r="H7">
        <v>0</v>
      </c>
      <c r="I7">
        <f>A7-A2</f>
        <v>766.82523479507904</v>
      </c>
      <c r="J7">
        <f t="shared" si="0"/>
        <v>3.7035700315457398E-3</v>
      </c>
      <c r="K7">
        <f t="shared" si="0"/>
        <v>2.1317821874999966E-2</v>
      </c>
      <c r="L7">
        <f t="shared" si="0"/>
        <v>4.2223490927419194E-3</v>
      </c>
      <c r="M7">
        <f t="shared" si="0"/>
        <v>2.4882278225806529E-4</v>
      </c>
      <c r="N7">
        <f t="shared" si="1"/>
        <v>1.13062500000012E-5</v>
      </c>
      <c r="O7">
        <f t="shared" si="2"/>
        <v>0</v>
      </c>
    </row>
    <row r="8" spans="1:15" x14ac:dyDescent="0.3">
      <c r="A8" s="1">
        <v>2591.6560995621267</v>
      </c>
      <c r="B8" s="2">
        <v>0.5</v>
      </c>
      <c r="C8">
        <v>13.115222172149601</v>
      </c>
      <c r="D8">
        <v>69.113285714285695</v>
      </c>
      <c r="E8">
        <v>14.514064516129</v>
      </c>
      <c r="F8">
        <v>0.78937298387097599</v>
      </c>
      <c r="G8">
        <v>3.6562500000002197E-2</v>
      </c>
      <c r="H8">
        <v>0</v>
      </c>
      <c r="I8">
        <f>A8-A2</f>
        <v>879.03085974380588</v>
      </c>
      <c r="J8">
        <f t="shared" si="0"/>
        <v>6.5576110860748004E-4</v>
      </c>
      <c r="K8">
        <f t="shared" si="0"/>
        <v>3.4556642857142849E-3</v>
      </c>
      <c r="L8">
        <f t="shared" si="0"/>
        <v>7.2570322580645E-4</v>
      </c>
      <c r="M8">
        <f t="shared" si="0"/>
        <v>3.9468649193548801E-5</v>
      </c>
      <c r="N8">
        <f t="shared" si="1"/>
        <v>1.8281250000001099E-6</v>
      </c>
      <c r="O8">
        <f t="shared" si="2"/>
        <v>0</v>
      </c>
    </row>
    <row r="9" spans="1:15" x14ac:dyDescent="0.3">
      <c r="A9" s="1">
        <v>2677.9274088655343</v>
      </c>
      <c r="B9" s="2">
        <v>2</v>
      </c>
      <c r="C9">
        <v>8.4791388012618292</v>
      </c>
      <c r="D9">
        <v>68.871749999999906</v>
      </c>
      <c r="E9">
        <v>20.497798387096701</v>
      </c>
      <c r="F9">
        <v>0.84438911290322904</v>
      </c>
      <c r="G9">
        <v>9.4062499999992596E-2</v>
      </c>
      <c r="H9">
        <v>0</v>
      </c>
      <c r="I9">
        <f>A9-A2</f>
        <v>965.30216904721351</v>
      </c>
      <c r="J9">
        <f t="shared" si="0"/>
        <v>1.6958277602523658E-3</v>
      </c>
      <c r="K9">
        <f t="shared" si="0"/>
        <v>1.3774349999999982E-2</v>
      </c>
      <c r="L9">
        <f t="shared" si="0"/>
        <v>4.0995596774193403E-3</v>
      </c>
      <c r="M9">
        <f t="shared" si="0"/>
        <v>1.688778225806458E-4</v>
      </c>
      <c r="N9">
        <f t="shared" si="1"/>
        <v>1.8812499999998519E-5</v>
      </c>
      <c r="O9">
        <f t="shared" si="2"/>
        <v>0</v>
      </c>
    </row>
    <row r="14" spans="1:15" x14ac:dyDescent="0.3">
      <c r="I14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8641-FB2B-4C0A-873E-1AA46127527C}">
  <dimension ref="A1:K9"/>
  <sheetViews>
    <sheetView workbookViewId="0">
      <selection activeCell="I19" sqref="I1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7</v>
      </c>
      <c r="H1">
        <f>2^(-(1+1.6)/2)*1000</f>
        <v>406.12619817811776</v>
      </c>
      <c r="I1">
        <f>2^(-(1.6+2.2)/2)*1000</f>
        <v>267.9433656340733</v>
      </c>
      <c r="J1">
        <f>2^(-(2.2+2.8)/2)*1000</f>
        <v>176.77669529663686</v>
      </c>
      <c r="K1">
        <f>2^(-(2.8+3.4)/2)*1000</f>
        <v>116.62912394210096</v>
      </c>
    </row>
    <row r="2" spans="1:11" x14ac:dyDescent="0.3">
      <c r="A2" s="1">
        <v>1712.6252398183208</v>
      </c>
      <c r="B2" s="2">
        <v>12</v>
      </c>
      <c r="C2">
        <v>53.195230651428503</v>
      </c>
      <c r="D2">
        <v>5.6016602822580603</v>
      </c>
      <c r="E2">
        <v>1.28768346780442</v>
      </c>
      <c r="F2">
        <v>5.6187499937507802E-2</v>
      </c>
      <c r="G2">
        <f>A2-A2</f>
        <v>0</v>
      </c>
      <c r="H2">
        <f>$B2*0.01*C2/100</f>
        <v>6.3834276781714203E-2</v>
      </c>
      <c r="I2">
        <f>$B2*0.01*D2/100</f>
        <v>6.7219923387096727E-3</v>
      </c>
      <c r="J2">
        <f>$B2*0.01*E2/100</f>
        <v>1.5452201613653039E-3</v>
      </c>
      <c r="K2">
        <f>$B2*0.01*F2/100</f>
        <v>6.7424999925009367E-5</v>
      </c>
    </row>
    <row r="3" spans="1:11" x14ac:dyDescent="0.3">
      <c r="A3" s="1">
        <v>1822.2714216003524</v>
      </c>
      <c r="B3" s="2">
        <v>9</v>
      </c>
      <c r="C3">
        <v>49.9483794637991</v>
      </c>
      <c r="D3">
        <v>4.2113256048276</v>
      </c>
      <c r="E3">
        <v>1.0145806454536299</v>
      </c>
      <c r="F3">
        <v>3.6000000062500703E-2</v>
      </c>
      <c r="G3">
        <f>A3-A2</f>
        <v>109.64618178203159</v>
      </c>
      <c r="H3">
        <f t="shared" ref="H3:K9" si="0">$B3*0.01*C3/100</f>
        <v>4.4953541517419184E-2</v>
      </c>
      <c r="I3">
        <f t="shared" si="0"/>
        <v>3.7901930443448402E-3</v>
      </c>
      <c r="J3">
        <f t="shared" si="0"/>
        <v>9.1312258090826685E-4</v>
      </c>
      <c r="K3">
        <f t="shared" si="0"/>
        <v>3.2400000056250633E-5</v>
      </c>
    </row>
    <row r="4" spans="1:11" x14ac:dyDescent="0.3">
      <c r="A4" s="1">
        <v>2163.3074545178388</v>
      </c>
      <c r="B4" s="2">
        <v>3</v>
      </c>
      <c r="C4">
        <v>55.057227678571401</v>
      </c>
      <c r="D4">
        <v>3.5397308467741899</v>
      </c>
      <c r="E4">
        <v>0.84755040322580999</v>
      </c>
      <c r="F4">
        <v>2.6062499999994701E-2</v>
      </c>
      <c r="G4">
        <f>A4-A2</f>
        <v>450.682214699518</v>
      </c>
      <c r="H4">
        <f t="shared" si="0"/>
        <v>1.651716830357142E-2</v>
      </c>
      <c r="I4">
        <f t="shared" si="0"/>
        <v>1.061919254032257E-3</v>
      </c>
      <c r="J4">
        <f t="shared" si="0"/>
        <v>2.5426512096774298E-4</v>
      </c>
      <c r="K4">
        <f t="shared" si="0"/>
        <v>7.8187499999984096E-6</v>
      </c>
    </row>
    <row r="5" spans="1:11" x14ac:dyDescent="0.3">
      <c r="A5" s="1">
        <v>2255.7039426554761</v>
      </c>
      <c r="B5" s="2">
        <v>6</v>
      </c>
      <c r="C5">
        <v>57.948633928084803</v>
      </c>
      <c r="D5">
        <v>5.0415181451501896</v>
      </c>
      <c r="E5">
        <v>1.2429610221310401</v>
      </c>
      <c r="F5">
        <v>5.3125000062493599E-2</v>
      </c>
      <c r="G5">
        <f>A5-A2</f>
        <v>543.07870283715533</v>
      </c>
      <c r="H5">
        <f t="shared" si="0"/>
        <v>3.4769180356850879E-2</v>
      </c>
      <c r="I5">
        <f t="shared" si="0"/>
        <v>3.0249108870901136E-3</v>
      </c>
      <c r="J5">
        <f t="shared" si="0"/>
        <v>7.4577661327862403E-4</v>
      </c>
      <c r="K5">
        <f t="shared" si="0"/>
        <v>3.1875000037496159E-5</v>
      </c>
    </row>
    <row r="6" spans="1:11" x14ac:dyDescent="0.3">
      <c r="A6" s="1">
        <v>2386.8469773629454</v>
      </c>
      <c r="B6" s="2">
        <v>6</v>
      </c>
      <c r="C6">
        <v>64.846399553571402</v>
      </c>
      <c r="D6">
        <v>10.4494944556451</v>
      </c>
      <c r="E6">
        <v>1.1045836693548201</v>
      </c>
      <c r="F6">
        <v>4.2093750000006397E-2</v>
      </c>
      <c r="G6">
        <f>A6-A2</f>
        <v>674.2217375446246</v>
      </c>
      <c r="H6">
        <f t="shared" si="0"/>
        <v>3.8907839732142839E-2</v>
      </c>
      <c r="I6">
        <f t="shared" si="0"/>
        <v>6.2696966733870596E-3</v>
      </c>
      <c r="J6">
        <f t="shared" si="0"/>
        <v>6.6275020161289211E-4</v>
      </c>
      <c r="K6">
        <f t="shared" si="0"/>
        <v>2.5256250000003839E-5</v>
      </c>
    </row>
    <row r="7" spans="1:11" x14ac:dyDescent="0.3">
      <c r="A7" s="1">
        <v>2479.4504746133998</v>
      </c>
      <c r="B7" s="2">
        <v>3</v>
      </c>
      <c r="C7">
        <v>71.059406249999896</v>
      </c>
      <c r="D7">
        <v>14.074496975806399</v>
      </c>
      <c r="E7">
        <v>0.82940927419355104</v>
      </c>
      <c r="F7">
        <v>3.7687500000004003E-2</v>
      </c>
      <c r="G7">
        <f>A7-A2</f>
        <v>766.82523479507904</v>
      </c>
      <c r="H7">
        <f t="shared" si="0"/>
        <v>2.1317821874999966E-2</v>
      </c>
      <c r="I7">
        <f t="shared" si="0"/>
        <v>4.2223490927419194E-3</v>
      </c>
      <c r="J7">
        <f t="shared" si="0"/>
        <v>2.4882278225806529E-4</v>
      </c>
      <c r="K7">
        <f t="shared" si="0"/>
        <v>1.13062500000012E-5</v>
      </c>
    </row>
    <row r="8" spans="1:11" x14ac:dyDescent="0.3">
      <c r="A8" s="1">
        <v>2591.6560995621267</v>
      </c>
      <c r="B8" s="2">
        <v>0.5</v>
      </c>
      <c r="C8">
        <v>69.113285714285695</v>
      </c>
      <c r="D8">
        <v>14.514064516129</v>
      </c>
      <c r="E8">
        <v>0.78937298387097599</v>
      </c>
      <c r="F8">
        <v>3.6562500000002197E-2</v>
      </c>
      <c r="G8">
        <f>A8-A2</f>
        <v>879.03085974380588</v>
      </c>
      <c r="H8">
        <f t="shared" si="0"/>
        <v>3.4556642857142849E-3</v>
      </c>
      <c r="I8">
        <f t="shared" si="0"/>
        <v>7.2570322580645E-4</v>
      </c>
      <c r="J8">
        <f t="shared" si="0"/>
        <v>3.9468649193548801E-5</v>
      </c>
      <c r="K8">
        <f t="shared" si="0"/>
        <v>1.8281250000001099E-6</v>
      </c>
    </row>
    <row r="9" spans="1:11" x14ac:dyDescent="0.3">
      <c r="A9" s="1">
        <v>2677.9274088655343</v>
      </c>
      <c r="B9" s="2">
        <v>2</v>
      </c>
      <c r="C9">
        <v>68.871749999999906</v>
      </c>
      <c r="D9">
        <v>20.497798387096701</v>
      </c>
      <c r="E9">
        <v>0.84438911290322904</v>
      </c>
      <c r="F9">
        <v>9.4062499999992596E-2</v>
      </c>
      <c r="G9">
        <f>A9-A2</f>
        <v>965.30216904721351</v>
      </c>
      <c r="H9">
        <f t="shared" si="0"/>
        <v>1.3774349999999982E-2</v>
      </c>
      <c r="I9">
        <f t="shared" si="0"/>
        <v>4.0995596774193403E-3</v>
      </c>
      <c r="J9">
        <f t="shared" si="0"/>
        <v>1.688778225806458E-4</v>
      </c>
      <c r="K9">
        <f t="shared" si="0"/>
        <v>1.8812499999998519E-5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jogan_4gs</vt:lpstr>
      <vt:lpstr>Jogan4s_range5gs</vt:lpstr>
      <vt:lpstr>jogan_5gs</vt:lpstr>
      <vt:lpstr>Jogan4s_range6gs</vt:lpstr>
      <vt:lpstr>7s_range</vt:lpstr>
      <vt:lpstr>forplot</vt:lpstr>
      <vt:lpstr>Sendaigs</vt:lpstr>
      <vt:lpstr>Sendai6gs_lin</vt:lpstr>
      <vt:lpstr>sendai4gs</vt:lpstr>
      <vt:lpstr>no need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Rimali Mitra</dc:creator>
  <cp:lastModifiedBy>Rimali Mitra</cp:lastModifiedBy>
  <dcterms:created xsi:type="dcterms:W3CDTF">2021-01-26T06:37:20Z</dcterms:created>
  <dcterms:modified xsi:type="dcterms:W3CDTF">2021-12-22T06:43:51Z</dcterms:modified>
</cp:coreProperties>
</file>