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esktop\"/>
    </mc:Choice>
  </mc:AlternateContent>
  <xr:revisionPtr revIDLastSave="0" documentId="13_ncr:1_{B2F35BF8-19A5-45B5-8CAB-36976C8B2924}" xr6:coauthVersionLast="47" xr6:coauthVersionMax="47" xr10:uidLastSave="{00000000-0000-0000-0000-000000000000}"/>
  <bookViews>
    <workbookView xWindow="-120" yWindow="-120" windowWidth="29040" windowHeight="15840" xr2:uid="{7627F102-7E93-4B57-A822-E84C88A2CA2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S9" i="1"/>
  <c r="S8" i="1"/>
  <c r="S7" i="1"/>
  <c r="P10" i="1"/>
  <c r="P9" i="1"/>
  <c r="P8" i="1"/>
  <c r="P7" i="1"/>
  <c r="C54" i="1"/>
  <c r="C65" i="1"/>
  <c r="C64" i="1"/>
  <c r="C63" i="1"/>
  <c r="E63" i="1"/>
  <c r="F63" i="1"/>
  <c r="G63" i="1"/>
  <c r="H63" i="1"/>
  <c r="I63" i="1"/>
  <c r="J63" i="1"/>
  <c r="K63" i="1"/>
  <c r="L63" i="1"/>
  <c r="M63" i="1"/>
  <c r="D63" i="1"/>
  <c r="D62" i="1"/>
  <c r="E62" i="1"/>
  <c r="F62" i="1"/>
  <c r="G62" i="1"/>
  <c r="H62" i="1"/>
  <c r="I62" i="1"/>
  <c r="J62" i="1"/>
  <c r="K62" i="1"/>
  <c r="L62" i="1"/>
  <c r="M62" i="1"/>
  <c r="C62" i="1"/>
  <c r="M61" i="1"/>
  <c r="M60" i="1"/>
  <c r="M59" i="1"/>
  <c r="E58" i="1"/>
  <c r="F58" i="1"/>
  <c r="G58" i="1"/>
  <c r="H58" i="1"/>
  <c r="I58" i="1"/>
  <c r="J58" i="1"/>
  <c r="K58" i="1"/>
  <c r="L58" i="1"/>
  <c r="M58" i="1"/>
  <c r="D58" i="1"/>
  <c r="C57" i="1"/>
  <c r="C56" i="1"/>
  <c r="C52" i="1"/>
  <c r="E52" i="1"/>
  <c r="F52" i="1"/>
  <c r="G52" i="1"/>
  <c r="H52" i="1"/>
  <c r="I52" i="1"/>
  <c r="J52" i="1"/>
  <c r="K52" i="1"/>
  <c r="L52" i="1"/>
  <c r="M52" i="1"/>
  <c r="D52" i="1"/>
  <c r="D51" i="1"/>
  <c r="E51" i="1"/>
  <c r="F51" i="1"/>
  <c r="G51" i="1"/>
  <c r="H51" i="1"/>
  <c r="I51" i="1"/>
  <c r="J51" i="1"/>
  <c r="K51" i="1"/>
  <c r="L51" i="1"/>
  <c r="C51" i="1"/>
  <c r="M50" i="1"/>
  <c r="M51" i="1" s="1"/>
  <c r="M49" i="1"/>
  <c r="E48" i="1"/>
  <c r="F48" i="1"/>
  <c r="G48" i="1"/>
  <c r="H48" i="1"/>
  <c r="I48" i="1"/>
  <c r="J48" i="1"/>
  <c r="K48" i="1"/>
  <c r="L48" i="1"/>
  <c r="M48" i="1"/>
  <c r="D48" i="1"/>
  <c r="C47" i="1"/>
  <c r="D46" i="1"/>
  <c r="E46" i="1" s="1"/>
  <c r="F46" i="1" s="1"/>
  <c r="G46" i="1" s="1"/>
  <c r="H46" i="1" s="1"/>
  <c r="I46" i="1" s="1"/>
  <c r="J46" i="1" s="1"/>
  <c r="K46" i="1" s="1"/>
  <c r="L46" i="1" s="1"/>
  <c r="M46" i="1" s="1"/>
  <c r="E44" i="1"/>
  <c r="F44" i="1"/>
  <c r="G44" i="1"/>
  <c r="H44" i="1"/>
  <c r="I44" i="1"/>
  <c r="J44" i="1"/>
  <c r="K44" i="1"/>
  <c r="L44" i="1"/>
  <c r="M44" i="1"/>
  <c r="D44" i="1"/>
  <c r="E43" i="1"/>
  <c r="F43" i="1"/>
  <c r="G43" i="1"/>
  <c r="H43" i="1"/>
  <c r="I43" i="1"/>
  <c r="J43" i="1"/>
  <c r="K43" i="1"/>
  <c r="L43" i="1"/>
  <c r="M43" i="1"/>
  <c r="D43" i="1"/>
  <c r="E42" i="1"/>
  <c r="F42" i="1"/>
  <c r="G42" i="1"/>
  <c r="H42" i="1"/>
  <c r="I42" i="1"/>
  <c r="J42" i="1"/>
  <c r="K42" i="1"/>
  <c r="L42" i="1"/>
  <c r="M42" i="1"/>
  <c r="D42" i="1"/>
  <c r="E41" i="1"/>
  <c r="F41" i="1" s="1"/>
  <c r="G41" i="1" s="1"/>
  <c r="H41" i="1" s="1"/>
  <c r="I41" i="1" s="1"/>
  <c r="J41" i="1" s="1"/>
  <c r="K41" i="1" s="1"/>
  <c r="L41" i="1" s="1"/>
  <c r="M41" i="1" s="1"/>
  <c r="D41" i="1"/>
  <c r="E38" i="1"/>
  <c r="F38" i="1"/>
  <c r="G38" i="1"/>
  <c r="H38" i="1"/>
  <c r="I38" i="1"/>
  <c r="J38" i="1"/>
  <c r="K38" i="1"/>
  <c r="L38" i="1"/>
  <c r="M38" i="1"/>
  <c r="D38" i="1"/>
  <c r="F35" i="1"/>
  <c r="G35" i="1"/>
  <c r="H35" i="1"/>
  <c r="I35" i="1" s="1"/>
  <c r="J35" i="1" s="1"/>
  <c r="K35" i="1" s="1"/>
  <c r="L35" i="1" s="1"/>
  <c r="M35" i="1" s="1"/>
  <c r="E35" i="1"/>
  <c r="D35" i="1"/>
  <c r="F31" i="1"/>
  <c r="G31" i="1" s="1"/>
  <c r="H31" i="1" s="1"/>
  <c r="I31" i="1" s="1"/>
  <c r="J31" i="1" s="1"/>
  <c r="K31" i="1" s="1"/>
  <c r="L31" i="1" s="1"/>
  <c r="M31" i="1" s="1"/>
  <c r="N31" i="1" s="1"/>
  <c r="F30" i="1"/>
  <c r="G30" i="1" s="1"/>
  <c r="H30" i="1" s="1"/>
  <c r="I30" i="1" s="1"/>
  <c r="J30" i="1" s="1"/>
  <c r="K30" i="1" s="1"/>
  <c r="L30" i="1" s="1"/>
  <c r="M30" i="1" s="1"/>
  <c r="N30" i="1" s="1"/>
  <c r="F28" i="1"/>
  <c r="G28" i="1" s="1"/>
  <c r="H28" i="1" s="1"/>
  <c r="I28" i="1" s="1"/>
  <c r="J28" i="1" s="1"/>
  <c r="K28" i="1" s="1"/>
  <c r="L28" i="1" s="1"/>
  <c r="M28" i="1" s="1"/>
  <c r="N28" i="1" s="1"/>
  <c r="F27" i="1"/>
  <c r="G27" i="1" s="1"/>
  <c r="H27" i="1" s="1"/>
  <c r="I27" i="1" s="1"/>
  <c r="J27" i="1" s="1"/>
  <c r="K27" i="1" s="1"/>
  <c r="L27" i="1" s="1"/>
  <c r="M27" i="1" s="1"/>
  <c r="N27" i="1" s="1"/>
  <c r="F26" i="1"/>
  <c r="G26" i="1" s="1"/>
  <c r="H26" i="1" s="1"/>
  <c r="I26" i="1" s="1"/>
  <c r="J26" i="1" s="1"/>
  <c r="K26" i="1" s="1"/>
  <c r="L26" i="1" s="1"/>
  <c r="M26" i="1" s="1"/>
  <c r="N26" i="1" s="1"/>
  <c r="E31" i="1"/>
  <c r="E30" i="1"/>
  <c r="E28" i="1"/>
  <c r="E27" i="1"/>
  <c r="E26" i="1"/>
  <c r="N17" i="1"/>
  <c r="N18" i="1"/>
  <c r="N14" i="1"/>
  <c r="F18" i="1"/>
  <c r="G18" i="1" s="1"/>
  <c r="H18" i="1" s="1"/>
  <c r="I18" i="1" s="1"/>
  <c r="J18" i="1" s="1"/>
  <c r="K18" i="1" s="1"/>
  <c r="L18" i="1" s="1"/>
  <c r="M18" i="1" s="1"/>
  <c r="F17" i="1"/>
  <c r="G17" i="1" s="1"/>
  <c r="H17" i="1" s="1"/>
  <c r="I17" i="1" s="1"/>
  <c r="J17" i="1" s="1"/>
  <c r="K17" i="1" s="1"/>
  <c r="L17" i="1" s="1"/>
  <c r="M17" i="1" s="1"/>
  <c r="E18" i="1"/>
  <c r="E17" i="1"/>
  <c r="E16" i="1"/>
  <c r="F16" i="1" s="1"/>
  <c r="G16" i="1" s="1"/>
  <c r="H16" i="1" s="1"/>
  <c r="I16" i="1" s="1"/>
  <c r="J16" i="1" s="1"/>
  <c r="K16" i="1" s="1"/>
  <c r="L16" i="1" s="1"/>
  <c r="M16" i="1" s="1"/>
  <c r="N16" i="1" s="1"/>
  <c r="D19" i="1"/>
  <c r="E19" i="1" s="1"/>
  <c r="D16" i="1"/>
  <c r="E14" i="1"/>
  <c r="F14" i="1" s="1"/>
  <c r="G14" i="1" s="1"/>
  <c r="H14" i="1" s="1"/>
  <c r="I14" i="1" s="1"/>
  <c r="J14" i="1" s="1"/>
  <c r="K14" i="1" s="1"/>
  <c r="L14" i="1" s="1"/>
  <c r="M14" i="1" s="1"/>
  <c r="J11" i="1"/>
  <c r="I11" i="1"/>
  <c r="F7" i="1"/>
  <c r="F11" i="1" s="1"/>
  <c r="C9" i="1"/>
  <c r="C53" i="1" l="1"/>
  <c r="E22" i="1"/>
  <c r="E23" i="1" s="1"/>
  <c r="F19" i="1"/>
  <c r="D22" i="1"/>
  <c r="D23" i="1" s="1"/>
  <c r="D29" i="1" l="1"/>
  <c r="G19" i="1"/>
  <c r="F22" i="1"/>
  <c r="F23" i="1" s="1"/>
  <c r="H19" i="1" l="1"/>
  <c r="G22" i="1"/>
  <c r="G23" i="1" s="1"/>
  <c r="E29" i="1"/>
  <c r="D32" i="1"/>
  <c r="D34" i="1" s="1"/>
  <c r="D36" i="1" s="1"/>
  <c r="D39" i="1" s="1"/>
  <c r="F29" i="1" l="1"/>
  <c r="E32" i="1"/>
  <c r="E34" i="1" s="1"/>
  <c r="E36" i="1" s="1"/>
  <c r="E39" i="1" s="1"/>
  <c r="I19" i="1"/>
  <c r="H22" i="1"/>
  <c r="H23" i="1" s="1"/>
  <c r="J19" i="1" l="1"/>
  <c r="I22" i="1"/>
  <c r="I23" i="1" s="1"/>
  <c r="G29" i="1"/>
  <c r="F32" i="1"/>
  <c r="F34" i="1" s="1"/>
  <c r="F36" i="1" s="1"/>
  <c r="F39" i="1" s="1"/>
  <c r="H29" i="1" l="1"/>
  <c r="G32" i="1"/>
  <c r="G34" i="1" s="1"/>
  <c r="G36" i="1" s="1"/>
  <c r="G39" i="1" s="1"/>
  <c r="K19" i="1"/>
  <c r="J22" i="1"/>
  <c r="J23" i="1" s="1"/>
  <c r="L19" i="1" l="1"/>
  <c r="K22" i="1"/>
  <c r="K23" i="1" s="1"/>
  <c r="I29" i="1"/>
  <c r="H32" i="1"/>
  <c r="H34" i="1" s="1"/>
  <c r="H36" i="1" s="1"/>
  <c r="H39" i="1" s="1"/>
  <c r="J29" i="1" l="1"/>
  <c r="I32" i="1"/>
  <c r="I34" i="1" s="1"/>
  <c r="I36" i="1" s="1"/>
  <c r="I39" i="1" s="1"/>
  <c r="M19" i="1"/>
  <c r="L22" i="1"/>
  <c r="L23" i="1" s="1"/>
  <c r="N19" i="1" l="1"/>
  <c r="N22" i="1" s="1"/>
  <c r="N23" i="1" s="1"/>
  <c r="M22" i="1"/>
  <c r="M23" i="1" s="1"/>
  <c r="K29" i="1"/>
  <c r="J32" i="1"/>
  <c r="J34" i="1" s="1"/>
  <c r="J36" i="1" s="1"/>
  <c r="J39" i="1" s="1"/>
  <c r="L29" i="1" l="1"/>
  <c r="K32" i="1"/>
  <c r="K34" i="1" s="1"/>
  <c r="K36" i="1" s="1"/>
  <c r="K39" i="1" s="1"/>
  <c r="M29" i="1" l="1"/>
  <c r="L32" i="1"/>
  <c r="L34" i="1" s="1"/>
  <c r="L36" i="1" s="1"/>
  <c r="L39" i="1" s="1"/>
  <c r="N29" i="1" l="1"/>
  <c r="N32" i="1" s="1"/>
  <c r="N34" i="1" s="1"/>
  <c r="M32" i="1"/>
  <c r="M34" i="1" s="1"/>
  <c r="M36" i="1" s="1"/>
  <c r="M39" i="1" s="1"/>
</calcChain>
</file>

<file path=xl/sharedStrings.xml><?xml version="1.0" encoding="utf-8"?>
<sst xmlns="http://schemas.openxmlformats.org/spreadsheetml/2006/main" count="80" uniqueCount="71">
  <si>
    <t>Election Heights</t>
  </si>
  <si>
    <t>Multifamily</t>
  </si>
  <si>
    <t>Property Class:</t>
  </si>
  <si>
    <t>Assumptions</t>
  </si>
  <si>
    <t>Debt</t>
  </si>
  <si>
    <t>Units</t>
  </si>
  <si>
    <t>Purchase Price</t>
  </si>
  <si>
    <t>Number of Units</t>
  </si>
  <si>
    <t>PPU</t>
  </si>
  <si>
    <t>Initial Cap Rate</t>
  </si>
  <si>
    <t>LTV</t>
  </si>
  <si>
    <t>Rate</t>
  </si>
  <si>
    <t>Amoritization</t>
  </si>
  <si>
    <t>Monthly Payment</t>
  </si>
  <si>
    <t>Loan Amount</t>
  </si>
  <si>
    <t>Rent Roll</t>
  </si>
  <si>
    <t>Studio</t>
  </si>
  <si>
    <t xml:space="preserve">Type </t>
  </si>
  <si>
    <t>Mo. Rent</t>
  </si>
  <si>
    <t>1bd/1ba</t>
  </si>
  <si>
    <t>2bd/1ba</t>
  </si>
  <si>
    <t>Total</t>
  </si>
  <si>
    <t>Income</t>
  </si>
  <si>
    <t>Rent</t>
  </si>
  <si>
    <t>Other Income</t>
  </si>
  <si>
    <t>Recoveries</t>
  </si>
  <si>
    <t>Potential Gross Income</t>
  </si>
  <si>
    <t>Vacancy</t>
  </si>
  <si>
    <t>Effective Gross Income</t>
  </si>
  <si>
    <t>Expenses</t>
  </si>
  <si>
    <t>Marketing</t>
  </si>
  <si>
    <t>Payroll</t>
  </si>
  <si>
    <t>Repairs and Maintenance</t>
  </si>
  <si>
    <t>Management</t>
  </si>
  <si>
    <t>Insurance</t>
  </si>
  <si>
    <t>Prop Taxes</t>
  </si>
  <si>
    <t>Operating Expenses</t>
  </si>
  <si>
    <t>Net Operating Income</t>
  </si>
  <si>
    <t>CapEx</t>
  </si>
  <si>
    <t>Cash Flow form Operations</t>
  </si>
  <si>
    <t>Debt Service</t>
  </si>
  <si>
    <t>Before Tax Cash Flow</t>
  </si>
  <si>
    <t>Inflation</t>
  </si>
  <si>
    <t>Terminal Value</t>
  </si>
  <si>
    <t>Terminal Cap Rate</t>
  </si>
  <si>
    <t>Selling Costs</t>
  </si>
  <si>
    <t>Summary of Risk and Returns</t>
  </si>
  <si>
    <t>Unlevered IRR</t>
  </si>
  <si>
    <t>Levered IRR</t>
  </si>
  <si>
    <t>Levered EMx</t>
  </si>
  <si>
    <t>Unlevered EMx</t>
  </si>
  <si>
    <t>AvgFree and Clear</t>
  </si>
  <si>
    <t>Avg Cash on Cash</t>
  </si>
  <si>
    <t>Min DSCR</t>
  </si>
  <si>
    <t>Min DY</t>
  </si>
  <si>
    <t>Risk</t>
  </si>
  <si>
    <t>Loan Balance</t>
  </si>
  <si>
    <t>DSCR</t>
  </si>
  <si>
    <t>Debt Yield</t>
  </si>
  <si>
    <t>Returns</t>
  </si>
  <si>
    <t>Purchase</t>
  </si>
  <si>
    <t>Cash Flow from Operations</t>
  </si>
  <si>
    <t>Sale</t>
  </si>
  <si>
    <t>Total Unlevered Cash Flow</t>
  </si>
  <si>
    <t>Free and Clear Return</t>
  </si>
  <si>
    <t>Unlevered Equity Multiplier</t>
  </si>
  <si>
    <t>Loan Funding</t>
  </si>
  <si>
    <t>Loan Payoff</t>
  </si>
  <si>
    <t>Total Levered Cash Flow</t>
  </si>
  <si>
    <t>Cash-on-Cash Return</t>
  </si>
  <si>
    <t>Levered Equity Mulitple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</si>
</sst>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\ &quot;months&quot;"/>
    <numFmt numFmtId="166" formatCode="&quot;Year&quot;\ 0"/>
    <numFmt numFmtId="167" formatCode="&quot;$&quot;#,##0.0_);\(&quot;$&quot;#,##0.0\)"/>
    <numFmt numFmtId="168" formatCode="&quot;$&quot;#,##0.00"/>
    <numFmt numFmtId="169" formatCode="0.00&quot;x&quot;"/>
    <numFmt numFmtId="170" formatCode="0.00&quot;X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4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8" fontId="0" fillId="0" borderId="0" xfId="0" applyNumberFormat="1"/>
    <xf numFmtId="0" fontId="1" fillId="0" borderId="0" xfId="0" applyFont="1"/>
    <xf numFmtId="165" fontId="2" fillId="0" borderId="0" xfId="0" applyNumberFormat="1" applyFont="1"/>
    <xf numFmtId="44" fontId="3" fillId="0" borderId="0" xfId="0" applyNumberFormat="1" applyFont="1"/>
    <xf numFmtId="166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/>
    <xf numFmtId="9" fontId="4" fillId="0" borderId="0" xfId="0" applyNumberFormat="1" applyFont="1"/>
    <xf numFmtId="7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7" fontId="1" fillId="0" borderId="0" xfId="0" applyNumberFormat="1" applyFont="1"/>
    <xf numFmtId="168" fontId="0" fillId="0" borderId="0" xfId="0" applyNumberFormat="1"/>
    <xf numFmtId="168" fontId="1" fillId="0" borderId="0" xfId="0" applyNumberFormat="1" applyFon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BED6-0EBD-4B2F-9F98-552B92C36578}">
  <dimension ref="B2:S65"/>
  <sheetViews>
    <sheetView tabSelected="1" zoomScale="85" zoomScaleNormal="85" workbookViewId="0">
      <selection activeCell="S10" sqref="S10"/>
    </sheetView>
  </sheetViews>
  <sheetFormatPr defaultRowHeight="15" x14ac:dyDescent="0.25"/>
  <cols>
    <col min="2" max="2" width="25.28515625" bestFit="1" customWidth="1"/>
    <col min="3" max="3" width="15" bestFit="1" customWidth="1"/>
    <col min="4" max="13" width="15.140625" bestFit="1" customWidth="1"/>
    <col min="14" max="14" width="14.5703125" bestFit="1" customWidth="1"/>
    <col min="15" max="15" width="28.42578125" bestFit="1" customWidth="1"/>
    <col min="18" max="18" width="17.28515625" bestFit="1" customWidth="1"/>
  </cols>
  <sheetData>
    <row r="2" spans="2:19" x14ac:dyDescent="0.25">
      <c r="B2" t="s">
        <v>0</v>
      </c>
    </row>
    <row r="3" spans="2:19" x14ac:dyDescent="0.25">
      <c r="B3" t="s">
        <v>2</v>
      </c>
      <c r="C3" t="s">
        <v>1</v>
      </c>
    </row>
    <row r="6" spans="2:19" x14ac:dyDescent="0.25">
      <c r="B6" s="6" t="s">
        <v>3</v>
      </c>
      <c r="E6" s="6" t="s">
        <v>4</v>
      </c>
      <c r="H6" s="6" t="s">
        <v>15</v>
      </c>
      <c r="L6" t="s">
        <v>43</v>
      </c>
      <c r="O6" t="s">
        <v>46</v>
      </c>
    </row>
    <row r="7" spans="2:19" x14ac:dyDescent="0.25">
      <c r="B7" t="s">
        <v>6</v>
      </c>
      <c r="C7" s="1">
        <v>9250000</v>
      </c>
      <c r="E7" t="s">
        <v>14</v>
      </c>
      <c r="F7" s="1">
        <f>C7*F8</f>
        <v>6937500</v>
      </c>
      <c r="H7" t="s">
        <v>17</v>
      </c>
      <c r="I7" t="s">
        <v>5</v>
      </c>
      <c r="J7" t="s">
        <v>18</v>
      </c>
      <c r="L7" t="s">
        <v>44</v>
      </c>
      <c r="M7" s="2">
        <v>5.5E-2</v>
      </c>
      <c r="O7" t="s">
        <v>47</v>
      </c>
      <c r="P7" s="4">
        <f>C53</f>
        <v>8.3666830116978508E-2</v>
      </c>
      <c r="R7" t="s">
        <v>51</v>
      </c>
      <c r="S7" s="2">
        <f>C52</f>
        <v>6.3469129141621533E-2</v>
      </c>
    </row>
    <row r="8" spans="2:19" x14ac:dyDescent="0.25">
      <c r="B8" t="s">
        <v>7</v>
      </c>
      <c r="C8">
        <v>50</v>
      </c>
      <c r="E8" t="s">
        <v>10</v>
      </c>
      <c r="F8" s="4">
        <v>0.75</v>
      </c>
      <c r="H8" t="s">
        <v>16</v>
      </c>
      <c r="I8">
        <v>15</v>
      </c>
      <c r="J8" s="1">
        <v>1200</v>
      </c>
      <c r="L8" t="s">
        <v>45</v>
      </c>
      <c r="M8" s="2">
        <v>1.4999999999999999E-2</v>
      </c>
      <c r="O8" t="s">
        <v>50</v>
      </c>
      <c r="P8" s="20">
        <f>C54</f>
        <v>1.9492292191552705</v>
      </c>
      <c r="R8" t="s">
        <v>52</v>
      </c>
      <c r="S8" s="2">
        <f>C63</f>
        <v>8.200701019892076E-2</v>
      </c>
    </row>
    <row r="9" spans="2:19" x14ac:dyDescent="0.25">
      <c r="B9" t="s">
        <v>8</v>
      </c>
      <c r="C9" s="1">
        <f>C7/C8</f>
        <v>185000</v>
      </c>
      <c r="E9" t="s">
        <v>11</v>
      </c>
      <c r="F9" s="4">
        <v>0.04</v>
      </c>
      <c r="H9" t="s">
        <v>19</v>
      </c>
      <c r="I9">
        <v>25</v>
      </c>
      <c r="J9" s="1">
        <v>1500</v>
      </c>
      <c r="O9" t="s">
        <v>48</v>
      </c>
      <c r="P9" s="4">
        <f>C64</f>
        <v>0.16172201987567369</v>
      </c>
      <c r="R9" t="s">
        <v>53</v>
      </c>
      <c r="S9" s="20">
        <f>MIN(D43:M43)</f>
        <v>1.2917076005378676</v>
      </c>
    </row>
    <row r="10" spans="2:19" ht="17.25" x14ac:dyDescent="0.4">
      <c r="B10" t="s">
        <v>9</v>
      </c>
      <c r="C10" s="3">
        <v>5.5E-2</v>
      </c>
      <c r="E10" t="s">
        <v>12</v>
      </c>
      <c r="F10" s="7">
        <v>360</v>
      </c>
      <c r="H10" t="s">
        <v>20</v>
      </c>
      <c r="I10">
        <v>10</v>
      </c>
      <c r="J10" s="8">
        <v>1800</v>
      </c>
      <c r="O10" t="s">
        <v>49</v>
      </c>
      <c r="P10" s="20">
        <f>C65</f>
        <v>3.7147030365979496</v>
      </c>
      <c r="R10" t="s">
        <v>54</v>
      </c>
      <c r="S10" s="2">
        <f>MIN(D44:M44)</f>
        <v>7.5328274245901175E-2</v>
      </c>
    </row>
    <row r="11" spans="2:19" x14ac:dyDescent="0.25">
      <c r="E11" s="6" t="s">
        <v>13</v>
      </c>
      <c r="F11" s="5">
        <f>PMT(F9/12,F10,-F7)</f>
        <v>33120.686122916253</v>
      </c>
      <c r="H11" s="6" t="s">
        <v>21</v>
      </c>
      <c r="I11">
        <f>SUM(I8:I10)</f>
        <v>50</v>
      </c>
      <c r="J11">
        <f>SUMPRODUCT(J8:J10,I8:I10)</f>
        <v>73500</v>
      </c>
    </row>
    <row r="14" spans="2:19" x14ac:dyDescent="0.25">
      <c r="D14" s="9">
        <v>1</v>
      </c>
      <c r="E14" s="9">
        <f>D14+1</f>
        <v>2</v>
      </c>
      <c r="F14" s="9">
        <f t="shared" ref="F14:N14" si="0">E14+1</f>
        <v>3</v>
      </c>
      <c r="G14" s="9">
        <f t="shared" si="0"/>
        <v>4</v>
      </c>
      <c r="H14" s="9">
        <f t="shared" si="0"/>
        <v>5</v>
      </c>
      <c r="I14" s="9">
        <f t="shared" si="0"/>
        <v>6</v>
      </c>
      <c r="J14" s="9">
        <f t="shared" si="0"/>
        <v>7</v>
      </c>
      <c r="K14" s="9">
        <f t="shared" si="0"/>
        <v>8</v>
      </c>
      <c r="L14" s="9">
        <f t="shared" si="0"/>
        <v>9</v>
      </c>
      <c r="M14" s="9">
        <f t="shared" si="0"/>
        <v>10</v>
      </c>
      <c r="N14" s="9">
        <f t="shared" si="0"/>
        <v>11</v>
      </c>
    </row>
    <row r="15" spans="2:19" x14ac:dyDescent="0.25">
      <c r="B15" t="s">
        <v>22</v>
      </c>
      <c r="C15" s="11" t="s">
        <v>42</v>
      </c>
      <c r="D15" s="12">
        <v>0</v>
      </c>
      <c r="E15" s="12">
        <v>0.04</v>
      </c>
      <c r="F15" s="12">
        <v>0.03</v>
      </c>
      <c r="G15" s="12">
        <v>0.02</v>
      </c>
      <c r="H15" s="12">
        <v>0.02</v>
      </c>
      <c r="I15" s="12">
        <v>0.02</v>
      </c>
      <c r="J15" s="12">
        <v>0.02</v>
      </c>
      <c r="K15" s="12">
        <v>0.02</v>
      </c>
      <c r="L15" s="12">
        <v>0.02</v>
      </c>
      <c r="M15" s="12">
        <v>0.02</v>
      </c>
      <c r="N15" s="12">
        <v>0.02</v>
      </c>
    </row>
    <row r="16" spans="2:19" x14ac:dyDescent="0.25">
      <c r="B16" s="10" t="s">
        <v>23</v>
      </c>
      <c r="D16" s="12">
        <f>J11*12</f>
        <v>882000</v>
      </c>
      <c r="E16" s="14">
        <f>D16*(1+E$15)</f>
        <v>917280</v>
      </c>
      <c r="F16" s="14">
        <f t="shared" ref="F16:M16" si="1">E16*(1+F$15)</f>
        <v>944798.4</v>
      </c>
      <c r="G16" s="14">
        <f t="shared" si="1"/>
        <v>963694.36800000002</v>
      </c>
      <c r="H16" s="14">
        <f t="shared" si="1"/>
        <v>982968.25536000007</v>
      </c>
      <c r="I16" s="14">
        <f t="shared" si="1"/>
        <v>1002627.6204672001</v>
      </c>
      <c r="J16" s="14">
        <f t="shared" si="1"/>
        <v>1022680.1728765441</v>
      </c>
      <c r="K16" s="14">
        <f t="shared" si="1"/>
        <v>1043133.7763340749</v>
      </c>
      <c r="L16" s="14">
        <f t="shared" si="1"/>
        <v>1063996.4518607564</v>
      </c>
      <c r="M16" s="14">
        <f t="shared" si="1"/>
        <v>1085276.3808979716</v>
      </c>
      <c r="N16" s="14">
        <f t="shared" ref="N16" si="2">M16*(1+N$15)</f>
        <v>1106981.9085159311</v>
      </c>
    </row>
    <row r="17" spans="2:14" x14ac:dyDescent="0.25">
      <c r="B17" s="10" t="s">
        <v>24</v>
      </c>
      <c r="D17" s="14">
        <v>26460</v>
      </c>
      <c r="E17" s="14">
        <f t="shared" ref="E17:E19" si="3">D17*(1+E$15)</f>
        <v>27518.400000000001</v>
      </c>
      <c r="F17" s="14">
        <f t="shared" ref="F17:M17" si="4">E17*(1+F$15)</f>
        <v>28343.952000000001</v>
      </c>
      <c r="G17" s="14">
        <f t="shared" si="4"/>
        <v>28910.831040000001</v>
      </c>
      <c r="H17" s="14">
        <f t="shared" si="4"/>
        <v>29489.047660800003</v>
      </c>
      <c r="I17" s="14">
        <f t="shared" si="4"/>
        <v>30078.828614016002</v>
      </c>
      <c r="J17" s="14">
        <f t="shared" si="4"/>
        <v>30680.405186296321</v>
      </c>
      <c r="K17" s="14">
        <f t="shared" si="4"/>
        <v>31294.013290022249</v>
      </c>
      <c r="L17" s="14">
        <f t="shared" si="4"/>
        <v>31919.893555822695</v>
      </c>
      <c r="M17" s="14">
        <f t="shared" si="4"/>
        <v>32558.291426939148</v>
      </c>
      <c r="N17" s="14">
        <f t="shared" ref="N17" si="5">M17*(1+N$15)</f>
        <v>33209.45725547793</v>
      </c>
    </row>
    <row r="18" spans="2:14" x14ac:dyDescent="0.25">
      <c r="B18" s="10" t="s">
        <v>25</v>
      </c>
      <c r="D18" s="14">
        <v>3000</v>
      </c>
      <c r="E18" s="14">
        <f t="shared" si="3"/>
        <v>3120</v>
      </c>
      <c r="F18" s="14">
        <f t="shared" ref="F18:M18" si="6">E18*(1+F$15)</f>
        <v>3213.6</v>
      </c>
      <c r="G18" s="14">
        <f t="shared" si="6"/>
        <v>3277.8719999999998</v>
      </c>
      <c r="H18" s="14">
        <f t="shared" si="6"/>
        <v>3343.4294399999999</v>
      </c>
      <c r="I18" s="14">
        <f t="shared" si="6"/>
        <v>3410.2980287999999</v>
      </c>
      <c r="J18" s="14">
        <f t="shared" si="6"/>
        <v>3478.5039893759999</v>
      </c>
      <c r="K18" s="14">
        <f t="shared" si="6"/>
        <v>3548.0740691635201</v>
      </c>
      <c r="L18" s="14">
        <f t="shared" si="6"/>
        <v>3619.0355505467905</v>
      </c>
      <c r="M18" s="14">
        <f t="shared" si="6"/>
        <v>3691.4162615577266</v>
      </c>
      <c r="N18" s="14">
        <f t="shared" ref="N18" si="7">M18*(1+N$15)</f>
        <v>3765.244586788881</v>
      </c>
    </row>
    <row r="19" spans="2:14" s="6" customFormat="1" x14ac:dyDescent="0.25">
      <c r="B19" s="6" t="s">
        <v>26</v>
      </c>
      <c r="D19" s="15">
        <f>SUM(D16:D18)</f>
        <v>911460</v>
      </c>
      <c r="E19" s="15">
        <f t="shared" si="3"/>
        <v>947918.4</v>
      </c>
      <c r="F19" s="15">
        <f t="shared" ref="F19:M19" si="8">E19*(1+F$15)</f>
        <v>976355.95200000005</v>
      </c>
      <c r="G19" s="15">
        <f t="shared" si="8"/>
        <v>995883.07104000007</v>
      </c>
      <c r="H19" s="15">
        <f t="shared" si="8"/>
        <v>1015800.7324608001</v>
      </c>
      <c r="I19" s="15">
        <f t="shared" si="8"/>
        <v>1036116.7471100161</v>
      </c>
      <c r="J19" s="15">
        <f t="shared" si="8"/>
        <v>1056839.0820522164</v>
      </c>
      <c r="K19" s="15">
        <f t="shared" si="8"/>
        <v>1077975.8636932608</v>
      </c>
      <c r="L19" s="15">
        <f t="shared" si="8"/>
        <v>1099535.380967126</v>
      </c>
      <c r="M19" s="15">
        <f t="shared" si="8"/>
        <v>1121526.0885864685</v>
      </c>
      <c r="N19" s="15">
        <f t="shared" ref="N19" si="9">M19*(1+N$15)</f>
        <v>1143956.6103581979</v>
      </c>
    </row>
    <row r="21" spans="2:14" x14ac:dyDescent="0.25">
      <c r="C21" s="11" t="s">
        <v>27</v>
      </c>
      <c r="D21" s="12">
        <v>0.08</v>
      </c>
      <c r="E21" s="12">
        <v>0.08</v>
      </c>
      <c r="F21" s="12">
        <v>7.0000000000000007E-2</v>
      </c>
      <c r="G21" s="12">
        <v>7.0000000000000007E-2</v>
      </c>
      <c r="H21" s="12">
        <v>0.06</v>
      </c>
      <c r="I21" s="12">
        <v>0.06</v>
      </c>
      <c r="J21" s="12">
        <v>0.06</v>
      </c>
      <c r="K21" s="12">
        <v>0.06</v>
      </c>
      <c r="L21" s="12">
        <v>0.06</v>
      </c>
      <c r="M21" s="12">
        <v>0.06</v>
      </c>
      <c r="N21" s="12">
        <v>0.06</v>
      </c>
    </row>
    <row r="22" spans="2:14" x14ac:dyDescent="0.25">
      <c r="B22" s="10" t="s">
        <v>27</v>
      </c>
      <c r="D22" s="13">
        <f>D$19*(D$21)</f>
        <v>72916.800000000003</v>
      </c>
      <c r="E22" s="13">
        <f t="shared" ref="E22:N22" si="10">E$19*(E$21)</f>
        <v>75833.472000000009</v>
      </c>
      <c r="F22" s="13">
        <f t="shared" si="10"/>
        <v>68344.91664000001</v>
      </c>
      <c r="G22" s="13">
        <f t="shared" si="10"/>
        <v>69711.814972800013</v>
      </c>
      <c r="H22" s="13">
        <f t="shared" si="10"/>
        <v>60948.043947648002</v>
      </c>
      <c r="I22" s="13">
        <f t="shared" si="10"/>
        <v>62167.004826600962</v>
      </c>
      <c r="J22" s="13">
        <f t="shared" si="10"/>
        <v>63410.34492313298</v>
      </c>
      <c r="K22" s="13">
        <f t="shared" si="10"/>
        <v>64678.551821595647</v>
      </c>
      <c r="L22" s="13">
        <f t="shared" si="10"/>
        <v>65972.122858027564</v>
      </c>
      <c r="M22" s="13">
        <f t="shared" si="10"/>
        <v>67291.565315188112</v>
      </c>
      <c r="N22" s="13">
        <f t="shared" si="10"/>
        <v>68637.396621491876</v>
      </c>
    </row>
    <row r="23" spans="2:14" s="6" customFormat="1" x14ac:dyDescent="0.25">
      <c r="B23" s="6" t="s">
        <v>28</v>
      </c>
      <c r="D23" s="16">
        <f>D19-D22</f>
        <v>838543.2</v>
      </c>
      <c r="E23" s="16">
        <f t="shared" ref="E23:N23" si="11">E19-E22</f>
        <v>872084.92800000007</v>
      </c>
      <c r="F23" s="16">
        <f t="shared" si="11"/>
        <v>908011.0353600001</v>
      </c>
      <c r="G23" s="16">
        <f t="shared" si="11"/>
        <v>926171.2560672001</v>
      </c>
      <c r="H23" s="16">
        <f t="shared" si="11"/>
        <v>954852.68851315207</v>
      </c>
      <c r="I23" s="16">
        <f t="shared" si="11"/>
        <v>973949.74228341505</v>
      </c>
      <c r="J23" s="16">
        <f t="shared" si="11"/>
        <v>993428.73712908337</v>
      </c>
      <c r="K23" s="16">
        <f t="shared" si="11"/>
        <v>1013297.3118716652</v>
      </c>
      <c r="L23" s="16">
        <f t="shared" si="11"/>
        <v>1033563.2581090984</v>
      </c>
      <c r="M23" s="16">
        <f t="shared" si="11"/>
        <v>1054234.5232712803</v>
      </c>
      <c r="N23" s="16">
        <f t="shared" si="11"/>
        <v>1075319.2137367059</v>
      </c>
    </row>
    <row r="25" spans="2:14" x14ac:dyDescent="0.25">
      <c r="B25" t="s">
        <v>29</v>
      </c>
      <c r="C25" s="11" t="s">
        <v>42</v>
      </c>
      <c r="D25" s="12">
        <v>0</v>
      </c>
      <c r="E25" s="12">
        <v>0.02</v>
      </c>
      <c r="F25" s="12">
        <v>0.02</v>
      </c>
      <c r="G25" s="12">
        <v>0.02</v>
      </c>
      <c r="H25" s="12">
        <v>0.02</v>
      </c>
      <c r="I25" s="12">
        <v>0.02</v>
      </c>
      <c r="J25" s="12">
        <v>0.02</v>
      </c>
      <c r="K25" s="12">
        <v>0.02</v>
      </c>
      <c r="L25" s="12">
        <v>0.02</v>
      </c>
      <c r="M25" s="12">
        <v>0.02</v>
      </c>
      <c r="N25" s="12">
        <v>0.02</v>
      </c>
    </row>
    <row r="26" spans="2:14" x14ac:dyDescent="0.25">
      <c r="B26" s="10" t="s">
        <v>30</v>
      </c>
      <c r="D26" s="17">
        <v>30000</v>
      </c>
      <c r="E26" s="17">
        <f>D26*(1+E$25)</f>
        <v>30600</v>
      </c>
      <c r="F26" s="17">
        <f t="shared" ref="F26:N26" si="12">E26*(1+F$25)</f>
        <v>31212</v>
      </c>
      <c r="G26" s="17">
        <f t="shared" si="12"/>
        <v>31836.240000000002</v>
      </c>
      <c r="H26" s="17">
        <f t="shared" si="12"/>
        <v>32472.964800000002</v>
      </c>
      <c r="I26" s="17">
        <f t="shared" si="12"/>
        <v>33122.424096000002</v>
      </c>
      <c r="J26" s="17">
        <f t="shared" si="12"/>
        <v>33784.872577920003</v>
      </c>
      <c r="K26" s="17">
        <f t="shared" si="12"/>
        <v>34460.570029478404</v>
      </c>
      <c r="L26" s="17">
        <f t="shared" si="12"/>
        <v>35149.781430067975</v>
      </c>
      <c r="M26" s="17">
        <f t="shared" si="12"/>
        <v>35852.777058669337</v>
      </c>
      <c r="N26" s="17">
        <f t="shared" si="12"/>
        <v>36569.832599842724</v>
      </c>
    </row>
    <row r="27" spans="2:14" x14ac:dyDescent="0.25">
      <c r="B27" s="10" t="s">
        <v>31</v>
      </c>
      <c r="D27" s="17">
        <v>60000</v>
      </c>
      <c r="E27" s="17">
        <f t="shared" ref="E27:N31" si="13">D27*(1+E$25)</f>
        <v>61200</v>
      </c>
      <c r="F27" s="17">
        <f t="shared" si="13"/>
        <v>62424</v>
      </c>
      <c r="G27" s="17">
        <f t="shared" si="13"/>
        <v>63672.480000000003</v>
      </c>
      <c r="H27" s="17">
        <f t="shared" si="13"/>
        <v>64945.929600000003</v>
      </c>
      <c r="I27" s="17">
        <f t="shared" si="13"/>
        <v>66244.848192000005</v>
      </c>
      <c r="J27" s="17">
        <f t="shared" si="13"/>
        <v>67569.745155840006</v>
      </c>
      <c r="K27" s="17">
        <f t="shared" si="13"/>
        <v>68921.140058956807</v>
      </c>
      <c r="L27" s="17">
        <f t="shared" si="13"/>
        <v>70299.562860135949</v>
      </c>
      <c r="M27" s="17">
        <f t="shared" si="13"/>
        <v>71705.554117338674</v>
      </c>
      <c r="N27" s="17">
        <f t="shared" si="13"/>
        <v>73139.665199685449</v>
      </c>
    </row>
    <row r="28" spans="2:14" x14ac:dyDescent="0.25">
      <c r="B28" s="10" t="s">
        <v>32</v>
      </c>
      <c r="D28" s="17">
        <v>80000</v>
      </c>
      <c r="E28" s="17">
        <f t="shared" si="13"/>
        <v>81600</v>
      </c>
      <c r="F28" s="17">
        <f t="shared" si="13"/>
        <v>83232</v>
      </c>
      <c r="G28" s="17">
        <f t="shared" si="13"/>
        <v>84896.639999999999</v>
      </c>
      <c r="H28" s="17">
        <f t="shared" si="13"/>
        <v>86594.572799999994</v>
      </c>
      <c r="I28" s="17">
        <f t="shared" si="13"/>
        <v>88326.464255999992</v>
      </c>
      <c r="J28" s="17">
        <f t="shared" si="13"/>
        <v>90092.993541119999</v>
      </c>
      <c r="K28" s="17">
        <f t="shared" si="13"/>
        <v>91894.8534119424</v>
      </c>
      <c r="L28" s="17">
        <f t="shared" si="13"/>
        <v>93732.750480181247</v>
      </c>
      <c r="M28" s="17">
        <f t="shared" si="13"/>
        <v>95607.405489784869</v>
      </c>
      <c r="N28" s="17">
        <f t="shared" si="13"/>
        <v>97519.553599580569</v>
      </c>
    </row>
    <row r="29" spans="2:14" x14ac:dyDescent="0.25">
      <c r="B29" s="10" t="s">
        <v>33</v>
      </c>
      <c r="D29" s="17">
        <f>D23*0.03</f>
        <v>25156.295999999998</v>
      </c>
      <c r="E29" s="17">
        <f t="shared" si="13"/>
        <v>25659.421920000001</v>
      </c>
      <c r="F29" s="17">
        <f t="shared" si="13"/>
        <v>26172.610358400001</v>
      </c>
      <c r="G29" s="17">
        <f t="shared" si="13"/>
        <v>26696.062565568001</v>
      </c>
      <c r="H29" s="17">
        <f t="shared" si="13"/>
        <v>27229.983816879361</v>
      </c>
      <c r="I29" s="17">
        <f t="shared" si="13"/>
        <v>27774.583493216949</v>
      </c>
      <c r="J29" s="17">
        <f t="shared" si="13"/>
        <v>28330.075163081288</v>
      </c>
      <c r="K29" s="17">
        <f t="shared" si="13"/>
        <v>28896.676666342915</v>
      </c>
      <c r="L29" s="17">
        <f t="shared" si="13"/>
        <v>29474.610199669773</v>
      </c>
      <c r="M29" s="17">
        <f t="shared" si="13"/>
        <v>30064.102403663168</v>
      </c>
      <c r="N29" s="17">
        <f t="shared" si="13"/>
        <v>30665.38445173643</v>
      </c>
    </row>
    <row r="30" spans="2:14" x14ac:dyDescent="0.25">
      <c r="B30" s="10" t="s">
        <v>34</v>
      </c>
      <c r="D30" s="17">
        <v>15000</v>
      </c>
      <c r="E30" s="17">
        <f t="shared" si="13"/>
        <v>15300</v>
      </c>
      <c r="F30" s="17">
        <f t="shared" si="13"/>
        <v>15606</v>
      </c>
      <c r="G30" s="17">
        <f t="shared" si="13"/>
        <v>15918.12</v>
      </c>
      <c r="H30" s="17">
        <f t="shared" si="13"/>
        <v>16236.482400000001</v>
      </c>
      <c r="I30" s="17">
        <f t="shared" si="13"/>
        <v>16561.212048000001</v>
      </c>
      <c r="J30" s="17">
        <f t="shared" si="13"/>
        <v>16892.436288960002</v>
      </c>
      <c r="K30" s="17">
        <f t="shared" si="13"/>
        <v>17230.285014739202</v>
      </c>
      <c r="L30" s="17">
        <f t="shared" si="13"/>
        <v>17574.890715033987</v>
      </c>
      <c r="M30" s="17">
        <f t="shared" si="13"/>
        <v>17926.388529334668</v>
      </c>
      <c r="N30" s="17">
        <f t="shared" si="13"/>
        <v>18284.916299921362</v>
      </c>
    </row>
    <row r="31" spans="2:14" x14ac:dyDescent="0.25">
      <c r="B31" s="10" t="s">
        <v>35</v>
      </c>
      <c r="D31" s="17">
        <v>115000</v>
      </c>
      <c r="E31" s="17">
        <f t="shared" si="13"/>
        <v>117300</v>
      </c>
      <c r="F31" s="17">
        <f t="shared" si="13"/>
        <v>119646</v>
      </c>
      <c r="G31" s="17">
        <f t="shared" si="13"/>
        <v>122038.92</v>
      </c>
      <c r="H31" s="17">
        <f t="shared" si="13"/>
        <v>124479.69839999999</v>
      </c>
      <c r="I31" s="17">
        <f t="shared" si="13"/>
        <v>126969.29236799999</v>
      </c>
      <c r="J31" s="17">
        <f t="shared" si="13"/>
        <v>129508.67821535999</v>
      </c>
      <c r="K31" s="17">
        <f t="shared" si="13"/>
        <v>132098.85177966719</v>
      </c>
      <c r="L31" s="17">
        <f t="shared" si="13"/>
        <v>134740.82881526055</v>
      </c>
      <c r="M31" s="17">
        <f t="shared" si="13"/>
        <v>137435.64539156578</v>
      </c>
      <c r="N31" s="17">
        <f t="shared" si="13"/>
        <v>140184.35829939711</v>
      </c>
    </row>
    <row r="32" spans="2:14" s="6" customFormat="1" x14ac:dyDescent="0.25">
      <c r="B32" s="6" t="s">
        <v>36</v>
      </c>
      <c r="D32" s="18">
        <f>SUM(D26:D31)</f>
        <v>325156.29599999997</v>
      </c>
      <c r="E32" s="18">
        <f t="shared" ref="E32:N32" si="14">SUM(E26:E31)</f>
        <v>331659.42191999999</v>
      </c>
      <c r="F32" s="18">
        <f t="shared" si="14"/>
        <v>338292.61035840004</v>
      </c>
      <c r="G32" s="18">
        <f t="shared" si="14"/>
        <v>345058.46256556798</v>
      </c>
      <c r="H32" s="18">
        <f t="shared" si="14"/>
        <v>351959.63181687938</v>
      </c>
      <c r="I32" s="18">
        <f t="shared" si="14"/>
        <v>358998.82445321698</v>
      </c>
      <c r="J32" s="18">
        <f t="shared" si="14"/>
        <v>366178.80094228126</v>
      </c>
      <c r="K32" s="18">
        <f t="shared" si="14"/>
        <v>373502.37696112692</v>
      </c>
      <c r="L32" s="18">
        <f t="shared" si="14"/>
        <v>380972.4245003495</v>
      </c>
      <c r="M32" s="18">
        <f t="shared" si="14"/>
        <v>388591.87299035653</v>
      </c>
      <c r="N32" s="18">
        <f t="shared" si="14"/>
        <v>396363.71045016369</v>
      </c>
    </row>
    <row r="34" spans="2:14" s="6" customFormat="1" x14ac:dyDescent="0.25">
      <c r="B34" s="6" t="s">
        <v>37</v>
      </c>
      <c r="D34" s="16">
        <f>D23-D32</f>
        <v>513386.90399999998</v>
      </c>
      <c r="E34" s="16">
        <f t="shared" ref="E34:N34" si="15">E23-E32</f>
        <v>540425.50608000008</v>
      </c>
      <c r="F34" s="16">
        <f t="shared" si="15"/>
        <v>569718.42500160006</v>
      </c>
      <c r="G34" s="16">
        <f t="shared" si="15"/>
        <v>581112.79350163206</v>
      </c>
      <c r="H34" s="16">
        <f t="shared" si="15"/>
        <v>602893.05669627269</v>
      </c>
      <c r="I34" s="16">
        <f t="shared" si="15"/>
        <v>614950.91783019807</v>
      </c>
      <c r="J34" s="16">
        <f t="shared" si="15"/>
        <v>627249.93618680211</v>
      </c>
      <c r="K34" s="16">
        <f t="shared" si="15"/>
        <v>639794.93491053826</v>
      </c>
      <c r="L34" s="16">
        <f t="shared" si="15"/>
        <v>652590.83360874886</v>
      </c>
      <c r="M34" s="16">
        <f t="shared" si="15"/>
        <v>665642.65028092382</v>
      </c>
      <c r="N34" s="16">
        <f t="shared" si="15"/>
        <v>678955.50328654225</v>
      </c>
    </row>
    <row r="35" spans="2:14" x14ac:dyDescent="0.25">
      <c r="B35" s="10" t="s">
        <v>38</v>
      </c>
      <c r="D35" s="17">
        <f>I11*250</f>
        <v>12500</v>
      </c>
      <c r="E35" s="17">
        <f>D35*(1+E$25)</f>
        <v>12750</v>
      </c>
      <c r="F35" s="17">
        <f t="shared" ref="F35:M35" si="16">E35*(1+F$25)</f>
        <v>13005</v>
      </c>
      <c r="G35" s="17">
        <f t="shared" si="16"/>
        <v>13265.1</v>
      </c>
      <c r="H35" s="17">
        <f t="shared" si="16"/>
        <v>13530.402</v>
      </c>
      <c r="I35" s="17">
        <f t="shared" si="16"/>
        <v>13801.010040000001</v>
      </c>
      <c r="J35" s="17">
        <f t="shared" si="16"/>
        <v>14077.030240800001</v>
      </c>
      <c r="K35" s="17">
        <f t="shared" si="16"/>
        <v>14358.570845616001</v>
      </c>
      <c r="L35" s="17">
        <f t="shared" si="16"/>
        <v>14645.742262528322</v>
      </c>
      <c r="M35" s="17">
        <f t="shared" si="16"/>
        <v>14938.657107778889</v>
      </c>
      <c r="N35" s="17"/>
    </row>
    <row r="36" spans="2:14" s="6" customFormat="1" x14ac:dyDescent="0.25">
      <c r="B36" s="6" t="s">
        <v>39</v>
      </c>
      <c r="D36" s="16">
        <f>D34-D35</f>
        <v>500886.90399999998</v>
      </c>
      <c r="E36" s="16">
        <f t="shared" ref="E36:M36" si="17">E34-E35</f>
        <v>527675.50608000008</v>
      </c>
      <c r="F36" s="16">
        <f t="shared" si="17"/>
        <v>556713.42500160006</v>
      </c>
      <c r="G36" s="16">
        <f t="shared" si="17"/>
        <v>567847.69350163208</v>
      </c>
      <c r="H36" s="16">
        <f t="shared" si="17"/>
        <v>589362.65469627269</v>
      </c>
      <c r="I36" s="16">
        <f t="shared" si="17"/>
        <v>601149.90779019811</v>
      </c>
      <c r="J36" s="16">
        <f t="shared" si="17"/>
        <v>613172.90594600211</v>
      </c>
      <c r="K36" s="16">
        <f t="shared" si="17"/>
        <v>625436.36406492221</v>
      </c>
      <c r="L36" s="16">
        <f t="shared" si="17"/>
        <v>637945.09134622058</v>
      </c>
      <c r="M36" s="16">
        <f t="shared" si="17"/>
        <v>650703.99317314487</v>
      </c>
      <c r="N36" s="16"/>
    </row>
    <row r="38" spans="2:14" x14ac:dyDescent="0.25">
      <c r="B38" s="10" t="s">
        <v>40</v>
      </c>
      <c r="D38" s="5">
        <f>$F$11*12</f>
        <v>397448.23347499501</v>
      </c>
      <c r="E38" s="5">
        <f t="shared" ref="E38:M38" si="18">$F$11*12</f>
        <v>397448.23347499501</v>
      </c>
      <c r="F38" s="5">
        <f t="shared" si="18"/>
        <v>397448.23347499501</v>
      </c>
      <c r="G38" s="5">
        <f t="shared" si="18"/>
        <v>397448.23347499501</v>
      </c>
      <c r="H38" s="5">
        <f t="shared" si="18"/>
        <v>397448.23347499501</v>
      </c>
      <c r="I38" s="5">
        <f t="shared" si="18"/>
        <v>397448.23347499501</v>
      </c>
      <c r="J38" s="5">
        <f t="shared" si="18"/>
        <v>397448.23347499501</v>
      </c>
      <c r="K38" s="5">
        <f t="shared" si="18"/>
        <v>397448.23347499501</v>
      </c>
      <c r="L38" s="5">
        <f t="shared" si="18"/>
        <v>397448.23347499501</v>
      </c>
      <c r="M38" s="5">
        <f t="shared" si="18"/>
        <v>397448.23347499501</v>
      </c>
    </row>
    <row r="39" spans="2:14" s="6" customFormat="1" x14ac:dyDescent="0.25">
      <c r="B39" s="6" t="s">
        <v>41</v>
      </c>
      <c r="D39" s="16">
        <f>D36-D38</f>
        <v>103438.67052500497</v>
      </c>
      <c r="E39" s="16">
        <f t="shared" ref="E39:M39" si="19">E36-E38</f>
        <v>130227.27260500507</v>
      </c>
      <c r="F39" s="16">
        <f t="shared" si="19"/>
        <v>159265.19152660505</v>
      </c>
      <c r="G39" s="16">
        <f t="shared" si="19"/>
        <v>170399.46002663707</v>
      </c>
      <c r="H39" s="16">
        <f t="shared" si="19"/>
        <v>191914.42122127768</v>
      </c>
      <c r="I39" s="16">
        <f t="shared" si="19"/>
        <v>203701.6743152031</v>
      </c>
      <c r="J39" s="16">
        <f t="shared" si="19"/>
        <v>215724.6724710071</v>
      </c>
      <c r="K39" s="16">
        <f t="shared" si="19"/>
        <v>227988.1305899272</v>
      </c>
      <c r="L39" s="16">
        <f t="shared" si="19"/>
        <v>240496.85787122557</v>
      </c>
      <c r="M39" s="16">
        <f t="shared" si="19"/>
        <v>253255.75969814986</v>
      </c>
    </row>
    <row r="41" spans="2:14" x14ac:dyDescent="0.25">
      <c r="B41" t="s">
        <v>55</v>
      </c>
      <c r="C41" s="9">
        <v>0</v>
      </c>
      <c r="D41" s="9">
        <f>C41+1</f>
        <v>1</v>
      </c>
      <c r="E41" s="9">
        <f t="shared" ref="E41:M41" si="20">D41+1</f>
        <v>2</v>
      </c>
      <c r="F41" s="9">
        <f t="shared" si="20"/>
        <v>3</v>
      </c>
      <c r="G41" s="9">
        <f t="shared" si="20"/>
        <v>4</v>
      </c>
      <c r="H41" s="9">
        <f t="shared" si="20"/>
        <v>5</v>
      </c>
      <c r="I41" s="9">
        <f t="shared" si="20"/>
        <v>6</v>
      </c>
      <c r="J41" s="9">
        <f t="shared" si="20"/>
        <v>7</v>
      </c>
      <c r="K41" s="9">
        <f t="shared" si="20"/>
        <v>8</v>
      </c>
      <c r="L41" s="9">
        <f t="shared" si="20"/>
        <v>9</v>
      </c>
      <c r="M41" s="9">
        <f t="shared" si="20"/>
        <v>10</v>
      </c>
      <c r="N41" s="9"/>
    </row>
    <row r="42" spans="2:14" x14ac:dyDescent="0.25">
      <c r="B42" t="s">
        <v>56</v>
      </c>
      <c r="D42" s="13">
        <f>PV($F$9/12,$F$10-(D$41*12),$F$11)</f>
        <v>-6815328.097443236</v>
      </c>
      <c r="E42" s="13">
        <f t="shared" ref="E42:M42" si="21">PV($F$9/12,$F$10-(E$41*12),$F$11)</f>
        <v>-6688178.7230747622</v>
      </c>
      <c r="F42" s="13">
        <f t="shared" si="21"/>
        <v>-6555849.0870132307</v>
      </c>
      <c r="G42" s="13">
        <f t="shared" si="21"/>
        <v>-6418128.1374045387</v>
      </c>
      <c r="H42" s="13">
        <f t="shared" si="21"/>
        <v>-6274796.2238164088</v>
      </c>
      <c r="I42" s="13">
        <f t="shared" si="21"/>
        <v>-6125624.7469190527</v>
      </c>
      <c r="J42" s="13">
        <f t="shared" si="21"/>
        <v>-5970375.7938932749</v>
      </c>
      <c r="K42" s="13">
        <f t="shared" si="21"/>
        <v>-5808801.7589845434</v>
      </c>
      <c r="L42" s="13">
        <f t="shared" si="21"/>
        <v>-5640644.9485978559</v>
      </c>
      <c r="M42" s="13">
        <f t="shared" si="21"/>
        <v>-5465637.1703035422</v>
      </c>
    </row>
    <row r="43" spans="2:14" x14ac:dyDescent="0.25">
      <c r="B43" t="s">
        <v>57</v>
      </c>
      <c r="D43" s="19">
        <f>D34/D38</f>
        <v>1.2917076005378676</v>
      </c>
      <c r="E43" s="19">
        <f t="shared" ref="E43:M43" si="22">E34/E38</f>
        <v>1.3597381006198392</v>
      </c>
      <c r="F43" s="19">
        <f t="shared" si="22"/>
        <v>1.4334405767020304</v>
      </c>
      <c r="G43" s="19">
        <f t="shared" si="22"/>
        <v>1.462109388236071</v>
      </c>
      <c r="H43" s="19">
        <f t="shared" si="22"/>
        <v>1.5169096398416952</v>
      </c>
      <c r="I43" s="19">
        <f t="shared" si="22"/>
        <v>1.5472478326385291</v>
      </c>
      <c r="J43" s="19">
        <f t="shared" si="22"/>
        <v>1.5781927892912997</v>
      </c>
      <c r="K43" s="19">
        <f t="shared" si="22"/>
        <v>1.6097566450771261</v>
      </c>
      <c r="L43" s="19">
        <f t="shared" si="22"/>
        <v>1.6419517779786681</v>
      </c>
      <c r="M43" s="19">
        <f t="shared" si="22"/>
        <v>1.6747908135382414</v>
      </c>
    </row>
    <row r="44" spans="2:14" x14ac:dyDescent="0.25">
      <c r="B44" t="s">
        <v>58</v>
      </c>
      <c r="D44" s="2">
        <f>D34/-D42</f>
        <v>7.5328274245901175E-2</v>
      </c>
      <c r="E44" s="2">
        <f t="shared" ref="E44:M44" si="23">E34/-E42</f>
        <v>8.0803089818082763E-2</v>
      </c>
      <c r="F44" s="2">
        <f t="shared" si="23"/>
        <v>8.6902309287469767E-2</v>
      </c>
      <c r="G44" s="2">
        <f t="shared" si="23"/>
        <v>9.0542410662531797E-2</v>
      </c>
      <c r="H44" s="2">
        <f t="shared" si="23"/>
        <v>9.608169495735204E-2</v>
      </c>
      <c r="I44" s="2">
        <f t="shared" si="23"/>
        <v>0.10038991012949236</v>
      </c>
      <c r="J44" s="2">
        <f t="shared" si="23"/>
        <v>0.10506037774512904</v>
      </c>
      <c r="K44" s="2">
        <f t="shared" si="23"/>
        <v>0.11014232563901148</v>
      </c>
      <c r="L44" s="2">
        <f t="shared" si="23"/>
        <v>0.11569436466143274</v>
      </c>
      <c r="M44" s="2">
        <f t="shared" si="23"/>
        <v>0.12178683464346324</v>
      </c>
    </row>
    <row r="46" spans="2:14" x14ac:dyDescent="0.25">
      <c r="B46" t="s">
        <v>59</v>
      </c>
      <c r="C46" s="9">
        <v>0</v>
      </c>
      <c r="D46" s="9">
        <f>C46+1</f>
        <v>1</v>
      </c>
      <c r="E46" s="9">
        <f t="shared" ref="E46:M46" si="24">D46+1</f>
        <v>2</v>
      </c>
      <c r="F46" s="9">
        <f t="shared" si="24"/>
        <v>3</v>
      </c>
      <c r="G46" s="9">
        <f t="shared" si="24"/>
        <v>4</v>
      </c>
      <c r="H46" s="9">
        <f t="shared" si="24"/>
        <v>5</v>
      </c>
      <c r="I46" s="9">
        <f t="shared" si="24"/>
        <v>6</v>
      </c>
      <c r="J46" s="9">
        <f t="shared" si="24"/>
        <v>7</v>
      </c>
      <c r="K46" s="9">
        <f t="shared" si="24"/>
        <v>8</v>
      </c>
      <c r="L46" s="9">
        <f t="shared" si="24"/>
        <v>9</v>
      </c>
      <c r="M46" s="9">
        <f t="shared" si="24"/>
        <v>10</v>
      </c>
    </row>
    <row r="47" spans="2:14" x14ac:dyDescent="0.25">
      <c r="B47" t="s">
        <v>60</v>
      </c>
      <c r="C47" s="13">
        <f>-C7</f>
        <v>-9250000</v>
      </c>
    </row>
    <row r="48" spans="2:14" x14ac:dyDescent="0.25">
      <c r="B48" t="s">
        <v>61</v>
      </c>
      <c r="D48" s="13">
        <f>D36</f>
        <v>500886.90399999998</v>
      </c>
      <c r="E48" s="13">
        <f t="shared" ref="E48:M48" si="25">E36</f>
        <v>527675.50608000008</v>
      </c>
      <c r="F48" s="13">
        <f t="shared" si="25"/>
        <v>556713.42500160006</v>
      </c>
      <c r="G48" s="13">
        <f t="shared" si="25"/>
        <v>567847.69350163208</v>
      </c>
      <c r="H48" s="13">
        <f t="shared" si="25"/>
        <v>589362.65469627269</v>
      </c>
      <c r="I48" s="13">
        <f t="shared" si="25"/>
        <v>601149.90779019811</v>
      </c>
      <c r="J48" s="13">
        <f t="shared" si="25"/>
        <v>613172.90594600211</v>
      </c>
      <c r="K48" s="13">
        <f t="shared" si="25"/>
        <v>625436.36406492221</v>
      </c>
      <c r="L48" s="13">
        <f t="shared" si="25"/>
        <v>637945.09134622058</v>
      </c>
      <c r="M48" s="13">
        <f t="shared" si="25"/>
        <v>650703.99317314487</v>
      </c>
    </row>
    <row r="49" spans="2:14" x14ac:dyDescent="0.25">
      <c r="B49" t="s">
        <v>62</v>
      </c>
      <c r="M49" s="13">
        <f>N34/M7</f>
        <v>12344645.514300767</v>
      </c>
    </row>
    <row r="50" spans="2:14" x14ac:dyDescent="0.25">
      <c r="B50" t="s">
        <v>45</v>
      </c>
      <c r="M50" s="13">
        <f>-(M49*M8)</f>
        <v>-185169.68271451149</v>
      </c>
    </row>
    <row r="51" spans="2:14" x14ac:dyDescent="0.25">
      <c r="B51" s="6" t="s">
        <v>63</v>
      </c>
      <c r="C51" s="13">
        <f>SUM(C47:C50)</f>
        <v>-9250000</v>
      </c>
      <c r="D51" s="13">
        <f t="shared" ref="D51:L51" si="26">SUM(D47:D50)</f>
        <v>500886.90399999998</v>
      </c>
      <c r="E51" s="13">
        <f t="shared" si="26"/>
        <v>527675.50608000008</v>
      </c>
      <c r="F51" s="13">
        <f t="shared" si="26"/>
        <v>556713.42500160006</v>
      </c>
      <c r="G51" s="13">
        <f t="shared" si="26"/>
        <v>567847.69350163208</v>
      </c>
      <c r="H51" s="13">
        <f t="shared" si="26"/>
        <v>589362.65469627269</v>
      </c>
      <c r="I51" s="13">
        <f t="shared" si="26"/>
        <v>601149.90779019811</v>
      </c>
      <c r="J51" s="13">
        <f t="shared" si="26"/>
        <v>613172.90594600211</v>
      </c>
      <c r="K51" s="13">
        <f t="shared" si="26"/>
        <v>625436.36406492221</v>
      </c>
      <c r="L51" s="13">
        <f t="shared" si="26"/>
        <v>637945.09134622058</v>
      </c>
      <c r="M51" s="13">
        <f>SUM(M47:M50)</f>
        <v>12810179.824759401</v>
      </c>
      <c r="N51" s="13"/>
    </row>
    <row r="52" spans="2:14" x14ac:dyDescent="0.25">
      <c r="B52" t="s">
        <v>64</v>
      </c>
      <c r="C52" s="2">
        <f>AVERAGE(D52:M52)</f>
        <v>6.3469129141621533E-2</v>
      </c>
      <c r="D52" s="2">
        <f>D48/-$C$47</f>
        <v>5.4149935567567566E-2</v>
      </c>
      <c r="E52" s="2">
        <f t="shared" ref="E52:M52" si="27">E48/-$C$47</f>
        <v>5.7046000657297306E-2</v>
      </c>
      <c r="F52" s="2">
        <f t="shared" si="27"/>
        <v>6.0185235135308116E-2</v>
      </c>
      <c r="G52" s="2">
        <f t="shared" si="27"/>
        <v>6.138893983801428E-2</v>
      </c>
      <c r="H52" s="2">
        <f t="shared" si="27"/>
        <v>6.3714881588786243E-2</v>
      </c>
      <c r="I52" s="2">
        <f t="shared" si="27"/>
        <v>6.4989179220561952E-2</v>
      </c>
      <c r="J52" s="2">
        <f t="shared" si="27"/>
        <v>6.6288962804973206E-2</v>
      </c>
      <c r="K52" s="2">
        <f t="shared" si="27"/>
        <v>6.7614742061072666E-2</v>
      </c>
      <c r="L52" s="2">
        <f t="shared" si="27"/>
        <v>6.896703690229411E-2</v>
      </c>
      <c r="M52" s="2">
        <f t="shared" si="27"/>
        <v>7.0346377640339991E-2</v>
      </c>
      <c r="N52" s="2"/>
    </row>
    <row r="53" spans="2:14" x14ac:dyDescent="0.25">
      <c r="B53" t="s">
        <v>47</v>
      </c>
      <c r="C53" s="4">
        <f>IRR(C51:N51)</f>
        <v>8.3666830116978508E-2</v>
      </c>
    </row>
    <row r="54" spans="2:14" x14ac:dyDescent="0.25">
      <c r="B54" s="6" t="s">
        <v>65</v>
      </c>
      <c r="C54" s="20">
        <f>SUMIF($C$51:$M$51,"&gt;0")/-SUMIF($C$51:$M$51,"&lt;0")</f>
        <v>1.9492292191552705</v>
      </c>
    </row>
    <row r="56" spans="2:14" x14ac:dyDescent="0.25">
      <c r="B56" t="s">
        <v>60</v>
      </c>
      <c r="C56" s="13">
        <f>C51</f>
        <v>-9250000</v>
      </c>
    </row>
    <row r="57" spans="2:14" x14ac:dyDescent="0.25">
      <c r="B57" t="s">
        <v>66</v>
      </c>
      <c r="C57" s="1">
        <f>F7</f>
        <v>6937500</v>
      </c>
    </row>
    <row r="58" spans="2:14" x14ac:dyDescent="0.25">
      <c r="B58" t="s">
        <v>41</v>
      </c>
      <c r="D58" s="13">
        <f>D39</f>
        <v>103438.67052500497</v>
      </c>
      <c r="E58" s="13">
        <f t="shared" ref="E58:M58" si="28">E39</f>
        <v>130227.27260500507</v>
      </c>
      <c r="F58" s="13">
        <f t="shared" si="28"/>
        <v>159265.19152660505</v>
      </c>
      <c r="G58" s="13">
        <f t="shared" si="28"/>
        <v>170399.46002663707</v>
      </c>
      <c r="H58" s="13">
        <f t="shared" si="28"/>
        <v>191914.42122127768</v>
      </c>
      <c r="I58" s="13">
        <f t="shared" si="28"/>
        <v>203701.6743152031</v>
      </c>
      <c r="J58" s="13">
        <f t="shared" si="28"/>
        <v>215724.6724710071</v>
      </c>
      <c r="K58" s="13">
        <f t="shared" si="28"/>
        <v>227988.1305899272</v>
      </c>
      <c r="L58" s="13">
        <f t="shared" si="28"/>
        <v>240496.85787122557</v>
      </c>
      <c r="M58" s="13">
        <f t="shared" si="28"/>
        <v>253255.75969814986</v>
      </c>
    </row>
    <row r="59" spans="2:14" x14ac:dyDescent="0.25">
      <c r="B59" t="s">
        <v>62</v>
      </c>
      <c r="M59" s="13">
        <f>M49</f>
        <v>12344645.514300767</v>
      </c>
    </row>
    <row r="60" spans="2:14" x14ac:dyDescent="0.25">
      <c r="B60" t="s">
        <v>67</v>
      </c>
      <c r="M60" s="13">
        <f>M42</f>
        <v>-5465637.1703035422</v>
      </c>
    </row>
    <row r="61" spans="2:14" x14ac:dyDescent="0.25">
      <c r="B61" t="s">
        <v>45</v>
      </c>
      <c r="M61" s="13">
        <f>M50</f>
        <v>-185169.68271451149</v>
      </c>
    </row>
    <row r="62" spans="2:14" x14ac:dyDescent="0.25">
      <c r="B62" s="6" t="s">
        <v>68</v>
      </c>
      <c r="C62" s="13">
        <f>SUM(C56:C61)</f>
        <v>-2312500</v>
      </c>
      <c r="D62" s="13">
        <f t="shared" ref="D62:M62" si="29">SUM(D56:D61)</f>
        <v>103438.67052500497</v>
      </c>
      <c r="E62" s="13">
        <f t="shared" si="29"/>
        <v>130227.27260500507</v>
      </c>
      <c r="F62" s="13">
        <f t="shared" si="29"/>
        <v>159265.19152660505</v>
      </c>
      <c r="G62" s="13">
        <f t="shared" si="29"/>
        <v>170399.46002663707</v>
      </c>
      <c r="H62" s="13">
        <f t="shared" si="29"/>
        <v>191914.42122127768</v>
      </c>
      <c r="I62" s="13">
        <f t="shared" si="29"/>
        <v>203701.6743152031</v>
      </c>
      <c r="J62" s="13">
        <f t="shared" si="29"/>
        <v>215724.6724710071</v>
      </c>
      <c r="K62" s="13">
        <f t="shared" si="29"/>
        <v>227988.1305899272</v>
      </c>
      <c r="L62" s="13">
        <f t="shared" si="29"/>
        <v>240496.85787122557</v>
      </c>
      <c r="M62" s="13">
        <f t="shared" si="29"/>
        <v>6947094.4209808642</v>
      </c>
    </row>
    <row r="63" spans="2:14" x14ac:dyDescent="0.25">
      <c r="B63" s="6" t="s">
        <v>69</v>
      </c>
      <c r="C63" s="2">
        <f>AVERAGE(D63:M63)</f>
        <v>8.200701019892076E-2</v>
      </c>
      <c r="D63" s="2">
        <f>D58/-$C$62</f>
        <v>4.4730235902704855E-2</v>
      </c>
      <c r="E63" s="2">
        <f t="shared" ref="E63:M63" si="30">E58/-$C$62</f>
        <v>5.6314496261623812E-2</v>
      </c>
      <c r="F63" s="2">
        <f t="shared" si="30"/>
        <v>6.8871434173667048E-2</v>
      </c>
      <c r="G63" s="2">
        <f t="shared" si="30"/>
        <v>7.3686252984491704E-2</v>
      </c>
      <c r="H63" s="2">
        <f t="shared" si="30"/>
        <v>8.299001998757953E-2</v>
      </c>
      <c r="I63" s="2">
        <f t="shared" si="30"/>
        <v>8.8087210514682421E-2</v>
      </c>
      <c r="J63" s="2">
        <f t="shared" si="30"/>
        <v>9.3286344852327396E-2</v>
      </c>
      <c r="K63" s="2">
        <f t="shared" si="30"/>
        <v>9.8589461876725279E-2</v>
      </c>
      <c r="L63" s="2">
        <f t="shared" si="30"/>
        <v>0.10399864124161105</v>
      </c>
      <c r="M63" s="2">
        <f t="shared" si="30"/>
        <v>0.10951600419379454</v>
      </c>
    </row>
    <row r="64" spans="2:14" x14ac:dyDescent="0.25">
      <c r="B64" s="6" t="s">
        <v>48</v>
      </c>
      <c r="C64" s="4">
        <f>IRR(C62:M62)</f>
        <v>0.16172201987567369</v>
      </c>
    </row>
    <row r="65" spans="2:3" x14ac:dyDescent="0.25">
      <c r="B65" s="6" t="s">
        <v>70</v>
      </c>
      <c r="C65" s="20">
        <f>SUMIF(C62:M62,"&gt;0")/-SUMIF(C62:M62,"&lt;0")</f>
        <v>3.7147030365979496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0CA9-0D2E-4C12-B2C0-5C2E095A1A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70B7-EFA9-4FB9-A5A5-8EA273EAAA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cp:lastPrinted>2023-03-31T02:46:05Z</cp:lastPrinted>
  <dcterms:created xsi:type="dcterms:W3CDTF">2023-03-31T01:17:30Z</dcterms:created>
  <dcterms:modified xsi:type="dcterms:W3CDTF">2023-03-31T19:29:04Z</dcterms:modified>
</cp:coreProperties>
</file>