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d.docs.live.net/486509003457f3db/Volunteering/Education/2021-UMelbData/"/>
    </mc:Choice>
  </mc:AlternateContent>
  <xr:revisionPtr revIDLastSave="24705" documentId="8_{98C318FC-5E55-4652-B2B4-2EC874A748D4}" xr6:coauthVersionLast="47" xr6:coauthVersionMax="47" xr10:uidLastSave="{E07A5D60-04F5-4AD2-841A-2C8A908FD001}"/>
  <bookViews>
    <workbookView xWindow="22944" yWindow="-96" windowWidth="23232" windowHeight="13152" activeTab="1" xr2:uid="{00000000-000D-0000-FFFF-FFFF00000000}"/>
  </bookViews>
  <sheets>
    <sheet name="Int1" sheetId="40" r:id="rId1"/>
    <sheet name="Int2" sheetId="41" r:id="rId2"/>
  </sheets>
  <definedNames>
    <definedName name="battery_capacity" localSheetId="0">'Int1'!$Q$11</definedName>
    <definedName name="battery_capacity" localSheetId="1">'Int2'!$Q$11</definedName>
    <definedName name="battery_capacity">#REF!</definedName>
    <definedName name="battery_power" localSheetId="0">'Int1'!$Q$10</definedName>
    <definedName name="battery_power" localSheetId="1">'Int2'!$Q$10</definedName>
    <definedName name="battery_power">#REF!</definedName>
    <definedName name="charge_efficiency" localSheetId="0">'Int1'!$Q$12</definedName>
    <definedName name="charge_efficiency" localSheetId="1">'Int2'!$Q$12</definedName>
    <definedName name="charge_efficiency">#REF!</definedName>
    <definedName name="charge_level" localSheetId="0">'Int1'!#REF!</definedName>
    <definedName name="charge_level" localSheetId="1">'Int2'!#REF!</definedName>
    <definedName name="charge_level">#REF!</definedName>
    <definedName name="discharge_efficiency" localSheetId="0">'Int1'!$Q$13</definedName>
    <definedName name="discharge_efficiency" localSheetId="1">'Int2'!$Q$13</definedName>
    <definedName name="discharge_efficiency">#REF!</definedName>
    <definedName name="discharge_level" localSheetId="0">'Int1'!#REF!</definedName>
    <definedName name="discharge_level" localSheetId="1">'Int2'!#REF!</definedName>
    <definedName name="discharge_level">#REF!</definedName>
    <definedName name="fixed_om" localSheetId="0">'Int1'!$Q$15</definedName>
    <definedName name="fixed_om" localSheetId="1">'Int2'!$Q$15</definedName>
    <definedName name="fixed_om">#REF!</definedName>
    <definedName name="mlf" localSheetId="0">'Int1'!$Q$14</definedName>
    <definedName name="mlf" localSheetId="1">'Int2'!$Q$14</definedName>
    <definedName name="mlf">#REF!</definedName>
    <definedName name="solver_adj" localSheetId="0" hidden="1">'Int1'!$L$9:$M$55</definedName>
    <definedName name="solver_adj" localSheetId="1" hidden="1">'Int2'!$L$9:$M$55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3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'Int1'!$G$58</definedName>
    <definedName name="solver_lhs1" localSheetId="1" hidden="1">'Int2'!$G$58</definedName>
    <definedName name="solver_lhs2" localSheetId="0" hidden="1">'Int1'!$L$9:$M$55</definedName>
    <definedName name="solver_lhs2" localSheetId="1" hidden="1">'Int2'!$L$9:$M$55</definedName>
    <definedName name="solver_lhs3" localSheetId="0" hidden="1">'Int1'!$L$9:$M$55</definedName>
    <definedName name="solver_lhs3" localSheetId="1" hidden="1">'Int2'!$L$9:$M$55</definedName>
    <definedName name="solver_lhs4" localSheetId="0" hidden="1">'Int1'!$L$9:$M$55</definedName>
    <definedName name="solver_lhs4" localSheetId="1" hidden="1">'Int2'!$L$9:$M$55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'Int1'!$P$26</definedName>
    <definedName name="solver_opt" localSheetId="1" hidden="1">'Int2'!$P$26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4</definedName>
    <definedName name="solver_rel3" localSheetId="1" hidden="1">3</definedName>
    <definedName name="solver_rel4" localSheetId="0" hidden="1">3</definedName>
    <definedName name="solver_rel4" localSheetId="1" hidden="1">3</definedName>
    <definedName name="solver_rhs1" localSheetId="0" hidden="1">580</definedName>
    <definedName name="solver_rhs1" localSheetId="1" hidden="1">580</definedName>
    <definedName name="solver_rhs2" localSheetId="0" hidden="1">1</definedName>
    <definedName name="solver_rhs2" localSheetId="1" hidden="1">1</definedName>
    <definedName name="solver_rhs3" localSheetId="0" hidden="1">"integer"</definedName>
    <definedName name="solver_rhs3" localSheetId="1" hidden="1">0</definedName>
    <definedName name="solver_rhs4" localSheetId="0" hidden="1">0</definedName>
    <definedName name="solver_rhs4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state" localSheetId="0">'Int1'!$Q$9</definedName>
    <definedName name="state" localSheetId="1">'Int2'!$Q$9</definedName>
    <definedName name="state">#REF!</definedName>
    <definedName name="variable_om" localSheetId="0">'Int1'!$Q$16</definedName>
    <definedName name="variable_om" localSheetId="1">'Int2'!$Q$16</definedName>
    <definedName name="variable_o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5" i="41" l="1"/>
  <c r="P23" i="41"/>
  <c r="P22" i="41"/>
  <c r="F9" i="41"/>
  <c r="G9" i="41" s="1"/>
  <c r="F10" i="40"/>
  <c r="G10" i="40" s="1"/>
  <c r="H10" i="40" s="1"/>
  <c r="F11" i="40"/>
  <c r="F12" i="40"/>
  <c r="F13" i="40"/>
  <c r="F14" i="40"/>
  <c r="G14" i="40" s="1"/>
  <c r="H14" i="40" s="1"/>
  <c r="F17" i="40"/>
  <c r="G17" i="40" s="1"/>
  <c r="H17" i="40" s="1"/>
  <c r="F18" i="40"/>
  <c r="G18" i="40" s="1"/>
  <c r="H18" i="40" s="1"/>
  <c r="F19" i="40"/>
  <c r="F21" i="40"/>
  <c r="G21" i="40" s="1"/>
  <c r="H21" i="40" s="1"/>
  <c r="F22" i="40"/>
  <c r="G22" i="40" s="1"/>
  <c r="H22" i="40" s="1"/>
  <c r="F23" i="40"/>
  <c r="G23" i="40" s="1"/>
  <c r="H23" i="40" s="1"/>
  <c r="F24" i="40"/>
  <c r="G24" i="40" s="1"/>
  <c r="H24" i="40" s="1"/>
  <c r="F27" i="40"/>
  <c r="G27" i="40" s="1"/>
  <c r="H27" i="40" s="1"/>
  <c r="F28" i="40"/>
  <c r="G28" i="40" s="1"/>
  <c r="H28" i="40" s="1"/>
  <c r="F30" i="40"/>
  <c r="G30" i="40" s="1"/>
  <c r="H30" i="40" s="1"/>
  <c r="F31" i="40"/>
  <c r="G31" i="40" s="1"/>
  <c r="H31" i="40" s="1"/>
  <c r="F32" i="40"/>
  <c r="G32" i="40" s="1"/>
  <c r="H32" i="40" s="1"/>
  <c r="F33" i="40"/>
  <c r="G33" i="40" s="1"/>
  <c r="H33" i="40" s="1"/>
  <c r="F34" i="40"/>
  <c r="G34" i="40" s="1"/>
  <c r="H34" i="40" s="1"/>
  <c r="F35" i="40"/>
  <c r="G35" i="40" s="1"/>
  <c r="H35" i="40" s="1"/>
  <c r="F39" i="40"/>
  <c r="G39" i="40" s="1"/>
  <c r="H39" i="40" s="1"/>
  <c r="F40" i="40"/>
  <c r="G40" i="40" s="1"/>
  <c r="H40" i="40" s="1"/>
  <c r="F41" i="40"/>
  <c r="G41" i="40" s="1"/>
  <c r="H41" i="40" s="1"/>
  <c r="F42" i="40"/>
  <c r="G42" i="40" s="1"/>
  <c r="H42" i="40" s="1"/>
  <c r="F43" i="40"/>
  <c r="G43" i="40" s="1"/>
  <c r="H43" i="40" s="1"/>
  <c r="F46" i="40"/>
  <c r="F47" i="40"/>
  <c r="G47" i="40" s="1"/>
  <c r="H47" i="40" s="1"/>
  <c r="F48" i="40"/>
  <c r="G48" i="40" s="1"/>
  <c r="H48" i="40" s="1"/>
  <c r="F49" i="40"/>
  <c r="G49" i="40" s="1"/>
  <c r="H49" i="40" s="1"/>
  <c r="F50" i="40"/>
  <c r="G50" i="40" s="1"/>
  <c r="H50" i="40" s="1"/>
  <c r="F51" i="40"/>
  <c r="G51" i="40" s="1"/>
  <c r="H51" i="40" s="1"/>
  <c r="F52" i="40"/>
  <c r="G52" i="40" s="1"/>
  <c r="H52" i="40" s="1"/>
  <c r="F53" i="40"/>
  <c r="G53" i="40" s="1"/>
  <c r="H53" i="40" s="1"/>
  <c r="F54" i="40"/>
  <c r="G54" i="40" s="1"/>
  <c r="H54" i="40" s="1"/>
  <c r="F55" i="40"/>
  <c r="G55" i="40" s="1"/>
  <c r="H55" i="40" s="1"/>
  <c r="F9" i="40"/>
  <c r="G9" i="40" s="1"/>
  <c r="G19" i="40"/>
  <c r="H19" i="40" s="1"/>
  <c r="P25" i="40"/>
  <c r="P23" i="40"/>
  <c r="P22" i="40"/>
  <c r="G13" i="40"/>
  <c r="H13" i="40" s="1"/>
  <c r="G12" i="40"/>
  <c r="H12" i="40" s="1"/>
  <c r="G11" i="40"/>
  <c r="H11" i="40" s="1"/>
  <c r="J9" i="41" l="1"/>
  <c r="I10" i="41" s="1"/>
  <c r="H9" i="41"/>
  <c r="H9" i="40"/>
  <c r="J9" i="40"/>
  <c r="I10" i="40" s="1"/>
  <c r="J10" i="40" s="1"/>
  <c r="I11" i="40" s="1"/>
  <c r="J11" i="40" s="1"/>
  <c r="I12" i="40" s="1"/>
  <c r="J12" i="40" s="1"/>
  <c r="I13" i="40" s="1"/>
  <c r="J13" i="40" s="1"/>
  <c r="I14" i="40" s="1"/>
  <c r="J14" i="40" s="1"/>
  <c r="I15" i="40" s="1"/>
  <c r="F15" i="40" s="1"/>
  <c r="F10" i="41" l="1"/>
  <c r="G10" i="41" s="1"/>
  <c r="H10" i="41" s="1"/>
  <c r="G15" i="40"/>
  <c r="J15" i="40" s="1"/>
  <c r="I16" i="40" s="1"/>
  <c r="F16" i="40" s="1"/>
  <c r="J10" i="41" l="1"/>
  <c r="I11" i="41" s="1"/>
  <c r="G16" i="40"/>
  <c r="H16" i="40" s="1"/>
  <c r="H15" i="40"/>
  <c r="F11" i="41" l="1"/>
  <c r="G11" i="41" s="1"/>
  <c r="H11" i="41" s="1"/>
  <c r="J16" i="40"/>
  <c r="I17" i="40" s="1"/>
  <c r="J17" i="40" s="1"/>
  <c r="I18" i="40" s="1"/>
  <c r="J18" i="40" s="1"/>
  <c r="I19" i="40" s="1"/>
  <c r="J19" i="40" s="1"/>
  <c r="I20" i="40" s="1"/>
  <c r="F20" i="40" s="1"/>
  <c r="J11" i="41" l="1"/>
  <c r="I12" i="41" s="1"/>
  <c r="G20" i="40"/>
  <c r="H20" i="40" s="1"/>
  <c r="F12" i="41" l="1"/>
  <c r="G12" i="41" s="1"/>
  <c r="H12" i="41" s="1"/>
  <c r="J20" i="40"/>
  <c r="I21" i="40" s="1"/>
  <c r="J21" i="40" s="1"/>
  <c r="I22" i="40" s="1"/>
  <c r="J22" i="40" s="1"/>
  <c r="I23" i="40" s="1"/>
  <c r="J23" i="40" s="1"/>
  <c r="I24" i="40" s="1"/>
  <c r="J24" i="40" s="1"/>
  <c r="I25" i="40" s="1"/>
  <c r="F25" i="40" s="1"/>
  <c r="G25" i="40" s="1"/>
  <c r="H25" i="40" s="1"/>
  <c r="J12" i="41" l="1"/>
  <c r="I13" i="41" s="1"/>
  <c r="J25" i="40"/>
  <c r="I26" i="40" s="1"/>
  <c r="F13" i="41" l="1"/>
  <c r="G13" i="41" s="1"/>
  <c r="H13" i="41" s="1"/>
  <c r="F26" i="40"/>
  <c r="G26" i="40" s="1"/>
  <c r="H26" i="40" s="1"/>
  <c r="J13" i="41" l="1"/>
  <c r="I14" i="41" s="1"/>
  <c r="J26" i="40"/>
  <c r="I27" i="40" s="1"/>
  <c r="J27" i="40" s="1"/>
  <c r="I28" i="40" s="1"/>
  <c r="J28" i="40" s="1"/>
  <c r="I29" i="40" s="1"/>
  <c r="F14" i="41" l="1"/>
  <c r="G14" i="41" s="1"/>
  <c r="H14" i="41" s="1"/>
  <c r="F29" i="40"/>
  <c r="G29" i="40" l="1"/>
  <c r="H29" i="40" s="1"/>
  <c r="J14" i="41"/>
  <c r="I15" i="41" s="1"/>
  <c r="J29" i="40" l="1"/>
  <c r="I30" i="40" s="1"/>
  <c r="J30" i="40" s="1"/>
  <c r="I31" i="40" s="1"/>
  <c r="J31" i="40" s="1"/>
  <c r="I32" i="40" s="1"/>
  <c r="J32" i="40" s="1"/>
  <c r="I33" i="40" s="1"/>
  <c r="J33" i="40" s="1"/>
  <c r="I34" i="40" s="1"/>
  <c r="J34" i="40" s="1"/>
  <c r="I35" i="40" s="1"/>
  <c r="J35" i="40" s="1"/>
  <c r="I36" i="40" s="1"/>
  <c r="F36" i="40" s="1"/>
  <c r="F15" i="41"/>
  <c r="G15" i="41" s="1"/>
  <c r="H15" i="41" s="1"/>
  <c r="G36" i="40" l="1"/>
  <c r="H36" i="40" s="1"/>
  <c r="J15" i="41"/>
  <c r="I16" i="41" s="1"/>
  <c r="F16" i="41" s="1"/>
  <c r="G16" i="41" s="1"/>
  <c r="J36" i="40" l="1"/>
  <c r="I37" i="40" s="1"/>
  <c r="F37" i="40" s="1"/>
  <c r="J16" i="41"/>
  <c r="I17" i="41" s="1"/>
  <c r="H16" i="41"/>
  <c r="G46" i="40"/>
  <c r="G37" i="40" l="1"/>
  <c r="H37" i="40" s="1"/>
  <c r="F17" i="41"/>
  <c r="G17" i="41" s="1"/>
  <c r="H17" i="41" s="1"/>
  <c r="H46" i="40"/>
  <c r="J37" i="40" l="1"/>
  <c r="I38" i="40" s="1"/>
  <c r="F38" i="40" s="1"/>
  <c r="J17" i="41"/>
  <c r="I18" i="41" s="1"/>
  <c r="G38" i="40" l="1"/>
  <c r="H38" i="40" s="1"/>
  <c r="F18" i="41"/>
  <c r="G18" i="41" s="1"/>
  <c r="J38" i="40" l="1"/>
  <c r="I39" i="40" s="1"/>
  <c r="J39" i="40" s="1"/>
  <c r="I40" i="40" s="1"/>
  <c r="J40" i="40" s="1"/>
  <c r="I41" i="40" s="1"/>
  <c r="J41" i="40" s="1"/>
  <c r="I42" i="40" s="1"/>
  <c r="J42" i="40" s="1"/>
  <c r="I43" i="40" s="1"/>
  <c r="J43" i="40" s="1"/>
  <c r="I44" i="40" s="1"/>
  <c r="H18" i="41"/>
  <c r="J18" i="41"/>
  <c r="I19" i="41" s="1"/>
  <c r="F44" i="40" l="1"/>
  <c r="F19" i="41"/>
  <c r="G19" i="41" s="1"/>
  <c r="G44" i="40" l="1"/>
  <c r="H19" i="41"/>
  <c r="J19" i="41"/>
  <c r="I20" i="41" s="1"/>
  <c r="H44" i="40" l="1"/>
  <c r="J44" i="40"/>
  <c r="I45" i="40" s="1"/>
  <c r="F20" i="41"/>
  <c r="G20" i="41" s="1"/>
  <c r="F45" i="40" l="1"/>
  <c r="H20" i="41"/>
  <c r="J20" i="41"/>
  <c r="I21" i="41" s="1"/>
  <c r="G45" i="40" l="1"/>
  <c r="F58" i="40"/>
  <c r="F21" i="41"/>
  <c r="G21" i="41" s="1"/>
  <c r="H45" i="40" l="1"/>
  <c r="P24" i="40" s="1"/>
  <c r="P26" i="40" s="1"/>
  <c r="Q23" i="40"/>
  <c r="G58" i="40"/>
  <c r="Q25" i="40"/>
  <c r="Q22" i="40"/>
  <c r="Q24" i="40"/>
  <c r="J45" i="40"/>
  <c r="I46" i="40" s="1"/>
  <c r="J46" i="40" s="1"/>
  <c r="I47" i="40" s="1"/>
  <c r="J47" i="40" s="1"/>
  <c r="I48" i="40" s="1"/>
  <c r="J48" i="40" s="1"/>
  <c r="I49" i="40" s="1"/>
  <c r="J49" i="40" s="1"/>
  <c r="I50" i="40" s="1"/>
  <c r="J50" i="40" s="1"/>
  <c r="I51" i="40" s="1"/>
  <c r="J51" i="40" s="1"/>
  <c r="I52" i="40" s="1"/>
  <c r="J52" i="40" s="1"/>
  <c r="I53" i="40" s="1"/>
  <c r="J53" i="40" s="1"/>
  <c r="I54" i="40" s="1"/>
  <c r="J54" i="40" s="1"/>
  <c r="I55" i="40" s="1"/>
  <c r="J55" i="40" s="1"/>
  <c r="H21" i="41"/>
  <c r="J21" i="41"/>
  <c r="I22" i="41" s="1"/>
  <c r="Q26" i="40" l="1"/>
  <c r="F22" i="41"/>
  <c r="G22" i="41" s="1"/>
  <c r="H22" i="41" l="1"/>
  <c r="J22" i="41"/>
  <c r="I23" i="41" s="1"/>
  <c r="F23" i="41" l="1"/>
  <c r="G23" i="41" s="1"/>
  <c r="H23" i="41" s="1"/>
  <c r="J23" i="41" l="1"/>
  <c r="I24" i="41" s="1"/>
  <c r="F24" i="41" l="1"/>
  <c r="G24" i="41" s="1"/>
  <c r="H24" i="41" s="1"/>
  <c r="J24" i="41" l="1"/>
  <c r="I25" i="41" s="1"/>
  <c r="F25" i="41" l="1"/>
  <c r="G25" i="41" s="1"/>
  <c r="H25" i="41" s="1"/>
  <c r="J25" i="41" l="1"/>
  <c r="I26" i="41" s="1"/>
  <c r="F26" i="41" l="1"/>
  <c r="G26" i="41" s="1"/>
  <c r="H26" i="41" s="1"/>
  <c r="J26" i="41" l="1"/>
  <c r="I27" i="41" s="1"/>
  <c r="F27" i="41" l="1"/>
  <c r="G27" i="41" s="1"/>
  <c r="H27" i="41" s="1"/>
  <c r="J27" i="41" l="1"/>
  <c r="I28" i="41" s="1"/>
  <c r="F28" i="41" l="1"/>
  <c r="G28" i="41" s="1"/>
  <c r="H28" i="41" s="1"/>
  <c r="J28" i="41" l="1"/>
  <c r="I29" i="41" s="1"/>
  <c r="F29" i="41" l="1"/>
  <c r="G29" i="41" s="1"/>
  <c r="H29" i="41" s="1"/>
  <c r="J29" i="41" l="1"/>
  <c r="I30" i="41" s="1"/>
  <c r="F30" i="41" l="1"/>
  <c r="G30" i="41" s="1"/>
  <c r="H30" i="41" s="1"/>
  <c r="J30" i="41" l="1"/>
  <c r="I31" i="41" s="1"/>
  <c r="F31" i="41" l="1"/>
  <c r="G31" i="41" s="1"/>
  <c r="H31" i="41" s="1"/>
  <c r="J31" i="41" l="1"/>
  <c r="I32" i="41" s="1"/>
  <c r="F32" i="41" l="1"/>
  <c r="G32" i="41" s="1"/>
  <c r="H32" i="41" s="1"/>
  <c r="J32" i="41" l="1"/>
  <c r="I33" i="41" s="1"/>
  <c r="F33" i="41" l="1"/>
  <c r="G33" i="41" s="1"/>
  <c r="H33" i="41" s="1"/>
  <c r="J33" i="41" l="1"/>
  <c r="I34" i="41" s="1"/>
  <c r="F34" i="41" l="1"/>
  <c r="G34" i="41" s="1"/>
  <c r="H34" i="41" s="1"/>
  <c r="J34" i="41" l="1"/>
  <c r="I35" i="41" s="1"/>
  <c r="F35" i="41" l="1"/>
  <c r="G35" i="41" s="1"/>
  <c r="H35" i="41" s="1"/>
  <c r="J35" i="41" l="1"/>
  <c r="I36" i="41" s="1"/>
  <c r="F36" i="41" l="1"/>
  <c r="G36" i="41" s="1"/>
  <c r="H36" i="41" s="1"/>
  <c r="J36" i="41" l="1"/>
  <c r="I37" i="41" s="1"/>
  <c r="F37" i="41" l="1"/>
  <c r="G37" i="41" s="1"/>
  <c r="H37" i="41" s="1"/>
  <c r="J37" i="41" l="1"/>
  <c r="I38" i="41" s="1"/>
  <c r="F38" i="41" l="1"/>
  <c r="G38" i="41" s="1"/>
  <c r="H38" i="41" s="1"/>
  <c r="J38" i="41" l="1"/>
  <c r="I39" i="41" s="1"/>
  <c r="F39" i="41" l="1"/>
  <c r="G39" i="41" s="1"/>
  <c r="H39" i="41" s="1"/>
  <c r="J39" i="41" l="1"/>
  <c r="I40" i="41" s="1"/>
  <c r="F40" i="41" l="1"/>
  <c r="G40" i="41" s="1"/>
  <c r="H40" i="41" s="1"/>
  <c r="J40" i="41" l="1"/>
  <c r="I41" i="41" s="1"/>
  <c r="F41" i="41" l="1"/>
  <c r="G41" i="41" s="1"/>
  <c r="H41" i="41" s="1"/>
  <c r="J41" i="41" l="1"/>
  <c r="I42" i="41" s="1"/>
  <c r="F42" i="41" l="1"/>
  <c r="G42" i="41" s="1"/>
  <c r="H42" i="41" s="1"/>
  <c r="J42" i="41" l="1"/>
  <c r="I43" i="41" s="1"/>
  <c r="F43" i="41" l="1"/>
  <c r="G43" i="41" s="1"/>
  <c r="H43" i="41" s="1"/>
  <c r="J43" i="41" l="1"/>
  <c r="I44" i="41" s="1"/>
  <c r="F44" i="41" l="1"/>
  <c r="G44" i="41" s="1"/>
  <c r="H44" i="41" s="1"/>
  <c r="J44" i="41" l="1"/>
  <c r="I45" i="41" s="1"/>
  <c r="F45" i="41" s="1"/>
  <c r="G45" i="41" s="1"/>
  <c r="J45" i="41" l="1"/>
  <c r="I46" i="41" s="1"/>
  <c r="H45" i="41"/>
  <c r="F46" i="41" l="1"/>
  <c r="G46" i="41" s="1"/>
  <c r="H46" i="41" s="1"/>
  <c r="J46" i="41" l="1"/>
  <c r="I47" i="41" s="1"/>
  <c r="F47" i="41" l="1"/>
  <c r="G47" i="41" s="1"/>
  <c r="H47" i="41" s="1"/>
  <c r="J47" i="41" l="1"/>
  <c r="I48" i="41" s="1"/>
  <c r="F48" i="41" l="1"/>
  <c r="G48" i="41" s="1"/>
  <c r="H48" i="41" s="1"/>
  <c r="J48" i="41" l="1"/>
  <c r="I49" i="41" s="1"/>
  <c r="F49" i="41" l="1"/>
  <c r="G49" i="41" l="1"/>
  <c r="J49" i="41" s="1"/>
  <c r="I50" i="41" s="1"/>
  <c r="H49" i="41" l="1"/>
  <c r="F50" i="41"/>
  <c r="G50" i="41" l="1"/>
  <c r="J50" i="41" s="1"/>
  <c r="I51" i="41" s="1"/>
  <c r="H50" i="41" l="1"/>
  <c r="F51" i="41"/>
  <c r="G51" i="41" l="1"/>
  <c r="J51" i="41" s="1"/>
  <c r="I52" i="41" s="1"/>
  <c r="H51" i="41" l="1"/>
  <c r="F52" i="41"/>
  <c r="G52" i="41" l="1"/>
  <c r="J52" i="41" s="1"/>
  <c r="I53" i="41" s="1"/>
  <c r="H52" i="41" l="1"/>
  <c r="F53" i="41"/>
  <c r="G53" i="41" l="1"/>
  <c r="J53" i="41" s="1"/>
  <c r="I54" i="41" s="1"/>
  <c r="H53" i="41" l="1"/>
  <c r="F54" i="41"/>
  <c r="G54" i="41" s="1"/>
  <c r="H54" i="41" s="1"/>
  <c r="J54" i="41" l="1"/>
  <c r="I55" i="41" s="1"/>
  <c r="F55" i="41" l="1"/>
  <c r="G55" i="41" l="1"/>
  <c r="G58" i="41" s="1"/>
  <c r="F58" i="41"/>
  <c r="Q24" i="41"/>
  <c r="Q25" i="41"/>
  <c r="Q22" i="41"/>
  <c r="Q23" i="41"/>
  <c r="J55" i="41" l="1"/>
  <c r="H55" i="41"/>
  <c r="P24" i="41" s="1"/>
  <c r="P26" i="41" s="1"/>
  <c r="Q26" i="41"/>
</calcChain>
</file>

<file path=xl/sharedStrings.xml><?xml version="1.0" encoding="utf-8"?>
<sst xmlns="http://schemas.openxmlformats.org/spreadsheetml/2006/main" count="132" uniqueCount="54">
  <si>
    <t>Description</t>
  </si>
  <si>
    <t>Year</t>
  </si>
  <si>
    <t>State</t>
  </si>
  <si>
    <t>Total</t>
  </si>
  <si>
    <t>Period ending</t>
  </si>
  <si>
    <t>Spot price</t>
  </si>
  <si>
    <t>$/MWh</t>
  </si>
  <si>
    <t>MW</t>
  </si>
  <si>
    <t>Battery power</t>
  </si>
  <si>
    <t>MWh</t>
  </si>
  <si>
    <t>Market revenue</t>
  </si>
  <si>
    <t>$</t>
  </si>
  <si>
    <t>Battery capacity</t>
  </si>
  <si>
    <t>Variable</t>
  </si>
  <si>
    <t>Unit</t>
  </si>
  <si>
    <t>Value</t>
  </si>
  <si>
    <t>Text</t>
  </si>
  <si>
    <t>VIC</t>
  </si>
  <si>
    <t>The regional node determines the spot market pricing.</t>
  </si>
  <si>
    <t>Maximum instantaneous rate of energy release or energy charging.</t>
  </si>
  <si>
    <t>Maximum energy that can be stored in the battery at full charge.</t>
  </si>
  <si>
    <t>Charge efficiency</t>
  </si>
  <si>
    <t>%</t>
  </si>
  <si>
    <t>Electricity to chemical conversion rate into stored battery capacity.</t>
  </si>
  <si>
    <t>Discharge efficiency</t>
  </si>
  <si>
    <t>Chemical to electrical conversion rate into grid dispatched energy.</t>
  </si>
  <si>
    <t>Marginal Loss Factor</t>
  </si>
  <si>
    <t>#</t>
  </si>
  <si>
    <t>Fixed O&amp;M</t>
  </si>
  <si>
    <t>$/kW/year</t>
  </si>
  <si>
    <t>Costs associated with fixed operations and maintenance.</t>
  </si>
  <si>
    <t>Variable O&amp;M</t>
  </si>
  <si>
    <t>Costs associated with variable operations and maintenance.</t>
  </si>
  <si>
    <t>Opening capacity</t>
  </si>
  <si>
    <t>Closing capacity</t>
  </si>
  <si>
    <t>Analysis table</t>
  </si>
  <si>
    <t>Battery properties</t>
  </si>
  <si>
    <t>Revenue analysis</t>
  </si>
  <si>
    <t>Revenue</t>
  </si>
  <si>
    <t>Costs</t>
  </si>
  <si>
    <t>Full-year observed.</t>
  </si>
  <si>
    <t>Half-year observed.</t>
  </si>
  <si>
    <t>Total of 3.5 years revenue and costs.</t>
  </si>
  <si>
    <t>University of Melbourne: Applied Data Science</t>
  </si>
  <si>
    <t>Period</t>
  </si>
  <si>
    <t>Losses associated with energy transmission (discharge only).</t>
  </si>
  <si>
    <t>Raw power</t>
  </si>
  <si>
    <t>Market dispatch</t>
  </si>
  <si>
    <t>Not used</t>
  </si>
  <si>
    <t>Charge</t>
  </si>
  <si>
    <t>Discharge</t>
  </si>
  <si>
    <t>0/1</t>
  </si>
  <si>
    <t>Interpretation 1: Based on raw output = 580MWh</t>
  </si>
  <si>
    <t>Interpretation 2: Based on final output = 580MWh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</si>
</sst>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(* #,##0.00_);_(* \(#,##0.00\);_(* &quot;-&quot;??_);_(@_)"/>
    <numFmt numFmtId="165" formatCode="_(&quot;$&quot;* #,##0_);_(&quot;$&quot;* \(#,##0\);_(&quot;$&quot;* &quot;-&quot;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19" x14ac:knownFonts="1"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5"/>
      <color theme="4"/>
      <name val="Arial"/>
      <family val="2"/>
      <scheme val="minor"/>
    </font>
    <font>
      <sz val="13"/>
      <color theme="4"/>
      <name val="Arial"/>
      <family val="2"/>
      <scheme val="minor"/>
    </font>
    <font>
      <b/>
      <sz val="18"/>
      <color theme="4"/>
      <name val="Arial"/>
      <family val="2"/>
      <scheme val="major"/>
    </font>
    <font>
      <sz val="11"/>
      <color theme="4"/>
      <name val="Arial"/>
      <family val="2"/>
      <scheme val="minor"/>
    </font>
    <font>
      <b/>
      <sz val="11"/>
      <color theme="4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theme="9"/>
      <name val="Arial"/>
      <family val="2"/>
      <scheme val="minor"/>
    </font>
    <font>
      <b/>
      <sz val="10"/>
      <name val="Arial"/>
      <family val="2"/>
      <scheme val="minor"/>
    </font>
    <font>
      <sz val="10"/>
      <color theme="0"/>
      <name val="Arial"/>
      <family val="2"/>
      <scheme val="minor"/>
    </font>
    <font>
      <sz val="9"/>
      <color theme="1"/>
      <name val="Arial"/>
      <family val="2"/>
      <scheme val="minor"/>
    </font>
    <font>
      <sz val="9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thin">
        <color theme="1"/>
      </top>
      <bottom/>
      <diagonal/>
    </border>
    <border>
      <left style="dashed">
        <color theme="0" tint="-0.24994659260841701"/>
      </left>
      <right style="dashed">
        <color theme="0" tint="-0.24994659260841701"/>
      </right>
      <top/>
      <bottom style="thin">
        <color theme="1"/>
      </bottom>
      <diagonal/>
    </border>
  </borders>
  <cellStyleXfs count="23">
    <xf numFmtId="0" fontId="0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1" applyNumberFormat="0" applyFill="0" applyBorder="0" applyAlignment="0" applyProtection="0"/>
    <xf numFmtId="0" fontId="9" fillId="0" borderId="2" applyNumberFormat="0" applyFill="0" applyBorder="0" applyAlignment="0" applyProtection="0"/>
    <xf numFmtId="0" fontId="11" fillId="0" borderId="3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2" borderId="8" applyNumberFormat="0" applyAlignment="0" applyProtection="0"/>
    <xf numFmtId="0" fontId="1" fillId="3" borderId="8" applyNumberFormat="0" applyFont="0" applyAlignment="0" applyProtection="0"/>
    <xf numFmtId="0" fontId="1" fillId="2" borderId="0" applyNumberFormat="0" applyBorder="0" applyAlignment="0" applyProtection="0"/>
    <xf numFmtId="0" fontId="14" fillId="3" borderId="8" applyNumberFormat="0">
      <alignment vertical="center"/>
    </xf>
    <xf numFmtId="0" fontId="3" fillId="0" borderId="4" applyNumberFormat="0" applyFill="0" applyAlignment="0" applyProtection="0"/>
    <xf numFmtId="0" fontId="4" fillId="4" borderId="5" applyNumberFormat="0" applyAlignment="0" applyProtection="0"/>
    <xf numFmtId="0" fontId="5" fillId="0" borderId="0" applyNumberFormat="0" applyFill="0" applyBorder="0" applyAlignment="0" applyProtection="0"/>
    <xf numFmtId="0" fontId="2" fillId="5" borderId="6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7" applyNumberFormat="0" applyFill="0" applyAlignment="0" applyProtection="0"/>
    <xf numFmtId="0" fontId="13" fillId="6" borderId="9" applyNumberFormat="0">
      <alignment vertical="center"/>
    </xf>
    <xf numFmtId="0" fontId="1" fillId="7" borderId="10" applyNumberFormat="0">
      <alignment vertical="center"/>
    </xf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12" applyFill="1"/>
    <xf numFmtId="0" fontId="10" fillId="0" borderId="0" xfId="5" applyFill="1"/>
    <xf numFmtId="0" fontId="8" fillId="0" borderId="0" xfId="6" applyFill="1" applyBorder="1"/>
    <xf numFmtId="0" fontId="9" fillId="0" borderId="0" xfId="7" applyFill="1" applyBorder="1"/>
    <xf numFmtId="167" fontId="1" fillId="0" borderId="0" xfId="3" applyFont="1" applyFill="1"/>
    <xf numFmtId="22" fontId="1" fillId="7" borderId="10" xfId="21" applyNumberFormat="1">
      <alignment vertical="center"/>
    </xf>
    <xf numFmtId="0" fontId="2" fillId="3" borderId="8" xfId="11" applyFont="1"/>
    <xf numFmtId="0" fontId="16" fillId="8" borderId="9" xfId="20" applyFont="1" applyFill="1" applyAlignment="1">
      <alignment horizontal="center" vertical="center"/>
    </xf>
    <xf numFmtId="0" fontId="1" fillId="7" borderId="10" xfId="21">
      <alignment vertical="center"/>
    </xf>
    <xf numFmtId="0" fontId="17" fillId="3" borderId="8" xfId="11" applyFont="1" applyAlignment="1">
      <alignment horizontal="center" vertical="center" wrapText="1" readingOrder="1"/>
    </xf>
    <xf numFmtId="0" fontId="17" fillId="3" borderId="8" xfId="11" applyFont="1" applyAlignment="1">
      <alignment horizontal="left" vertical="center" wrapText="1" readingOrder="1"/>
    </xf>
    <xf numFmtId="0" fontId="18" fillId="2" borderId="8" xfId="10" applyFont="1" applyAlignment="1">
      <alignment horizontal="center" vertical="center" wrapText="1" readingOrder="1"/>
    </xf>
    <xf numFmtId="167" fontId="13" fillId="6" borderId="9" xfId="3" applyFont="1" applyFill="1" applyBorder="1" applyAlignment="1">
      <alignment horizontal="center" vertical="center"/>
    </xf>
    <xf numFmtId="167" fontId="16" fillId="8" borderId="9" xfId="3" applyFont="1" applyFill="1" applyBorder="1" applyAlignment="1">
      <alignment horizontal="center" vertical="center"/>
    </xf>
    <xf numFmtId="168" fontId="1" fillId="0" borderId="0" xfId="3" applyNumberFormat="1" applyFont="1" applyFill="1"/>
    <xf numFmtId="168" fontId="13" fillId="6" borderId="9" xfId="3" applyNumberFormat="1" applyFont="1" applyFill="1" applyBorder="1" applyAlignment="1">
      <alignment horizontal="center" vertical="center"/>
    </xf>
    <xf numFmtId="168" fontId="16" fillId="8" borderId="9" xfId="3" applyNumberFormat="1" applyFont="1" applyFill="1" applyBorder="1" applyAlignment="1">
      <alignment horizontal="center" vertical="center"/>
    </xf>
    <xf numFmtId="168" fontId="2" fillId="3" borderId="8" xfId="3" applyNumberFormat="1" applyFont="1" applyFill="1" applyBorder="1"/>
    <xf numFmtId="167" fontId="1" fillId="2" borderId="8" xfId="3" applyFont="1" applyFill="1" applyBorder="1"/>
    <xf numFmtId="1" fontId="1" fillId="0" borderId="0" xfId="12" applyNumberFormat="1" applyFill="1"/>
    <xf numFmtId="1" fontId="13" fillId="6" borderId="9" xfId="20" applyNumberFormat="1" applyAlignment="1">
      <alignment horizontal="center" vertical="center"/>
    </xf>
    <xf numFmtId="1" fontId="16" fillId="8" borderId="9" xfId="20" applyNumberFormat="1" applyFont="1" applyFill="1" applyAlignment="1">
      <alignment horizontal="center" vertical="center"/>
    </xf>
    <xf numFmtId="1" fontId="2" fillId="3" borderId="8" xfId="11" applyNumberFormat="1" applyFont="1"/>
    <xf numFmtId="168" fontId="18" fillId="2" borderId="8" xfId="3" applyNumberFormat="1" applyFont="1" applyFill="1" applyBorder="1" applyAlignment="1">
      <alignment horizontal="center" vertical="center" wrapText="1" readingOrder="1"/>
    </xf>
    <xf numFmtId="1" fontId="10" fillId="0" borderId="0" xfId="5" applyNumberFormat="1" applyFill="1"/>
    <xf numFmtId="1" fontId="8" fillId="0" borderId="0" xfId="6" applyNumberFormat="1" applyFill="1" applyBorder="1"/>
    <xf numFmtId="1" fontId="9" fillId="0" borderId="0" xfId="7" applyNumberFormat="1" applyFill="1" applyBorder="1"/>
    <xf numFmtId="1" fontId="1" fillId="7" borderId="10" xfId="21" applyNumberFormat="1">
      <alignment vertical="center"/>
    </xf>
    <xf numFmtId="0" fontId="15" fillId="7" borderId="10" xfId="21" applyFont="1">
      <alignment vertical="center"/>
    </xf>
    <xf numFmtId="168" fontId="14" fillId="3" borderId="8" xfId="13" applyNumberFormat="1">
      <alignment vertical="center"/>
    </xf>
    <xf numFmtId="0" fontId="13" fillId="6" borderId="9" xfId="20" applyAlignment="1">
      <alignment horizontal="center" vertical="center"/>
    </xf>
    <xf numFmtId="0" fontId="13" fillId="6" borderId="9" xfId="20" applyAlignment="1">
      <alignment horizontal="center" vertical="center"/>
    </xf>
    <xf numFmtId="1" fontId="13" fillId="6" borderId="11" xfId="20" applyNumberFormat="1" applyBorder="1" applyAlignment="1">
      <alignment horizontal="center" vertical="center"/>
    </xf>
    <xf numFmtId="1" fontId="13" fillId="6" borderId="12" xfId="20" applyNumberFormat="1" applyBorder="1" applyAlignment="1">
      <alignment horizontal="center" vertical="center"/>
    </xf>
    <xf numFmtId="0" fontId="13" fillId="6" borderId="11" xfId="20" applyBorder="1" applyAlignment="1">
      <alignment horizontal="center" vertical="center"/>
    </xf>
    <xf numFmtId="0" fontId="13" fillId="6" borderId="12" xfId="20" applyBorder="1" applyAlignment="1">
      <alignment horizontal="center" vertical="center"/>
    </xf>
    <xf numFmtId="9" fontId="2" fillId="3" borderId="8" xfId="22" applyFont="1" applyFill="1" applyBorder="1"/>
    <xf numFmtId="43" fontId="1" fillId="0" borderId="0" xfId="12" applyNumberFormat="1" applyFill="1"/>
  </cellXfs>
  <cellStyles count="23">
    <cellStyle name="Background" xfId="12" xr:uid="{00000000-0005-0000-0000-000000000000}"/>
    <cellStyle name="Calculation" xfId="11" builtinId="22" customBuiltin="1"/>
    <cellStyle name="Check Cell" xfId="15" builtinId="23" hidde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Explanatory Text" xfId="18" builtinId="53" hidde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0" builtinId="20" customBuiltin="1"/>
    <cellStyle name="Linked Cell" xfId="14" builtinId="24" hidden="1"/>
    <cellStyle name="Normal" xfId="0" builtinId="0" customBuiltin="1"/>
    <cellStyle name="Note" xfId="17" builtinId="10" hidden="1"/>
    <cellStyle name="Output" xfId="13" builtinId="21" customBuiltin="1"/>
    <cellStyle name="Percent" xfId="22" builtinId="5"/>
    <cellStyle name="Row header" xfId="21" xr:uid="{00000000-0005-0000-0000-000011000000}"/>
    <cellStyle name="Table header" xfId="20" xr:uid="{00000000-0005-0000-0000-000012000000}"/>
    <cellStyle name="Title" xfId="5" builtinId="15" customBuiltin="1"/>
    <cellStyle name="Total" xfId="19" builtinId="25" hidden="1"/>
    <cellStyle name="Warning Text" xfId="16" builtinId="11" hidden="1"/>
  </cellStyles>
  <dxfs count="10">
    <dxf>
      <font>
        <b/>
        <i val="0"/>
      </font>
      <fill>
        <patternFill>
          <bgColor rgb="FFE5E5E6"/>
        </patternFill>
      </fill>
      <border>
        <bottom style="thick">
          <color rgb="FFF48024"/>
        </bottom>
        <vertical style="medium">
          <color theme="0"/>
        </vertical>
      </border>
    </dxf>
    <dxf>
      <font>
        <color auto="1"/>
      </font>
      <fill>
        <patternFill>
          <bgColor theme="0"/>
        </patternFill>
      </fill>
      <border>
        <bottom style="medium">
          <color rgb="FF9D9EA0"/>
        </bottom>
        <vertical style="medium">
          <color rgb="FF9D9EA0"/>
        </vertical>
        <horizontal style="medium">
          <color rgb="FF9D9EA0"/>
        </horizontal>
      </border>
    </dxf>
    <dxf>
      <fill>
        <patternFill>
          <bgColor theme="0"/>
        </patternFill>
      </fill>
    </dxf>
    <dxf>
      <fill>
        <patternFill>
          <bgColor rgb="FFE5E5E6"/>
        </patternFill>
      </fill>
    </dxf>
    <dxf>
      <font>
        <b/>
        <i val="0"/>
        <strike val="0"/>
        <color auto="1"/>
      </font>
      <fill>
        <patternFill>
          <bgColor theme="0"/>
        </patternFill>
      </fill>
      <border>
        <left/>
        <right/>
        <top style="thick">
          <color rgb="FFF48024"/>
        </top>
        <vertical/>
      </border>
    </dxf>
    <dxf>
      <font>
        <color auto="1"/>
      </font>
      <border>
        <vertical style="thin">
          <color theme="1"/>
        </vertical>
      </border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ont>
        <b/>
        <i val="0"/>
      </font>
      <fill>
        <patternFill>
          <bgColor theme="0"/>
        </patternFill>
      </fill>
      <border>
        <top style="thick">
          <color rgb="FFF48024"/>
        </top>
        <bottom/>
        <vertical/>
        <horizontal/>
      </border>
    </dxf>
    <dxf>
      <font>
        <color auto="1"/>
      </font>
      <border>
        <vertical style="medium">
          <color theme="0"/>
        </vertical>
        <horizontal style="medium">
          <color theme="0"/>
        </horizontal>
      </border>
    </dxf>
  </dxfs>
  <tableStyles count="3" defaultTableStyle="TableStyleMedium9" defaultPivotStyle="PivotStyleLight16">
    <tableStyle name="EPL Plain Table" pivot="0" count="4" xr9:uid="{00000000-0011-0000-FFFF-FFFF00000000}">
      <tableStyleElement type="wholeTable" dxfId="9"/>
      <tableStyleElement type="headerRow" dxfId="8"/>
      <tableStyleElement type="firstRowStripe" dxfId="7"/>
      <tableStyleElement type="secondRowStripe" dxfId="6"/>
    </tableStyle>
    <tableStyle name="EPL Standard Table" pivot="0" count="4" xr9:uid="{00000000-0011-0000-FFFF-FFFF01000000}">
      <tableStyleElement type="wholeTable" dxfId="5"/>
      <tableStyleElement type="headerRow" dxfId="4"/>
      <tableStyleElement type="firstRowStripe" dxfId="3"/>
      <tableStyleElement type="secondRowStripe" dxfId="2"/>
    </tableStyle>
    <tableStyle name="EPL Tender Table" pivot="0" count="2" xr9:uid="{00000000-0011-0000-FFFF-FFFF02000000}">
      <tableStyleElement type="wholeTable" dxfId="1"/>
      <tableStyleElement type="headerRow" dxfId="0"/>
    </tableStyle>
  </tableStyles>
  <colors>
    <mruColors>
      <color rgb="FF5E5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Energetics Charts">
  <a:themeElements>
    <a:clrScheme name="Custom 1">
      <a:dk1>
        <a:srgbClr val="5E5F61"/>
      </a:dk1>
      <a:lt1>
        <a:srgbClr val="FFFFFF"/>
      </a:lt1>
      <a:dk2>
        <a:srgbClr val="5E5F61"/>
      </a:dk2>
      <a:lt2>
        <a:srgbClr val="FFFFFF"/>
      </a:lt2>
      <a:accent1>
        <a:srgbClr val="002060"/>
      </a:accent1>
      <a:accent2>
        <a:srgbClr val="5E5F61"/>
      </a:accent2>
      <a:accent3>
        <a:srgbClr val="1CA6DF"/>
      </a:accent3>
      <a:accent4>
        <a:srgbClr val="C3271B"/>
      </a:accent4>
      <a:accent5>
        <a:srgbClr val="FDBA12"/>
      </a:accent5>
      <a:accent6>
        <a:srgbClr val="006662"/>
      </a:accent6>
      <a:hlink>
        <a:srgbClr val="F48024"/>
      </a:hlink>
      <a:folHlink>
        <a:srgbClr val="F48024"/>
      </a:folHlink>
    </a:clrScheme>
    <a:fontScheme name="Energetics">
      <a:majorFont>
        <a:latin typeface="Aria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nergetic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7500"/>
                <a:satMod val="137000"/>
              </a:schemeClr>
            </a:gs>
            <a:gs pos="55000">
              <a:schemeClr val="phClr">
                <a:shade val="69000"/>
                <a:satMod val="137000"/>
              </a:schemeClr>
            </a:gs>
            <a:gs pos="100000">
              <a:schemeClr val="phClr">
                <a:shade val="98000"/>
                <a:satMod val="137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6350" cap="flat" cmpd="sng" algn="ctr">
          <a:solidFill>
            <a:schemeClr val="phClr"/>
          </a:solidFill>
          <a:prstDash val="solid"/>
        </a:ln>
        <a:ln w="63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5000" dist="25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800000"/>
            </a:lightRig>
          </a:scene3d>
          <a:sp3d prstMaterial="matte">
            <a:bevelT h="20000"/>
          </a:sp3d>
        </a:effectStyle>
      </a:effectStyleLst>
      <a:bgFillStyleLst>
        <a:solidFill>
          <a:schemeClr val="lt1"/>
        </a:solidFill>
        <a:gradFill rotWithShape="1">
          <a:gsLst>
            <a:gs pos="0">
              <a:schemeClr val="phClr">
                <a:tint val="48000"/>
                <a:satMod val="300000"/>
              </a:schemeClr>
            </a:gs>
            <a:gs pos="12000">
              <a:schemeClr val="phClr">
                <a:tint val="48000"/>
                <a:satMod val="300000"/>
              </a:schemeClr>
            </a:gs>
            <a:gs pos="20000">
              <a:schemeClr val="phClr">
                <a:tint val="49000"/>
                <a:satMod val="300000"/>
              </a:schemeClr>
            </a:gs>
            <a:gs pos="100000">
              <a:schemeClr val="phClr">
                <a:tint val="48000"/>
                <a:shade val="70000"/>
                <a:satMod val="300000"/>
              </a:schemeClr>
            </a:gs>
          </a:gsLst>
          <a:lin ang="5400000" scaled="0"/>
        </a:gradFill>
        <a:gradFill rotWithShape="1">
          <a:gsLst>
            <a:gs pos="0">
              <a:schemeClr val="phClr"/>
            </a:gs>
            <a:gs pos="100000">
              <a:schemeClr val="phClr">
                <a:shade val="50000"/>
                <a:satMod val="20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6C77-EAE3-47A7-BCF4-727F9B7E56CC}">
  <sheetPr>
    <tabColor theme="4"/>
  </sheetPr>
  <dimension ref="B2:R58"/>
  <sheetViews>
    <sheetView showGridLines="0" zoomScaleNormal="100" workbookViewId="0">
      <selection activeCell="B3" sqref="B3"/>
    </sheetView>
  </sheetViews>
  <sheetFormatPr defaultColWidth="9.08984375" defaultRowHeight="12.5" x14ac:dyDescent="0.25"/>
  <cols>
    <col min="1" max="1" width="3.36328125" style="1" customWidth="1"/>
    <col min="2" max="2" width="16.36328125" style="1" bestFit="1" customWidth="1"/>
    <col min="3" max="4" width="16.36328125" style="20" customWidth="1"/>
    <col min="5" max="5" width="17.08984375" style="5" customWidth="1"/>
    <col min="6" max="7" width="17.08984375" style="20" customWidth="1"/>
    <col min="8" max="8" width="17.08984375" style="15" customWidth="1"/>
    <col min="9" max="10" width="17.08984375" style="20" customWidth="1"/>
    <col min="11" max="13" width="17.08984375" style="1" customWidth="1"/>
    <col min="14" max="14" width="11.6328125" style="1" bestFit="1" customWidth="1"/>
    <col min="15" max="15" width="22.453125" style="1" customWidth="1"/>
    <col min="16" max="17" width="15.1796875" style="1" customWidth="1"/>
    <col min="18" max="18" width="51.1796875" style="1" customWidth="1"/>
    <col min="19" max="22" width="11.6328125" style="1" bestFit="1" customWidth="1"/>
    <col min="23" max="52" width="12" style="1" bestFit="1" customWidth="1"/>
    <col min="53" max="16384" width="9.08984375" style="1"/>
  </cols>
  <sheetData>
    <row r="2" spans="2:18" ht="23" x14ac:dyDescent="0.5">
      <c r="B2" s="2" t="s">
        <v>43</v>
      </c>
      <c r="C2" s="25"/>
      <c r="D2" s="25"/>
      <c r="I2" s="15"/>
      <c r="J2" s="15"/>
    </row>
    <row r="3" spans="2:18" ht="19" x14ac:dyDescent="0.4">
      <c r="B3" s="3" t="s">
        <v>52</v>
      </c>
      <c r="C3" s="26"/>
      <c r="D3" s="26"/>
    </row>
    <row r="6" spans="2:18" ht="16.5" x14ac:dyDescent="0.35">
      <c r="B6" s="4" t="s">
        <v>35</v>
      </c>
      <c r="C6" s="27"/>
      <c r="D6" s="27"/>
      <c r="O6" s="4" t="s">
        <v>36</v>
      </c>
    </row>
    <row r="7" spans="2:18" ht="13.75" customHeight="1" x14ac:dyDescent="0.25">
      <c r="B7" s="35" t="s">
        <v>4</v>
      </c>
      <c r="C7" s="33" t="s">
        <v>44</v>
      </c>
      <c r="D7" s="33" t="s">
        <v>1</v>
      </c>
      <c r="E7" s="13" t="s">
        <v>5</v>
      </c>
      <c r="F7" s="21" t="s">
        <v>46</v>
      </c>
      <c r="G7" s="21" t="s">
        <v>47</v>
      </c>
      <c r="H7" s="16" t="s">
        <v>10</v>
      </c>
      <c r="I7" s="21" t="s">
        <v>33</v>
      </c>
      <c r="J7" s="21" t="s">
        <v>34</v>
      </c>
      <c r="K7" s="31" t="s">
        <v>48</v>
      </c>
      <c r="L7" s="31" t="s">
        <v>49</v>
      </c>
      <c r="M7" s="31" t="s">
        <v>50</v>
      </c>
      <c r="O7" s="32" t="s">
        <v>13</v>
      </c>
      <c r="P7" s="32" t="s">
        <v>14</v>
      </c>
      <c r="Q7" s="32" t="s">
        <v>15</v>
      </c>
      <c r="R7" s="32" t="s">
        <v>0</v>
      </c>
    </row>
    <row r="8" spans="2:18" x14ac:dyDescent="0.25">
      <c r="B8" s="36"/>
      <c r="C8" s="34"/>
      <c r="D8" s="34"/>
      <c r="E8" s="14" t="s">
        <v>6</v>
      </c>
      <c r="F8" s="22" t="s">
        <v>7</v>
      </c>
      <c r="G8" s="22" t="s">
        <v>9</v>
      </c>
      <c r="H8" s="17" t="s">
        <v>11</v>
      </c>
      <c r="I8" s="22" t="s">
        <v>9</v>
      </c>
      <c r="J8" s="22" t="s">
        <v>9</v>
      </c>
      <c r="K8" s="8"/>
      <c r="L8" s="8" t="s">
        <v>51</v>
      </c>
      <c r="M8" s="8" t="s">
        <v>51</v>
      </c>
      <c r="O8" s="32"/>
      <c r="P8" s="32"/>
      <c r="Q8" s="32"/>
      <c r="R8" s="32"/>
    </row>
    <row r="9" spans="2:18" ht="13.25" customHeight="1" x14ac:dyDescent="0.25">
      <c r="B9" s="6">
        <v>44029.020833333336</v>
      </c>
      <c r="C9" s="28">
        <v>1</v>
      </c>
      <c r="D9" s="28">
        <v>2020</v>
      </c>
      <c r="E9" s="19">
        <v>75.510000000000005</v>
      </c>
      <c r="F9" s="23">
        <f>IF(L9&gt;0,-MIN(battery_power*L9,(battery_capacity-I9)/(charge_efficiency/100)*2),IF(M9&gt;0,MIN(battery_power*M9,I9/(discharge_efficiency/100)*2),0))</f>
        <v>0</v>
      </c>
      <c r="G9" s="23">
        <f>F9/2*IF(F9&lt;0,1,discharge_efficiency/100)</f>
        <v>0</v>
      </c>
      <c r="H9" s="18">
        <f>G9*E9*IF(G9&lt;0,1/mlf,mlf)</f>
        <v>0</v>
      </c>
      <c r="I9" s="23">
        <v>0</v>
      </c>
      <c r="J9" s="23">
        <f>MAX(0,MIN(I9-G9*IF(G9&lt;0,charge_efficiency/100,100/discharge_efficiency),battery_capacity))</f>
        <v>0</v>
      </c>
      <c r="K9" s="7"/>
      <c r="L9" s="37"/>
      <c r="M9" s="37"/>
      <c r="O9" s="9" t="s">
        <v>2</v>
      </c>
      <c r="P9" s="10" t="s">
        <v>16</v>
      </c>
      <c r="Q9" s="12" t="s">
        <v>17</v>
      </c>
      <c r="R9" s="11" t="s">
        <v>18</v>
      </c>
    </row>
    <row r="10" spans="2:18" ht="13.25" customHeight="1" x14ac:dyDescent="0.25">
      <c r="B10" s="6">
        <v>44029.041666666664</v>
      </c>
      <c r="C10" s="28">
        <v>2</v>
      </c>
      <c r="D10" s="28">
        <v>2020</v>
      </c>
      <c r="E10" s="19">
        <v>73.98</v>
      </c>
      <c r="F10" s="23">
        <f>IF(L10&gt;0,-MIN(battery_power*L10,(battery_capacity-I10)/(charge_efficiency/100)*2),IF(M10&gt;0,MIN(battery_power*M10,I10/(discharge_efficiency/100)*2),0))</f>
        <v>0</v>
      </c>
      <c r="G10" s="23">
        <f>F10/2*IF(F10&lt;0,1,discharge_efficiency/100)</f>
        <v>0</v>
      </c>
      <c r="H10" s="18">
        <f>G10*E10*IF(G10&lt;0,1/mlf,mlf)</f>
        <v>0</v>
      </c>
      <c r="I10" s="23">
        <f t="shared" ref="I10" si="0">J9</f>
        <v>0</v>
      </c>
      <c r="J10" s="23">
        <f>MAX(0,MIN(I10-G10*IF(G10&lt;0,charge_efficiency/100,100/discharge_efficiency),battery_capacity))</f>
        <v>0</v>
      </c>
      <c r="K10" s="7"/>
      <c r="L10" s="37"/>
      <c r="M10" s="37"/>
      <c r="O10" s="9" t="s">
        <v>8</v>
      </c>
      <c r="P10" s="10" t="s">
        <v>7</v>
      </c>
      <c r="Q10" s="12">
        <v>300</v>
      </c>
      <c r="R10" s="11" t="s">
        <v>19</v>
      </c>
    </row>
    <row r="11" spans="2:18" ht="13.25" customHeight="1" x14ac:dyDescent="0.25">
      <c r="B11" s="6">
        <v>44029.0625</v>
      </c>
      <c r="C11" s="28">
        <v>3</v>
      </c>
      <c r="D11" s="28">
        <v>2020</v>
      </c>
      <c r="E11" s="19">
        <v>75.569999999999993</v>
      </c>
      <c r="F11" s="23">
        <f>IF(L11&gt;0,-MIN(battery_power*L11,(battery_capacity-I11)/(charge_efficiency/100)*2),IF(M11&gt;0,MIN(battery_power*M11,I11/(discharge_efficiency/100)*2),0))</f>
        <v>0</v>
      </c>
      <c r="G11" s="23">
        <f>F11/2*IF(F11&lt;0,1,discharge_efficiency/100)</f>
        <v>0</v>
      </c>
      <c r="H11" s="18">
        <f>G11*E11*IF(G11&lt;0,1/mlf,mlf)</f>
        <v>0</v>
      </c>
      <c r="I11" s="23">
        <f>J10</f>
        <v>0</v>
      </c>
      <c r="J11" s="23">
        <f>MAX(0,MIN(I11-G11*IF(G11&lt;0,charge_efficiency/100,100/discharge_efficiency),battery_capacity))</f>
        <v>0</v>
      </c>
      <c r="K11" s="7"/>
      <c r="L11" s="37"/>
      <c r="M11" s="37"/>
      <c r="O11" s="9" t="s">
        <v>12</v>
      </c>
      <c r="P11" s="10" t="s">
        <v>9</v>
      </c>
      <c r="Q11" s="12">
        <v>580</v>
      </c>
      <c r="R11" s="11" t="s">
        <v>20</v>
      </c>
    </row>
    <row r="12" spans="2:18" ht="13.25" customHeight="1" x14ac:dyDescent="0.25">
      <c r="B12" s="6">
        <v>44029.083333333336</v>
      </c>
      <c r="C12" s="28">
        <v>4</v>
      </c>
      <c r="D12" s="28">
        <v>2020</v>
      </c>
      <c r="E12" s="19">
        <v>71.94</v>
      </c>
      <c r="F12" s="23">
        <f>IF(L12&gt;0,-MIN(battery_power*L12,(battery_capacity-I12)/(charge_efficiency/100)*2),IF(M12&gt;0,MIN(battery_power*M12,I12/(discharge_efficiency/100)*2),0))</f>
        <v>0</v>
      </c>
      <c r="G12" s="23">
        <f>F12/2*IF(F12&lt;0,1,discharge_efficiency/100)</f>
        <v>0</v>
      </c>
      <c r="H12" s="18">
        <f>G12*E12*IF(G12&lt;0,1/mlf,mlf)</f>
        <v>0</v>
      </c>
      <c r="I12" s="23">
        <f>J11</f>
        <v>0</v>
      </c>
      <c r="J12" s="23">
        <f>MAX(0,MIN(I12-G12*IF(G12&lt;0,charge_efficiency/100,100/discharge_efficiency),battery_capacity))</f>
        <v>0</v>
      </c>
      <c r="K12" s="7"/>
      <c r="L12" s="37"/>
      <c r="M12" s="37"/>
      <c r="O12" s="9" t="s">
        <v>21</v>
      </c>
      <c r="P12" s="10" t="s">
        <v>22</v>
      </c>
      <c r="Q12" s="12">
        <v>90</v>
      </c>
      <c r="R12" s="11" t="s">
        <v>23</v>
      </c>
    </row>
    <row r="13" spans="2:18" ht="13.25" customHeight="1" x14ac:dyDescent="0.25">
      <c r="B13" s="6">
        <v>44029.104166666664</v>
      </c>
      <c r="C13" s="28">
        <v>5</v>
      </c>
      <c r="D13" s="28">
        <v>2020</v>
      </c>
      <c r="E13" s="19">
        <v>74.099999999999994</v>
      </c>
      <c r="F13" s="23">
        <f>IF(L13&gt;0,-MIN(battery_power*L13,(battery_capacity-I13)/(charge_efficiency/100)*2),IF(M13&gt;0,MIN(battery_power*M13,I13/(discharge_efficiency/100)*2),0))</f>
        <v>0</v>
      </c>
      <c r="G13" s="23">
        <f>F13/2*IF(F13&lt;0,1,discharge_efficiency/100)</f>
        <v>0</v>
      </c>
      <c r="H13" s="18">
        <f>G13*E13*IF(G13&lt;0,1/mlf,mlf)</f>
        <v>0</v>
      </c>
      <c r="I13" s="23">
        <f>J12</f>
        <v>0</v>
      </c>
      <c r="J13" s="23">
        <f>MAX(0,MIN(I13-G13*IF(G13&lt;0,charge_efficiency/100,100/discharge_efficiency),battery_capacity))</f>
        <v>0</v>
      </c>
      <c r="K13" s="7"/>
      <c r="L13" s="37"/>
      <c r="M13" s="37"/>
      <c r="O13" s="9" t="s">
        <v>24</v>
      </c>
      <c r="P13" s="10" t="s">
        <v>22</v>
      </c>
      <c r="Q13" s="12">
        <v>90</v>
      </c>
      <c r="R13" s="11" t="s">
        <v>25</v>
      </c>
    </row>
    <row r="14" spans="2:18" ht="13.25" customHeight="1" x14ac:dyDescent="0.25">
      <c r="B14" s="6">
        <v>44029.125</v>
      </c>
      <c r="C14" s="28">
        <v>6</v>
      </c>
      <c r="D14" s="28">
        <v>2020</v>
      </c>
      <c r="E14" s="19">
        <v>67.36</v>
      </c>
      <c r="F14" s="23">
        <f>IF(L14&gt;0,-MIN(battery_power*L14,(battery_capacity-I14)/(charge_efficiency/100)*2),IF(M14&gt;0,MIN(battery_power*M14,I14/(discharge_efficiency/100)*2),0))</f>
        <v>0</v>
      </c>
      <c r="G14" s="23">
        <f>F14/2*IF(F14&lt;0,1,discharge_efficiency/100)</f>
        <v>0</v>
      </c>
      <c r="H14" s="18">
        <f>G14*E14*IF(G14&lt;0,1/mlf,mlf)</f>
        <v>0</v>
      </c>
      <c r="I14" s="23">
        <f>J13</f>
        <v>0</v>
      </c>
      <c r="J14" s="23">
        <f>MAX(0,MIN(I14-G14*IF(G14&lt;0,charge_efficiency/100,100/discharge_efficiency),battery_capacity))</f>
        <v>0</v>
      </c>
      <c r="K14" s="7"/>
      <c r="L14" s="37"/>
      <c r="M14" s="37"/>
      <c r="O14" s="9" t="s">
        <v>26</v>
      </c>
      <c r="P14" s="10" t="s">
        <v>27</v>
      </c>
      <c r="Q14" s="12">
        <v>0.99099999999999999</v>
      </c>
      <c r="R14" s="11" t="s">
        <v>45</v>
      </c>
    </row>
    <row r="15" spans="2:18" ht="13.25" customHeight="1" x14ac:dyDescent="0.25">
      <c r="B15" s="6">
        <v>44029.145833333336</v>
      </c>
      <c r="C15" s="28">
        <v>7</v>
      </c>
      <c r="D15" s="28">
        <v>2020</v>
      </c>
      <c r="E15" s="19">
        <v>58.04</v>
      </c>
      <c r="F15" s="23">
        <f>IF(L15&gt;0,-MIN(battery_power*L15,(battery_capacity-I15)/(charge_efficiency/100)*2),IF(M15&gt;0,MIN(battery_power*M15,I15/(discharge_efficiency/100)*2),0))</f>
        <v>-300</v>
      </c>
      <c r="G15" s="23">
        <f>F15/2*IF(F15&lt;0,1,discharge_efficiency/100)</f>
        <v>-150</v>
      </c>
      <c r="H15" s="18">
        <f>G15*E15*IF(G15&lt;0,1/mlf,mlf)</f>
        <v>-8785.0655903128154</v>
      </c>
      <c r="I15" s="23">
        <f>J14</f>
        <v>0</v>
      </c>
      <c r="J15" s="23">
        <f>MAX(0,MIN(I15-G15*IF(G15&lt;0,charge_efficiency/100,100/discharge_efficiency),battery_capacity))</f>
        <v>135</v>
      </c>
      <c r="K15" s="7"/>
      <c r="L15" s="37">
        <v>1</v>
      </c>
      <c r="M15" s="37"/>
      <c r="O15" s="9" t="s">
        <v>28</v>
      </c>
      <c r="P15" s="10" t="s">
        <v>29</v>
      </c>
      <c r="Q15" s="12">
        <v>8.1</v>
      </c>
      <c r="R15" s="11" t="s">
        <v>30</v>
      </c>
    </row>
    <row r="16" spans="2:18" ht="13.25" customHeight="1" x14ac:dyDescent="0.25">
      <c r="B16" s="6">
        <v>44029.166666666664</v>
      </c>
      <c r="C16" s="28">
        <v>8</v>
      </c>
      <c r="D16" s="28">
        <v>2020</v>
      </c>
      <c r="E16" s="19">
        <v>51.85</v>
      </c>
      <c r="F16" s="23">
        <f>IF(L16&gt;0,-MIN(battery_power*L16,(battery_capacity-I16)/(charge_efficiency/100)*2),IF(M16&gt;0,MIN(battery_power*M16,I16/(discharge_efficiency/100)*2),0))</f>
        <v>-297</v>
      </c>
      <c r="G16" s="23">
        <f>F16/2*IF(F16&lt;0,1,discharge_efficiency/100)</f>
        <v>-148.5</v>
      </c>
      <c r="H16" s="18">
        <f>G16*E16*IF(G16&lt;0,1/mlf,mlf)</f>
        <v>-7769.6518668012113</v>
      </c>
      <c r="I16" s="23">
        <f>J15</f>
        <v>135</v>
      </c>
      <c r="J16" s="23">
        <f>MAX(0,MIN(I16-G16*IF(G16&lt;0,charge_efficiency/100,100/discharge_efficiency),battery_capacity))</f>
        <v>268.64999999999998</v>
      </c>
      <c r="K16" s="7"/>
      <c r="L16" s="37">
        <v>0.99</v>
      </c>
      <c r="M16" s="37"/>
      <c r="O16" s="9" t="s">
        <v>31</v>
      </c>
      <c r="P16" s="10" t="s">
        <v>6</v>
      </c>
      <c r="Q16" s="12">
        <v>0</v>
      </c>
      <c r="R16" s="11" t="s">
        <v>32</v>
      </c>
    </row>
    <row r="17" spans="2:18" ht="13.25" customHeight="1" x14ac:dyDescent="0.25">
      <c r="B17" s="6">
        <v>44029.1875</v>
      </c>
      <c r="C17" s="28">
        <v>9</v>
      </c>
      <c r="D17" s="28">
        <v>2020</v>
      </c>
      <c r="E17" s="19">
        <v>74.53</v>
      </c>
      <c r="F17" s="23">
        <f>IF(L17&gt;0,-MIN(battery_power*L17,(battery_capacity-I17)/(charge_efficiency/100)*2),IF(M17&gt;0,MIN(battery_power*M17,I17/(discharge_efficiency/100)*2),0))</f>
        <v>0</v>
      </c>
      <c r="G17" s="23">
        <f>F17/2*IF(F17&lt;0,1,discharge_efficiency/100)</f>
        <v>0</v>
      </c>
      <c r="H17" s="18">
        <f>G17*E17*IF(G17&lt;0,1/mlf,mlf)</f>
        <v>0</v>
      </c>
      <c r="I17" s="23">
        <f>J16</f>
        <v>268.64999999999998</v>
      </c>
      <c r="J17" s="23">
        <f>MAX(0,MIN(I17-G17*IF(G17&lt;0,charge_efficiency/100,100/discharge_efficiency),battery_capacity))</f>
        <v>268.64999999999998</v>
      </c>
      <c r="K17" s="7"/>
      <c r="L17" s="37"/>
      <c r="M17" s="37"/>
    </row>
    <row r="18" spans="2:18" ht="13.25" customHeight="1" x14ac:dyDescent="0.25">
      <c r="B18" s="6">
        <v>44029.208333333336</v>
      </c>
      <c r="C18" s="28">
        <v>10</v>
      </c>
      <c r="D18" s="28">
        <v>2020</v>
      </c>
      <c r="E18" s="19">
        <v>67.319999999999993</v>
      </c>
      <c r="F18" s="23">
        <f>IF(L18&gt;0,-MIN(battery_power*L18,(battery_capacity-I18)/(charge_efficiency/100)*2),IF(M18&gt;0,MIN(battery_power*M18,I18/(discharge_efficiency/100)*2),0))</f>
        <v>0</v>
      </c>
      <c r="G18" s="23">
        <f>F18/2*IF(F18&lt;0,1,discharge_efficiency/100)</f>
        <v>0</v>
      </c>
      <c r="H18" s="18">
        <f>G18*E18*IF(G18&lt;0,1/mlf,mlf)</f>
        <v>0</v>
      </c>
      <c r="I18" s="23">
        <f>J17</f>
        <v>268.64999999999998</v>
      </c>
      <c r="J18" s="23">
        <f>MAX(0,MIN(I18-G18*IF(G18&lt;0,charge_efficiency/100,100/discharge_efficiency),battery_capacity))</f>
        <v>268.64999999999998</v>
      </c>
      <c r="K18" s="7"/>
      <c r="L18" s="37"/>
      <c r="M18" s="37"/>
    </row>
    <row r="19" spans="2:18" ht="13.25" customHeight="1" x14ac:dyDescent="0.35">
      <c r="B19" s="6">
        <v>44029.229166666664</v>
      </c>
      <c r="C19" s="28">
        <v>11</v>
      </c>
      <c r="D19" s="28">
        <v>2020</v>
      </c>
      <c r="E19" s="19">
        <v>69.14</v>
      </c>
      <c r="F19" s="23">
        <f>IF(L19&gt;0,-MIN(battery_power*L19,(battery_capacity-I19)/(charge_efficiency/100)*2),IF(M19&gt;0,MIN(battery_power*M19,I19/(discharge_efficiency/100)*2),0))</f>
        <v>0</v>
      </c>
      <c r="G19" s="23">
        <f>F19/2*IF(F19&lt;0,1,discharge_efficiency/100)</f>
        <v>0</v>
      </c>
      <c r="H19" s="18">
        <f>G19*E19*IF(G19&lt;0,1/mlf,mlf)</f>
        <v>0</v>
      </c>
      <c r="I19" s="23">
        <f>J18</f>
        <v>268.64999999999998</v>
      </c>
      <c r="J19" s="23">
        <f>MAX(0,MIN(I19-G19*IF(G19&lt;0,charge_efficiency/100,100/discharge_efficiency),battery_capacity))</f>
        <v>268.64999999999998</v>
      </c>
      <c r="K19" s="7"/>
      <c r="L19" s="37"/>
      <c r="M19" s="37"/>
      <c r="O19" s="4" t="s">
        <v>37</v>
      </c>
    </row>
    <row r="20" spans="2:18" ht="12.5" customHeight="1" x14ac:dyDescent="0.25">
      <c r="B20" s="6">
        <v>44029.25</v>
      </c>
      <c r="C20" s="28">
        <v>12</v>
      </c>
      <c r="D20" s="28">
        <v>2020</v>
      </c>
      <c r="E20" s="19">
        <v>64.989999999999995</v>
      </c>
      <c r="F20" s="23">
        <f>IF(L20&gt;0,-MIN(battery_power*L20,(battery_capacity-I20)/(charge_efficiency/100)*2),IF(M20&gt;0,MIN(battery_power*M20,I20/(discharge_efficiency/100)*2),0))</f>
        <v>0</v>
      </c>
      <c r="G20" s="23">
        <f>F20/2*IF(F20&lt;0,1,discharge_efficiency/100)</f>
        <v>0</v>
      </c>
      <c r="H20" s="18">
        <f>G20*E20*IF(G20&lt;0,1/mlf,mlf)</f>
        <v>0</v>
      </c>
      <c r="I20" s="23">
        <f>J19</f>
        <v>268.64999999999998</v>
      </c>
      <c r="J20" s="23">
        <f>MAX(0,MIN(I20-G20*IF(G20&lt;0,charge_efficiency/100,100/discharge_efficiency),battery_capacity))</f>
        <v>268.64999999999998</v>
      </c>
      <c r="K20" s="7"/>
      <c r="L20" s="37"/>
      <c r="M20" s="37"/>
      <c r="O20" s="32" t="s">
        <v>1</v>
      </c>
      <c r="P20" s="21" t="s">
        <v>38</v>
      </c>
      <c r="Q20" s="21" t="s">
        <v>39</v>
      </c>
      <c r="R20" s="32" t="s">
        <v>0</v>
      </c>
    </row>
    <row r="21" spans="2:18" ht="12.5" customHeight="1" x14ac:dyDescent="0.25">
      <c r="B21" s="6">
        <v>44029.270833333336</v>
      </c>
      <c r="C21" s="28">
        <v>13</v>
      </c>
      <c r="D21" s="28">
        <v>2020</v>
      </c>
      <c r="E21" s="19">
        <v>65.349999999999994</v>
      </c>
      <c r="F21" s="23">
        <f>IF(L21&gt;0,-MIN(battery_power*L21,(battery_capacity-I21)/(charge_efficiency/100)*2),IF(M21&gt;0,MIN(battery_power*M21,I21/(discharge_efficiency/100)*2),0))</f>
        <v>0</v>
      </c>
      <c r="G21" s="23">
        <f>F21/2*IF(F21&lt;0,1,discharge_efficiency/100)</f>
        <v>0</v>
      </c>
      <c r="H21" s="18">
        <f>G21*E21*IF(G21&lt;0,1/mlf,mlf)</f>
        <v>0</v>
      </c>
      <c r="I21" s="23">
        <f>J20</f>
        <v>268.64999999999998</v>
      </c>
      <c r="J21" s="23">
        <f>MAX(0,MIN(I21-G21*IF(G21&lt;0,charge_efficiency/100,100/discharge_efficiency),battery_capacity))</f>
        <v>268.64999999999998</v>
      </c>
      <c r="K21" s="7"/>
      <c r="L21" s="37"/>
      <c r="M21" s="37"/>
      <c r="O21" s="32"/>
      <c r="P21" s="22" t="s">
        <v>11</v>
      </c>
      <c r="Q21" s="22" t="s">
        <v>11</v>
      </c>
      <c r="R21" s="32"/>
    </row>
    <row r="22" spans="2:18" x14ac:dyDescent="0.25">
      <c r="B22" s="6">
        <v>44029.291666666664</v>
      </c>
      <c r="C22" s="28">
        <v>14</v>
      </c>
      <c r="D22" s="28">
        <v>2020</v>
      </c>
      <c r="E22" s="19">
        <v>76.16</v>
      </c>
      <c r="F22" s="23">
        <f>IF(L22&gt;0,-MIN(battery_power*L22,(battery_capacity-I22)/(charge_efficiency/100)*2),IF(M22&gt;0,MIN(battery_power*M22,I22/(discharge_efficiency/100)*2),0))</f>
        <v>0</v>
      </c>
      <c r="G22" s="23">
        <f>F22/2*IF(F22&lt;0,1,discharge_efficiency/100)</f>
        <v>0</v>
      </c>
      <c r="H22" s="18">
        <f>G22*E22*IF(G22&lt;0,1/mlf,mlf)</f>
        <v>0</v>
      </c>
      <c r="I22" s="23">
        <f>J21</f>
        <v>268.64999999999998</v>
      </c>
      <c r="J22" s="23">
        <f>MAX(0,MIN(I22-G22*IF(G22&lt;0,charge_efficiency/100,100/discharge_efficiency),battery_capacity))</f>
        <v>268.64999999999998</v>
      </c>
      <c r="K22" s="7"/>
      <c r="L22" s="37"/>
      <c r="M22" s="37"/>
      <c r="O22" s="9">
        <v>2018</v>
      </c>
      <c r="P22" s="24">
        <f>SUMIFS($H$9:$H$55,$D$9:$D$55,$O22)</f>
        <v>0</v>
      </c>
      <c r="Q22" s="24">
        <f>fixed_om*battery_power*1000+SUMIFS($G$9:$G$55,$G$9:$G$55,"&gt;0",$D$9:$D$55,$O22)*variable_om</f>
        <v>2430000</v>
      </c>
      <c r="R22" s="11" t="s">
        <v>40</v>
      </c>
    </row>
    <row r="23" spans="2:18" x14ac:dyDescent="0.25">
      <c r="B23" s="6">
        <v>44029.3125</v>
      </c>
      <c r="C23" s="28">
        <v>15</v>
      </c>
      <c r="D23" s="28">
        <v>2020</v>
      </c>
      <c r="E23" s="19">
        <v>79.41</v>
      </c>
      <c r="F23" s="23">
        <f>IF(L23&gt;0,-MIN(battery_power*L23,(battery_capacity-I23)/(charge_efficiency/100)*2),IF(M23&gt;0,MIN(battery_power*M23,I23/(discharge_efficiency/100)*2),0))</f>
        <v>0</v>
      </c>
      <c r="G23" s="23">
        <f>F23/2*IF(F23&lt;0,1,discharge_efficiency/100)</f>
        <v>0</v>
      </c>
      <c r="H23" s="18">
        <f>G23*E23*IF(G23&lt;0,1/mlf,mlf)</f>
        <v>0</v>
      </c>
      <c r="I23" s="23">
        <f>J22</f>
        <v>268.64999999999998</v>
      </c>
      <c r="J23" s="23">
        <f>MAX(0,MIN(I23-G23*IF(G23&lt;0,charge_efficiency/100,100/discharge_efficiency),battery_capacity))</f>
        <v>268.64999999999998</v>
      </c>
      <c r="K23" s="7"/>
      <c r="L23" s="37"/>
      <c r="M23" s="37"/>
      <c r="O23" s="9">
        <v>2019</v>
      </c>
      <c r="P23" s="24">
        <f>SUMIFS($H$9:$H$55,$D$9:$D$55,$O23)</f>
        <v>0</v>
      </c>
      <c r="Q23" s="24">
        <f>fixed_om*battery_power*1000+SUMIFS($G$9:$G$55,$G$9:$G$55,"&gt;0",$D$9:$D$55,$O23)*variable_om</f>
        <v>2430000</v>
      </c>
      <c r="R23" s="11" t="s">
        <v>40</v>
      </c>
    </row>
    <row r="24" spans="2:18" x14ac:dyDescent="0.25">
      <c r="B24" s="6">
        <v>44029.333333333336</v>
      </c>
      <c r="C24" s="28">
        <v>16</v>
      </c>
      <c r="D24" s="28">
        <v>2020</v>
      </c>
      <c r="E24" s="19">
        <v>83.26</v>
      </c>
      <c r="F24" s="23">
        <f>IF(L24&gt;0,-MIN(battery_power*L24,(battery_capacity-I24)/(charge_efficiency/100)*2),IF(M24&gt;0,MIN(battery_power*M24,I24/(discharge_efficiency/100)*2),0))</f>
        <v>0</v>
      </c>
      <c r="G24" s="23">
        <f>F24/2*IF(F24&lt;0,1,discharge_efficiency/100)</f>
        <v>0</v>
      </c>
      <c r="H24" s="18">
        <f>G24*E24*IF(G24&lt;0,1/mlf,mlf)</f>
        <v>0</v>
      </c>
      <c r="I24" s="23">
        <f>J23</f>
        <v>268.64999999999998</v>
      </c>
      <c r="J24" s="23">
        <f>MAX(0,MIN(I24-G24*IF(G24&lt;0,charge_efficiency/100,100/discharge_efficiency),battery_capacity))</f>
        <v>268.64999999999998</v>
      </c>
      <c r="K24" s="7"/>
      <c r="L24" s="37"/>
      <c r="M24" s="37"/>
      <c r="O24" s="9">
        <v>2020</v>
      </c>
      <c r="P24" s="24">
        <f>SUMIFS($H$9:$H$55,$D$9:$D$55,$O24)</f>
        <v>44258.060684253025</v>
      </c>
      <c r="Q24" s="24">
        <f>fixed_om*battery_power*1000+SUMIFS($G$9:$G$55,$G$9:$G$55,"&gt;0",$D$9:$D$55,$O24)*variable_om</f>
        <v>2430000</v>
      </c>
      <c r="R24" s="11" t="s">
        <v>40</v>
      </c>
    </row>
    <row r="25" spans="2:18" x14ac:dyDescent="0.25">
      <c r="B25" s="6">
        <v>44029.354166666664</v>
      </c>
      <c r="C25" s="28">
        <v>17</v>
      </c>
      <c r="D25" s="28">
        <v>2020</v>
      </c>
      <c r="E25" s="19">
        <v>153.81</v>
      </c>
      <c r="F25" s="23">
        <f>IF(L25&gt;0,-MIN(battery_power*L25,(battery_capacity-I25)/(charge_efficiency/100)*2),IF(M25&gt;0,MIN(battery_power*M25,I25/(discharge_efficiency/100)*2),0))</f>
        <v>300</v>
      </c>
      <c r="G25" s="23">
        <f>F25/2*IF(F25&lt;0,1,discharge_efficiency/100)</f>
        <v>135</v>
      </c>
      <c r="H25" s="18">
        <f>G25*E25*IF(G25&lt;0,1/mlf,mlf)</f>
        <v>20577.470849999998</v>
      </c>
      <c r="I25" s="23">
        <f>J24</f>
        <v>268.64999999999998</v>
      </c>
      <c r="J25" s="23">
        <f>MAX(0,MIN(I25-G25*IF(G25&lt;0,charge_efficiency/100,100/discharge_efficiency),battery_capacity))</f>
        <v>118.64999999999998</v>
      </c>
      <c r="K25" s="7"/>
      <c r="L25" s="37"/>
      <c r="M25" s="37">
        <v>1</v>
      </c>
      <c r="O25" s="9">
        <v>2021</v>
      </c>
      <c r="P25" s="24">
        <f>SUMIFS($H$9:$H$55,$D$9:$D$55,$O25)</f>
        <v>0</v>
      </c>
      <c r="Q25" s="24">
        <f>fixed_om*battery_power*1000+SUMIFS($G$9:$G$55,$G$9:$G$55,"&gt;0",$D$9:$D$55,$O25)*variable_om</f>
        <v>2430000</v>
      </c>
      <c r="R25" s="11" t="s">
        <v>41</v>
      </c>
    </row>
    <row r="26" spans="2:18" ht="13" x14ac:dyDescent="0.25">
      <c r="B26" s="6">
        <v>44029.375</v>
      </c>
      <c r="C26" s="28">
        <v>18</v>
      </c>
      <c r="D26" s="28">
        <v>2020</v>
      </c>
      <c r="E26" s="19">
        <v>93.68</v>
      </c>
      <c r="F26" s="23">
        <f>IF(L26&gt;0,-MIN(battery_power*L26,(battery_capacity-I26)/(charge_efficiency/100)*2),IF(M26&gt;0,MIN(battery_power*M26,I26/(discharge_efficiency/100)*2),0))</f>
        <v>0</v>
      </c>
      <c r="G26" s="23">
        <f>F26/2*IF(F26&lt;0,1,discharge_efficiency/100)</f>
        <v>0</v>
      </c>
      <c r="H26" s="18">
        <f>G26*E26*IF(G26&lt;0,1/mlf,mlf)</f>
        <v>0</v>
      </c>
      <c r="I26" s="23">
        <f>J25</f>
        <v>118.64999999999998</v>
      </c>
      <c r="J26" s="23">
        <f>MAX(0,MIN(I26-G26*IF(G26&lt;0,charge_efficiency/100,100/discharge_efficiency),battery_capacity))</f>
        <v>118.64999999999998</v>
      </c>
      <c r="K26" s="7"/>
      <c r="L26" s="37"/>
      <c r="M26" s="37"/>
      <c r="O26" s="29" t="s">
        <v>3</v>
      </c>
      <c r="P26" s="30">
        <f>SUM(P22:P25)</f>
        <v>44258.060684253025</v>
      </c>
      <c r="Q26" s="30">
        <f>SUM(Q22:Q25)</f>
        <v>9720000</v>
      </c>
      <c r="R26" s="11" t="s">
        <v>42</v>
      </c>
    </row>
    <row r="27" spans="2:18" x14ac:dyDescent="0.25">
      <c r="B27" s="6">
        <v>44029.395833333336</v>
      </c>
      <c r="C27" s="28">
        <v>19</v>
      </c>
      <c r="D27" s="28">
        <v>2020</v>
      </c>
      <c r="E27" s="19">
        <v>72.650000000000006</v>
      </c>
      <c r="F27" s="23">
        <f>IF(L27&gt;0,-MIN(battery_power*L27,(battery_capacity-I27)/(charge_efficiency/100)*2),IF(M27&gt;0,MIN(battery_power*M27,I27/(discharge_efficiency/100)*2),0))</f>
        <v>0</v>
      </c>
      <c r="G27" s="23">
        <f>F27/2*IF(F27&lt;0,1,discharge_efficiency/100)</f>
        <v>0</v>
      </c>
      <c r="H27" s="18">
        <f>G27*E27*IF(G27&lt;0,1/mlf,mlf)</f>
        <v>0</v>
      </c>
      <c r="I27" s="23">
        <f>J26</f>
        <v>118.64999999999998</v>
      </c>
      <c r="J27" s="23">
        <f>MAX(0,MIN(I27-G27*IF(G27&lt;0,charge_efficiency/100,100/discharge_efficiency),battery_capacity))</f>
        <v>118.64999999999998</v>
      </c>
      <c r="K27" s="7"/>
      <c r="L27" s="37"/>
      <c r="M27" s="37"/>
    </row>
    <row r="28" spans="2:18" x14ac:dyDescent="0.25">
      <c r="B28" s="6">
        <v>44029.416666666664</v>
      </c>
      <c r="C28" s="28">
        <v>20</v>
      </c>
      <c r="D28" s="28">
        <v>2020</v>
      </c>
      <c r="E28" s="19">
        <v>71.66</v>
      </c>
      <c r="F28" s="23">
        <f>IF(L28&gt;0,-MIN(battery_power*L28,(battery_capacity-I28)/(charge_efficiency/100)*2),IF(M28&gt;0,MIN(battery_power*M28,I28/(discharge_efficiency/100)*2),0))</f>
        <v>0</v>
      </c>
      <c r="G28" s="23">
        <f>F28/2*IF(F28&lt;0,1,discharge_efficiency/100)</f>
        <v>0</v>
      </c>
      <c r="H28" s="18">
        <f>G28*E28*IF(G28&lt;0,1/mlf,mlf)</f>
        <v>0</v>
      </c>
      <c r="I28" s="23">
        <f>J27</f>
        <v>118.64999999999998</v>
      </c>
      <c r="J28" s="23">
        <f>MAX(0,MIN(I28-G28*IF(G28&lt;0,charge_efficiency/100,100/discharge_efficiency),battery_capacity))</f>
        <v>118.64999999999998</v>
      </c>
      <c r="K28" s="7"/>
      <c r="L28" s="37"/>
      <c r="M28" s="37"/>
    </row>
    <row r="29" spans="2:18" x14ac:dyDescent="0.25">
      <c r="B29" s="6">
        <v>44029.4375</v>
      </c>
      <c r="C29" s="28">
        <v>21</v>
      </c>
      <c r="D29" s="28">
        <v>2020</v>
      </c>
      <c r="E29" s="19">
        <v>110.29</v>
      </c>
      <c r="F29" s="23">
        <f>IF(L29&gt;0,-MIN(battery_power*L29,(battery_capacity-I29)/(charge_efficiency/100)*2),IF(M29&gt;0,MIN(battery_power*M29,I29/(discharge_efficiency/100)*2),0))</f>
        <v>259.5</v>
      </c>
      <c r="G29" s="23">
        <f>F29/2*IF(F29&lt;0,1,discharge_efficiency/100)</f>
        <v>116.77500000000001</v>
      </c>
      <c r="H29" s="18">
        <f>G29*E29*IF(G29&lt;0,1/mlf,mlf)</f>
        <v>12763.20271725</v>
      </c>
      <c r="I29" s="23">
        <f>J28</f>
        <v>118.64999999999998</v>
      </c>
      <c r="J29" s="23">
        <f>MAX(0,MIN(I29-G29*IF(G29&lt;0,charge_efficiency/100,100/discharge_efficiency),battery_capacity))</f>
        <v>0</v>
      </c>
      <c r="K29" s="7"/>
      <c r="L29" s="37"/>
      <c r="M29" s="37">
        <v>0.86499999999999999</v>
      </c>
      <c r="O29" s="38"/>
    </row>
    <row r="30" spans="2:18" ht="12.5" customHeight="1" x14ac:dyDescent="0.25">
      <c r="B30" s="6">
        <v>44029.458333333336</v>
      </c>
      <c r="C30" s="28">
        <v>22</v>
      </c>
      <c r="D30" s="28">
        <v>2020</v>
      </c>
      <c r="E30" s="19">
        <v>72.7</v>
      </c>
      <c r="F30" s="23">
        <f>IF(L30&gt;0,-MIN(battery_power*L30,(battery_capacity-I30)/(charge_efficiency/100)*2),IF(M30&gt;0,MIN(battery_power*M30,I30/(discharge_efficiency/100)*2),0))</f>
        <v>0</v>
      </c>
      <c r="G30" s="23">
        <f>F30/2*IF(F30&lt;0,1,discharge_efficiency/100)</f>
        <v>0</v>
      </c>
      <c r="H30" s="18">
        <f>G30*E30*IF(G30&lt;0,1/mlf,mlf)</f>
        <v>0</v>
      </c>
      <c r="I30" s="23">
        <f>J29</f>
        <v>0</v>
      </c>
      <c r="J30" s="23">
        <f>MAX(0,MIN(I30-G30*IF(G30&lt;0,charge_efficiency/100,100/discharge_efficiency),battery_capacity))</f>
        <v>0</v>
      </c>
      <c r="K30" s="7"/>
      <c r="L30" s="37"/>
      <c r="M30" s="37"/>
      <c r="O30" s="38"/>
    </row>
    <row r="31" spans="2:18" ht="12.5" customHeight="1" x14ac:dyDescent="0.25">
      <c r="B31" s="6">
        <v>44029.479166666664</v>
      </c>
      <c r="C31" s="28">
        <v>23</v>
      </c>
      <c r="D31" s="28">
        <v>2020</v>
      </c>
      <c r="E31" s="19">
        <v>76.14</v>
      </c>
      <c r="F31" s="23">
        <f>IF(L31&gt;0,-MIN(battery_power*L31,(battery_capacity-I31)/(charge_efficiency/100)*2),IF(M31&gt;0,MIN(battery_power*M31,I31/(discharge_efficiency/100)*2),0))</f>
        <v>0</v>
      </c>
      <c r="G31" s="23">
        <f>F31/2*IF(F31&lt;0,1,discharge_efficiency/100)</f>
        <v>0</v>
      </c>
      <c r="H31" s="18">
        <f>G31*E31*IF(G31&lt;0,1/mlf,mlf)</f>
        <v>0</v>
      </c>
      <c r="I31" s="23">
        <f>J30</f>
        <v>0</v>
      </c>
      <c r="J31" s="23">
        <f>MAX(0,MIN(I31-G31*IF(G31&lt;0,charge_efficiency/100,100/discharge_efficiency),battery_capacity))</f>
        <v>0</v>
      </c>
      <c r="K31" s="7"/>
      <c r="L31" s="37"/>
      <c r="M31" s="37"/>
    </row>
    <row r="32" spans="2:18" x14ac:dyDescent="0.25">
      <c r="B32" s="6">
        <v>44029.5</v>
      </c>
      <c r="C32" s="28">
        <v>24</v>
      </c>
      <c r="D32" s="28">
        <v>2020</v>
      </c>
      <c r="E32" s="19">
        <v>63.2</v>
      </c>
      <c r="F32" s="23">
        <f>IF(L32&gt;0,-MIN(battery_power*L32,(battery_capacity-I32)/(charge_efficiency/100)*2),IF(M32&gt;0,MIN(battery_power*M32,I32/(discharge_efficiency/100)*2),0))</f>
        <v>0</v>
      </c>
      <c r="G32" s="23">
        <f>F32/2*IF(F32&lt;0,1,discharge_efficiency/100)</f>
        <v>0</v>
      </c>
      <c r="H32" s="18">
        <f>G32*E32*IF(G32&lt;0,1/mlf,mlf)</f>
        <v>0</v>
      </c>
      <c r="I32" s="23">
        <f>J31</f>
        <v>0</v>
      </c>
      <c r="J32" s="23">
        <f>MAX(0,MIN(I32-G32*IF(G32&lt;0,charge_efficiency/100,100/discharge_efficiency),battery_capacity))</f>
        <v>0</v>
      </c>
      <c r="K32" s="7"/>
      <c r="L32" s="37"/>
      <c r="M32" s="37"/>
    </row>
    <row r="33" spans="2:13" x14ac:dyDescent="0.25">
      <c r="B33" s="6">
        <v>44029.520833333336</v>
      </c>
      <c r="C33" s="28">
        <v>25</v>
      </c>
      <c r="D33" s="28">
        <v>2020</v>
      </c>
      <c r="E33" s="19">
        <v>71.709999999999994</v>
      </c>
      <c r="F33" s="23">
        <f>IF(L33&gt;0,-MIN(battery_power*L33,(battery_capacity-I33)/(charge_efficiency/100)*2),IF(M33&gt;0,MIN(battery_power*M33,I33/(discharge_efficiency/100)*2),0))</f>
        <v>0</v>
      </c>
      <c r="G33" s="23">
        <f>F33/2*IF(F33&lt;0,1,discharge_efficiency/100)</f>
        <v>0</v>
      </c>
      <c r="H33" s="18">
        <f>G33*E33*IF(G33&lt;0,1/mlf,mlf)</f>
        <v>0</v>
      </c>
      <c r="I33" s="23">
        <f>J32</f>
        <v>0</v>
      </c>
      <c r="J33" s="23">
        <f>MAX(0,MIN(I33-G33*IF(G33&lt;0,charge_efficiency/100,100/discharge_efficiency),battery_capacity))</f>
        <v>0</v>
      </c>
      <c r="K33" s="7"/>
      <c r="L33" s="37"/>
      <c r="M33" s="37"/>
    </row>
    <row r="34" spans="2:13" x14ac:dyDescent="0.25">
      <c r="B34" s="6">
        <v>44029.541666666664</v>
      </c>
      <c r="C34" s="28">
        <v>26</v>
      </c>
      <c r="D34" s="28">
        <v>2020</v>
      </c>
      <c r="E34" s="19">
        <v>67.72</v>
      </c>
      <c r="F34" s="23">
        <f>IF(L34&gt;0,-MIN(battery_power*L34,(battery_capacity-I34)/(charge_efficiency/100)*2),IF(M34&gt;0,MIN(battery_power*M34,I34/(discharge_efficiency/100)*2),0))</f>
        <v>0</v>
      </c>
      <c r="G34" s="23">
        <f>F34/2*IF(F34&lt;0,1,discharge_efficiency/100)</f>
        <v>0</v>
      </c>
      <c r="H34" s="18">
        <f>G34*E34*IF(G34&lt;0,1/mlf,mlf)</f>
        <v>0</v>
      </c>
      <c r="I34" s="23">
        <f>J33</f>
        <v>0</v>
      </c>
      <c r="J34" s="23">
        <f>MAX(0,MIN(I34-G34*IF(G34&lt;0,charge_efficiency/100,100/discharge_efficiency),battery_capacity))</f>
        <v>0</v>
      </c>
      <c r="K34" s="7"/>
      <c r="L34" s="37"/>
      <c r="M34" s="37"/>
    </row>
    <row r="35" spans="2:13" x14ac:dyDescent="0.25">
      <c r="B35" s="6">
        <v>44029.5625</v>
      </c>
      <c r="C35" s="28">
        <v>27</v>
      </c>
      <c r="D35" s="28">
        <v>2020</v>
      </c>
      <c r="E35" s="19">
        <v>46.23</v>
      </c>
      <c r="F35" s="23">
        <f>IF(L35&gt;0,-MIN(battery_power*L35,(battery_capacity-I35)/(charge_efficiency/100)*2),IF(M35&gt;0,MIN(battery_power*M35,I35/(discharge_efficiency/100)*2),0))</f>
        <v>0</v>
      </c>
      <c r="G35" s="23">
        <f>F35/2*IF(F35&lt;0,1,discharge_efficiency/100)</f>
        <v>0</v>
      </c>
      <c r="H35" s="18">
        <f>G35*E35*IF(G35&lt;0,1/mlf,mlf)</f>
        <v>0</v>
      </c>
      <c r="I35" s="23">
        <f>J34</f>
        <v>0</v>
      </c>
      <c r="J35" s="23">
        <f>MAX(0,MIN(I35-G35*IF(G35&lt;0,charge_efficiency/100,100/discharge_efficiency),battery_capacity))</f>
        <v>0</v>
      </c>
      <c r="K35" s="7"/>
      <c r="L35" s="37"/>
      <c r="M35" s="37"/>
    </row>
    <row r="36" spans="2:13" x14ac:dyDescent="0.25">
      <c r="B36" s="6">
        <v>44029.583333333336</v>
      </c>
      <c r="C36" s="28">
        <v>28</v>
      </c>
      <c r="D36" s="28">
        <v>2020</v>
      </c>
      <c r="E36" s="19">
        <v>39.75</v>
      </c>
      <c r="F36" s="23">
        <f>IF(L36&gt;0,-MIN(battery_power*L36,(battery_capacity-I36)/(charge_efficiency/100)*2),IF(M36&gt;0,MIN(battery_power*M36,I36/(discharge_efficiency/100)*2),0))</f>
        <v>-300</v>
      </c>
      <c r="G36" s="23">
        <f>F36/2*IF(F36&lt;0,1,discharge_efficiency/100)</f>
        <v>-150</v>
      </c>
      <c r="H36" s="18">
        <f>G36*E36*IF(G36&lt;0,1/mlf,mlf)</f>
        <v>-6016.6498486377395</v>
      </c>
      <c r="I36" s="23">
        <f>J35</f>
        <v>0</v>
      </c>
      <c r="J36" s="23">
        <f>MAX(0,MIN(I36-G36*IF(G36&lt;0,charge_efficiency/100,100/discharge_efficiency),battery_capacity))</f>
        <v>135</v>
      </c>
      <c r="K36" s="7"/>
      <c r="L36" s="37">
        <v>1</v>
      </c>
      <c r="M36" s="37"/>
    </row>
    <row r="37" spans="2:13" x14ac:dyDescent="0.25">
      <c r="B37" s="6">
        <v>44029.604166666664</v>
      </c>
      <c r="C37" s="28">
        <v>29</v>
      </c>
      <c r="D37" s="28">
        <v>2020</v>
      </c>
      <c r="E37" s="19">
        <v>39.94</v>
      </c>
      <c r="F37" s="23">
        <f>IF(L37&gt;0,-MIN(battery_power*L37,(battery_capacity-I37)/(charge_efficiency/100)*2),IF(M37&gt;0,MIN(battery_power*M37,I37/(discharge_efficiency/100)*2),0))</f>
        <v>-300</v>
      </c>
      <c r="G37" s="23">
        <f>F37/2*IF(F37&lt;0,1,discharge_efficiency/100)</f>
        <v>-150</v>
      </c>
      <c r="H37" s="18">
        <f>G37*E37*IF(G37&lt;0,1/mlf,mlf)</f>
        <v>-6045.4086781029264</v>
      </c>
      <c r="I37" s="23">
        <f>J36</f>
        <v>135</v>
      </c>
      <c r="J37" s="23">
        <f>MAX(0,MIN(I37-G37*IF(G37&lt;0,charge_efficiency/100,100/discharge_efficiency),battery_capacity))</f>
        <v>270</v>
      </c>
      <c r="K37" s="7"/>
      <c r="L37" s="37">
        <v>1</v>
      </c>
      <c r="M37" s="37"/>
    </row>
    <row r="38" spans="2:13" x14ac:dyDescent="0.25">
      <c r="B38" s="6">
        <v>44029.625</v>
      </c>
      <c r="C38" s="28">
        <v>30</v>
      </c>
      <c r="D38" s="28">
        <v>2020</v>
      </c>
      <c r="E38" s="19">
        <v>39.97</v>
      </c>
      <c r="F38" s="23">
        <f>IF(L38&gt;0,-MIN(battery_power*L38,(battery_capacity-I38)/(charge_efficiency/100)*2),IF(M38&gt;0,MIN(battery_power*M38,I38/(discharge_efficiency/100)*2),0))</f>
        <v>-33.6</v>
      </c>
      <c r="G38" s="23">
        <f>F38/2*IF(F38&lt;0,1,discharge_efficiency/100)</f>
        <v>-16.8</v>
      </c>
      <c r="H38" s="18">
        <f>G38*E38*IF(G38&lt;0,1/mlf,mlf)</f>
        <v>-677.59434914228052</v>
      </c>
      <c r="I38" s="23">
        <f>J37</f>
        <v>270</v>
      </c>
      <c r="J38" s="23">
        <f>MAX(0,MIN(I38-G38*IF(G38&lt;0,charge_efficiency/100,100/discharge_efficiency),battery_capacity))</f>
        <v>285.12</v>
      </c>
      <c r="K38" s="7"/>
      <c r="L38" s="37">
        <v>0.112</v>
      </c>
      <c r="M38" s="37"/>
    </row>
    <row r="39" spans="2:13" x14ac:dyDescent="0.25">
      <c r="B39" s="6">
        <v>44029.645833333336</v>
      </c>
      <c r="C39" s="28">
        <v>31</v>
      </c>
      <c r="D39" s="28">
        <v>2020</v>
      </c>
      <c r="E39" s="19">
        <v>42.72</v>
      </c>
      <c r="F39" s="23">
        <f>IF(L39&gt;0,-MIN(battery_power*L39,(battery_capacity-I39)/(charge_efficiency/100)*2),IF(M39&gt;0,MIN(battery_power*M39,I39/(discharge_efficiency/100)*2),0))</f>
        <v>0</v>
      </c>
      <c r="G39" s="23">
        <f>F39/2*IF(F39&lt;0,1,discharge_efficiency/100)</f>
        <v>0</v>
      </c>
      <c r="H39" s="18">
        <f>G39*E39*IF(G39&lt;0,1/mlf,mlf)</f>
        <v>0</v>
      </c>
      <c r="I39" s="23">
        <f>J38</f>
        <v>285.12</v>
      </c>
      <c r="J39" s="23">
        <f>MAX(0,MIN(I39-G39*IF(G39&lt;0,charge_efficiency/100,100/discharge_efficiency),battery_capacity))</f>
        <v>285.12</v>
      </c>
      <c r="K39" s="7"/>
      <c r="L39" s="37"/>
      <c r="M39" s="37"/>
    </row>
    <row r="40" spans="2:13" x14ac:dyDescent="0.25">
      <c r="B40" s="6">
        <v>44029.666666666664</v>
      </c>
      <c r="C40" s="28">
        <v>32</v>
      </c>
      <c r="D40" s="28">
        <v>2020</v>
      </c>
      <c r="E40" s="19">
        <v>55.85</v>
      </c>
      <c r="F40" s="23">
        <f>IF(L40&gt;0,-MIN(battery_power*L40,(battery_capacity-I40)/(charge_efficiency/100)*2),IF(M40&gt;0,MIN(battery_power*M40,I40/(discharge_efficiency/100)*2),0))</f>
        <v>0</v>
      </c>
      <c r="G40" s="23">
        <f>F40/2*IF(F40&lt;0,1,discharge_efficiency/100)</f>
        <v>0</v>
      </c>
      <c r="H40" s="18">
        <f>G40*E40*IF(G40&lt;0,1/mlf,mlf)</f>
        <v>0</v>
      </c>
      <c r="I40" s="23">
        <f>J39</f>
        <v>285.12</v>
      </c>
      <c r="J40" s="23">
        <f>MAX(0,MIN(I40-G40*IF(G40&lt;0,charge_efficiency/100,100/discharge_efficiency),battery_capacity))</f>
        <v>285.12</v>
      </c>
      <c r="K40" s="7"/>
      <c r="L40" s="37"/>
      <c r="M40" s="37"/>
    </row>
    <row r="41" spans="2:13" x14ac:dyDescent="0.25">
      <c r="B41" s="6">
        <v>44029.6875</v>
      </c>
      <c r="C41" s="28">
        <v>33</v>
      </c>
      <c r="D41" s="28">
        <v>2020</v>
      </c>
      <c r="E41" s="19">
        <v>66.67</v>
      </c>
      <c r="F41" s="23">
        <f>IF(L41&gt;0,-MIN(battery_power*L41,(battery_capacity-I41)/(charge_efficiency/100)*2),IF(M41&gt;0,MIN(battery_power*M41,I41/(discharge_efficiency/100)*2),0))</f>
        <v>0</v>
      </c>
      <c r="G41" s="23">
        <f>F41/2*IF(F41&lt;0,1,discharge_efficiency/100)</f>
        <v>0</v>
      </c>
      <c r="H41" s="18">
        <f>G41*E41*IF(G41&lt;0,1/mlf,mlf)</f>
        <v>0</v>
      </c>
      <c r="I41" s="23">
        <f>J40</f>
        <v>285.12</v>
      </c>
      <c r="J41" s="23">
        <f>MAX(0,MIN(I41-G41*IF(G41&lt;0,charge_efficiency/100,100/discharge_efficiency),battery_capacity))</f>
        <v>285.12</v>
      </c>
      <c r="K41" s="7"/>
      <c r="L41" s="37"/>
      <c r="M41" s="37"/>
    </row>
    <row r="42" spans="2:13" x14ac:dyDescent="0.25">
      <c r="B42" s="6">
        <v>44029.708333333336</v>
      </c>
      <c r="C42" s="28">
        <v>34</v>
      </c>
      <c r="D42" s="28">
        <v>2020</v>
      </c>
      <c r="E42" s="19">
        <v>71.83</v>
      </c>
      <c r="F42" s="23">
        <f>IF(L42&gt;0,-MIN(battery_power*L42,(battery_capacity-I42)/(charge_efficiency/100)*2),IF(M42&gt;0,MIN(battery_power*M42,I42/(discharge_efficiency/100)*2),0))</f>
        <v>0</v>
      </c>
      <c r="G42" s="23">
        <f>F42/2*IF(F42&lt;0,1,discharge_efficiency/100)</f>
        <v>0</v>
      </c>
      <c r="H42" s="18">
        <f>G42*E42*IF(G42&lt;0,1/mlf,mlf)</f>
        <v>0</v>
      </c>
      <c r="I42" s="23">
        <f>J41</f>
        <v>285.12</v>
      </c>
      <c r="J42" s="23">
        <f>MAX(0,MIN(I42-G42*IF(G42&lt;0,charge_efficiency/100,100/discharge_efficiency),battery_capacity))</f>
        <v>285.12</v>
      </c>
      <c r="K42" s="7"/>
      <c r="L42" s="37"/>
      <c r="M42" s="37"/>
    </row>
    <row r="43" spans="2:13" x14ac:dyDescent="0.25">
      <c r="B43" s="6">
        <v>44029.729166666664</v>
      </c>
      <c r="C43" s="28">
        <v>35</v>
      </c>
      <c r="D43" s="28">
        <v>2020</v>
      </c>
      <c r="E43" s="19">
        <v>73.94</v>
      </c>
      <c r="F43" s="23">
        <f>IF(L43&gt;0,-MIN(battery_power*L43,(battery_capacity-I43)/(charge_efficiency/100)*2),IF(M43&gt;0,MIN(battery_power*M43,I43/(discharge_efficiency/100)*2),0))</f>
        <v>0</v>
      </c>
      <c r="G43" s="23">
        <f>F43/2*IF(F43&lt;0,1,discharge_efficiency/100)</f>
        <v>0</v>
      </c>
      <c r="H43" s="18">
        <f>G43*E43*IF(G43&lt;0,1/mlf,mlf)</f>
        <v>0</v>
      </c>
      <c r="I43" s="23">
        <f>J42</f>
        <v>285.12</v>
      </c>
      <c r="J43" s="23">
        <f>MAX(0,MIN(I43-G43*IF(G43&lt;0,charge_efficiency/100,100/discharge_efficiency),battery_capacity))</f>
        <v>285.12</v>
      </c>
      <c r="K43" s="7"/>
      <c r="L43" s="37"/>
      <c r="M43" s="37"/>
    </row>
    <row r="44" spans="2:13" x14ac:dyDescent="0.25">
      <c r="B44" s="6">
        <v>44029.75</v>
      </c>
      <c r="C44" s="28">
        <v>36</v>
      </c>
      <c r="D44" s="28">
        <v>2020</v>
      </c>
      <c r="E44" s="19">
        <v>163.47</v>
      </c>
      <c r="F44" s="23">
        <f>IF(L44&gt;0,-MIN(battery_power*L44,(battery_capacity-I44)/(charge_efficiency/100)*2),IF(M44&gt;0,MIN(battery_power*M44,I44/(discharge_efficiency/100)*2),0))</f>
        <v>300</v>
      </c>
      <c r="G44" s="23">
        <f>F44/2*IF(F44&lt;0,1,discharge_efficiency/100)</f>
        <v>135</v>
      </c>
      <c r="H44" s="18">
        <f>G44*E44*IF(G44&lt;0,1/mlf,mlf)</f>
        <v>21869.83395</v>
      </c>
      <c r="I44" s="23">
        <f>J43</f>
        <v>285.12</v>
      </c>
      <c r="J44" s="23">
        <f>MAX(0,MIN(I44-G44*IF(G44&lt;0,charge_efficiency/100,100/discharge_efficiency),battery_capacity))</f>
        <v>135.12</v>
      </c>
      <c r="K44" s="7"/>
      <c r="L44" s="37"/>
      <c r="M44" s="37">
        <v>1</v>
      </c>
    </row>
    <row r="45" spans="2:13" x14ac:dyDescent="0.25">
      <c r="B45" s="6">
        <v>44029.770833333336</v>
      </c>
      <c r="C45" s="28">
        <v>37</v>
      </c>
      <c r="D45" s="28">
        <v>2020</v>
      </c>
      <c r="E45" s="19">
        <v>137.1</v>
      </c>
      <c r="F45" s="23">
        <f>IF(L45&gt;0,-MIN(battery_power*L45,(battery_capacity-I45)/(charge_efficiency/100)*2),IF(M45&gt;0,MIN(battery_power*M45,I45/(discharge_efficiency/100)*2),0))</f>
        <v>300</v>
      </c>
      <c r="G45" s="23">
        <f>F45/2*IF(F45&lt;0,1,discharge_efficiency/100)</f>
        <v>135</v>
      </c>
      <c r="H45" s="18">
        <f>G45*E45*IF(G45&lt;0,1/mlf,mlf)</f>
        <v>18341.923500000001</v>
      </c>
      <c r="I45" s="23">
        <f>J44</f>
        <v>135.12</v>
      </c>
      <c r="J45" s="23">
        <f>MAX(0,MIN(I45-G45*IF(G45&lt;0,charge_efficiency/100,100/discharge_efficiency),battery_capacity))</f>
        <v>0</v>
      </c>
      <c r="K45" s="7"/>
      <c r="L45" s="37"/>
      <c r="M45" s="37">
        <v>1</v>
      </c>
    </row>
    <row r="46" spans="2:13" x14ac:dyDescent="0.25">
      <c r="B46" s="6">
        <v>44029.791666666664</v>
      </c>
      <c r="C46" s="28">
        <v>38</v>
      </c>
      <c r="D46" s="28">
        <v>2020</v>
      </c>
      <c r="E46" s="19">
        <v>73.849999999999994</v>
      </c>
      <c r="F46" s="23">
        <f>IF(L46&gt;0,-MIN(battery_power*L46,(battery_capacity-I46)/(charge_efficiency/100)*2),IF(M46&gt;0,MIN(battery_power*M46,I46/(discharge_efficiency/100)*2),0))</f>
        <v>0</v>
      </c>
      <c r="G46" s="23">
        <f>F46/2*IF(F46&lt;0,1,discharge_efficiency/100)</f>
        <v>0</v>
      </c>
      <c r="H46" s="18">
        <f>G46*E46*IF(G46&lt;0,1/mlf,mlf)</f>
        <v>0</v>
      </c>
      <c r="I46" s="23">
        <f>J45</f>
        <v>0</v>
      </c>
      <c r="J46" s="23">
        <f>MAX(0,MIN(I46-G46*IF(G46&lt;0,charge_efficiency/100,100/discharge_efficiency),battery_capacity))</f>
        <v>0</v>
      </c>
      <c r="K46" s="7"/>
      <c r="L46" s="37"/>
      <c r="M46" s="37"/>
    </row>
    <row r="47" spans="2:13" x14ac:dyDescent="0.25">
      <c r="B47" s="6">
        <v>44029.8125</v>
      </c>
      <c r="C47" s="28">
        <v>39</v>
      </c>
      <c r="D47" s="28">
        <v>2020</v>
      </c>
      <c r="E47" s="19">
        <v>72.12</v>
      </c>
      <c r="F47" s="23">
        <f>IF(L47&gt;0,-MIN(battery_power*L47,(battery_capacity-I47)/(charge_efficiency/100)*2),IF(M47&gt;0,MIN(battery_power*M47,I47/(discharge_efficiency/100)*2),0))</f>
        <v>0</v>
      </c>
      <c r="G47" s="23">
        <f>F47/2*IF(F47&lt;0,1,discharge_efficiency/100)</f>
        <v>0</v>
      </c>
      <c r="H47" s="18">
        <f>G47*E47*IF(G47&lt;0,1/mlf,mlf)</f>
        <v>0</v>
      </c>
      <c r="I47" s="23">
        <f>J46</f>
        <v>0</v>
      </c>
      <c r="J47" s="23">
        <f>MAX(0,MIN(I47-G47*IF(G47&lt;0,charge_efficiency/100,100/discharge_efficiency),battery_capacity))</f>
        <v>0</v>
      </c>
      <c r="K47" s="7"/>
      <c r="L47" s="37"/>
      <c r="M47" s="37"/>
    </row>
    <row r="48" spans="2:13" x14ac:dyDescent="0.25">
      <c r="B48" s="6">
        <v>44029.833333333336</v>
      </c>
      <c r="C48" s="28">
        <v>40</v>
      </c>
      <c r="D48" s="28">
        <v>2020</v>
      </c>
      <c r="E48" s="19">
        <v>67.650000000000006</v>
      </c>
      <c r="F48" s="23">
        <f>IF(L48&gt;0,-MIN(battery_power*L48,(battery_capacity-I48)/(charge_efficiency/100)*2),IF(M48&gt;0,MIN(battery_power*M48,I48/(discharge_efficiency/100)*2),0))</f>
        <v>0</v>
      </c>
      <c r="G48" s="23">
        <f>F48/2*IF(F48&lt;0,1,discharge_efficiency/100)</f>
        <v>0</v>
      </c>
      <c r="H48" s="18">
        <f>G48*E48*IF(G48&lt;0,1/mlf,mlf)</f>
        <v>0</v>
      </c>
      <c r="I48" s="23">
        <f>J47</f>
        <v>0</v>
      </c>
      <c r="J48" s="23">
        <f>MAX(0,MIN(I48-G48*IF(G48&lt;0,charge_efficiency/100,100/discharge_efficiency),battery_capacity))</f>
        <v>0</v>
      </c>
      <c r="K48" s="7"/>
      <c r="L48" s="37"/>
      <c r="M48" s="37"/>
    </row>
    <row r="49" spans="2:13" x14ac:dyDescent="0.25">
      <c r="B49" s="6">
        <v>44029.854166666664</v>
      </c>
      <c r="C49" s="28">
        <v>41</v>
      </c>
      <c r="D49" s="28">
        <v>2020</v>
      </c>
      <c r="E49" s="19">
        <v>73.959999999999994</v>
      </c>
      <c r="F49" s="23">
        <f>IF(L49&gt;0,-MIN(battery_power*L49,(battery_capacity-I49)/(charge_efficiency/100)*2),IF(M49&gt;0,MIN(battery_power*M49,I49/(discharge_efficiency/100)*2),0))</f>
        <v>0</v>
      </c>
      <c r="G49" s="23">
        <f>F49/2*IF(F49&lt;0,1,discharge_efficiency/100)</f>
        <v>0</v>
      </c>
      <c r="H49" s="18">
        <f>G49*E49*IF(G49&lt;0,1/mlf,mlf)</f>
        <v>0</v>
      </c>
      <c r="I49" s="23">
        <f>J48</f>
        <v>0</v>
      </c>
      <c r="J49" s="23">
        <f>MAX(0,MIN(I49-G49*IF(G49&lt;0,charge_efficiency/100,100/discharge_efficiency),battery_capacity))</f>
        <v>0</v>
      </c>
      <c r="K49" s="7"/>
      <c r="L49" s="37"/>
      <c r="M49" s="37"/>
    </row>
    <row r="50" spans="2:13" x14ac:dyDescent="0.25">
      <c r="B50" s="6">
        <v>44029.875</v>
      </c>
      <c r="C50" s="28">
        <v>42</v>
      </c>
      <c r="D50" s="28">
        <v>2020</v>
      </c>
      <c r="E50" s="19">
        <v>59.97</v>
      </c>
      <c r="F50" s="23">
        <f>IF(L50&gt;0,-MIN(battery_power*L50,(battery_capacity-I50)/(charge_efficiency/100)*2),IF(M50&gt;0,MIN(battery_power*M50,I50/(discharge_efficiency/100)*2),0))</f>
        <v>0</v>
      </c>
      <c r="G50" s="23">
        <f>F50/2*IF(F50&lt;0,1,discharge_efficiency/100)</f>
        <v>0</v>
      </c>
      <c r="H50" s="18">
        <f>G50*E50*IF(G50&lt;0,1/mlf,mlf)</f>
        <v>0</v>
      </c>
      <c r="I50" s="23">
        <f>J49</f>
        <v>0</v>
      </c>
      <c r="J50" s="23">
        <f>MAX(0,MIN(I50-G50*IF(G50&lt;0,charge_efficiency/100,100/discharge_efficiency),battery_capacity))</f>
        <v>0</v>
      </c>
      <c r="K50" s="7"/>
      <c r="L50" s="37"/>
      <c r="M50" s="37"/>
    </row>
    <row r="51" spans="2:13" x14ac:dyDescent="0.25">
      <c r="B51" s="6">
        <v>44029.895833333336</v>
      </c>
      <c r="C51" s="28">
        <v>43</v>
      </c>
      <c r="D51" s="28">
        <v>2020</v>
      </c>
      <c r="E51" s="19">
        <v>58.53</v>
      </c>
      <c r="F51" s="23">
        <f>IF(L51&gt;0,-MIN(battery_power*L51,(battery_capacity-I51)/(charge_efficiency/100)*2),IF(M51&gt;0,MIN(battery_power*M51,I51/(discharge_efficiency/100)*2),0))</f>
        <v>0</v>
      </c>
      <c r="G51" s="23">
        <f>F51/2*IF(F51&lt;0,1,discharge_efficiency/100)</f>
        <v>0</v>
      </c>
      <c r="H51" s="18">
        <f>G51*E51*IF(G51&lt;0,1/mlf,mlf)</f>
        <v>0</v>
      </c>
      <c r="I51" s="23">
        <f>J50</f>
        <v>0</v>
      </c>
      <c r="J51" s="23">
        <f>MAX(0,MIN(I51-G51*IF(G51&lt;0,charge_efficiency/100,100/discharge_efficiency),battery_capacity))</f>
        <v>0</v>
      </c>
      <c r="K51" s="7"/>
      <c r="L51" s="37"/>
      <c r="M51" s="37"/>
    </row>
    <row r="52" spans="2:13" x14ac:dyDescent="0.25">
      <c r="B52" s="6">
        <v>44029.916666666664</v>
      </c>
      <c r="C52" s="28">
        <v>44</v>
      </c>
      <c r="D52" s="28">
        <v>2020</v>
      </c>
      <c r="E52" s="19">
        <v>57.89</v>
      </c>
      <c r="F52" s="23">
        <f>IF(L52&gt;0,-MIN(battery_power*L52,(battery_capacity-I52)/(charge_efficiency/100)*2),IF(M52&gt;0,MIN(battery_power*M52,I52/(discharge_efficiency/100)*2),0))</f>
        <v>0</v>
      </c>
      <c r="G52" s="23">
        <f>F52/2*IF(F52&lt;0,1,discharge_efficiency/100)</f>
        <v>0</v>
      </c>
      <c r="H52" s="18">
        <f>G52*E52*IF(G52&lt;0,1/mlf,mlf)</f>
        <v>0</v>
      </c>
      <c r="I52" s="23">
        <f>J51</f>
        <v>0</v>
      </c>
      <c r="J52" s="23">
        <f>MAX(0,MIN(I52-G52*IF(G52&lt;0,charge_efficiency/100,100/discharge_efficiency),battery_capacity))</f>
        <v>0</v>
      </c>
      <c r="K52" s="7"/>
      <c r="L52" s="37"/>
      <c r="M52" s="37"/>
    </row>
    <row r="53" spans="2:13" x14ac:dyDescent="0.25">
      <c r="B53" s="6">
        <v>44029.9375</v>
      </c>
      <c r="C53" s="28">
        <v>45</v>
      </c>
      <c r="D53" s="28">
        <v>2020</v>
      </c>
      <c r="E53" s="19">
        <v>56.54</v>
      </c>
      <c r="F53" s="23">
        <f>IF(L53&gt;0,-MIN(battery_power*L53,(battery_capacity-I53)/(charge_efficiency/100)*2),IF(M53&gt;0,MIN(battery_power*M53,I53/(discharge_efficiency/100)*2),0))</f>
        <v>0</v>
      </c>
      <c r="G53" s="23">
        <f>F53/2*IF(F53&lt;0,1,discharge_efficiency/100)</f>
        <v>0</v>
      </c>
      <c r="H53" s="18">
        <f>G53*E53*IF(G53&lt;0,1/mlf,mlf)</f>
        <v>0</v>
      </c>
      <c r="I53" s="23">
        <f>J52</f>
        <v>0</v>
      </c>
      <c r="J53" s="23">
        <f>MAX(0,MIN(I53-G53*IF(G53&lt;0,charge_efficiency/100,100/discharge_efficiency),battery_capacity))</f>
        <v>0</v>
      </c>
      <c r="K53" s="7"/>
      <c r="L53" s="37"/>
      <c r="M53" s="37"/>
    </row>
    <row r="54" spans="2:13" x14ac:dyDescent="0.25">
      <c r="B54" s="6">
        <v>44029.958333333336</v>
      </c>
      <c r="C54" s="28">
        <v>46</v>
      </c>
      <c r="D54" s="28">
        <v>2020</v>
      </c>
      <c r="E54" s="19">
        <v>48.7</v>
      </c>
      <c r="F54" s="23">
        <f>IF(L54&gt;0,-MIN(battery_power*L54,(battery_capacity-I54)/(charge_efficiency/100)*2),IF(M54&gt;0,MIN(battery_power*M54,I54/(discharge_efficiency/100)*2),0))</f>
        <v>0</v>
      </c>
      <c r="G54" s="23">
        <f>F54/2*IF(F54&lt;0,1,discharge_efficiency/100)</f>
        <v>0</v>
      </c>
      <c r="H54" s="18">
        <f>G54*E54*IF(G54&lt;0,1/mlf,mlf)</f>
        <v>0</v>
      </c>
      <c r="I54" s="23">
        <f>J53</f>
        <v>0</v>
      </c>
      <c r="J54" s="23">
        <f>MAX(0,MIN(I54-G54*IF(G54&lt;0,charge_efficiency/100,100/discharge_efficiency),battery_capacity))</f>
        <v>0</v>
      </c>
      <c r="K54" s="7"/>
      <c r="L54" s="37"/>
      <c r="M54" s="37"/>
    </row>
    <row r="55" spans="2:13" x14ac:dyDescent="0.25">
      <c r="B55" s="6">
        <v>44029.979166666664</v>
      </c>
      <c r="C55" s="28">
        <v>47</v>
      </c>
      <c r="D55" s="28">
        <v>2020</v>
      </c>
      <c r="E55" s="19">
        <v>49.6</v>
      </c>
      <c r="F55" s="23">
        <f>IF(L55&gt;0,-MIN(battery_power*L55,(battery_capacity-I55)/(charge_efficiency/100)*2),IF(M55&gt;0,MIN(battery_power*M55,I55/(discharge_efficiency/100)*2),0))</f>
        <v>0</v>
      </c>
      <c r="G55" s="23">
        <f>F55/2*IF(F55&lt;0,1,discharge_efficiency/100)</f>
        <v>0</v>
      </c>
      <c r="H55" s="18">
        <f>G55*E55*IF(G55&lt;0,1/mlf,mlf)</f>
        <v>0</v>
      </c>
      <c r="I55" s="23">
        <f>J54</f>
        <v>0</v>
      </c>
      <c r="J55" s="23">
        <f>MAX(0,MIN(I55-G55*IF(G55&lt;0,charge_efficiency/100,100/discharge_efficiency),battery_capacity))</f>
        <v>0</v>
      </c>
      <c r="K55" s="7"/>
      <c r="L55" s="37"/>
      <c r="M55" s="37"/>
    </row>
    <row r="58" spans="2:13" x14ac:dyDescent="0.25">
      <c r="F58" s="20">
        <f>SUMIFS(F9:F55,F9:F55,"&gt;0")/2</f>
        <v>579.75</v>
      </c>
      <c r="G58" s="20">
        <f>SUMIFS(G9:G55,G9:G55,"&gt;0")</f>
        <v>521.77499999999998</v>
      </c>
    </row>
  </sheetData>
  <mergeCells count="9">
    <mergeCell ref="R7:R8"/>
    <mergeCell ref="O20:O21"/>
    <mergeCell ref="R20:R21"/>
    <mergeCell ref="B7:B8"/>
    <mergeCell ref="C7:C8"/>
    <mergeCell ref="D7:D8"/>
    <mergeCell ref="O7:O8"/>
    <mergeCell ref="P7:P8"/>
    <mergeCell ref="Q7:Q8"/>
  </mergeCells>
  <conditionalFormatting sqref="Q32:Q33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E9:E5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&amp;R&amp;G</oddHeader>
    <oddFooter xml:space="preserve">&amp;L&amp;G&amp;C&amp;"Arial,Regular"&amp;8&amp;A&amp;R&amp;"Arial,Regular"&amp;7© Energetics Pty Ltd 2016&amp;8         Page &amp;P  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899A-98B0-42B2-A3E9-18B4C7BB011F}">
  <sheetPr>
    <tabColor theme="4"/>
  </sheetPr>
  <dimension ref="B2:R58"/>
  <sheetViews>
    <sheetView showGridLines="0" tabSelected="1" zoomScaleNormal="100" workbookViewId="0">
      <selection activeCell="Q34" sqref="Q34"/>
    </sheetView>
  </sheetViews>
  <sheetFormatPr defaultColWidth="9.08984375" defaultRowHeight="12.5" x14ac:dyDescent="0.25"/>
  <cols>
    <col min="1" max="1" width="3.36328125" style="1" customWidth="1"/>
    <col min="2" max="2" width="16.36328125" style="1" bestFit="1" customWidth="1"/>
    <col min="3" max="4" width="16.36328125" style="20" customWidth="1"/>
    <col min="5" max="5" width="17.08984375" style="5" customWidth="1"/>
    <col min="6" max="7" width="17.08984375" style="20" customWidth="1"/>
    <col min="8" max="8" width="17.08984375" style="15" customWidth="1"/>
    <col min="9" max="10" width="17.08984375" style="20" customWidth="1"/>
    <col min="11" max="13" width="17.08984375" style="1" customWidth="1"/>
    <col min="14" max="14" width="11.6328125" style="1" bestFit="1" customWidth="1"/>
    <col min="15" max="15" width="22.453125" style="1" customWidth="1"/>
    <col min="16" max="17" width="15.1796875" style="1" customWidth="1"/>
    <col min="18" max="18" width="51.1796875" style="1" customWidth="1"/>
    <col min="19" max="22" width="11.6328125" style="1" bestFit="1" customWidth="1"/>
    <col min="23" max="52" width="12" style="1" bestFit="1" customWidth="1"/>
    <col min="53" max="16384" width="9.08984375" style="1"/>
  </cols>
  <sheetData>
    <row r="2" spans="2:18" ht="23" x14ac:dyDescent="0.5">
      <c r="B2" s="2" t="s">
        <v>43</v>
      </c>
      <c r="C2" s="25"/>
      <c r="D2" s="25"/>
      <c r="I2" s="15"/>
      <c r="J2" s="15"/>
    </row>
    <row r="3" spans="2:18" ht="19" x14ac:dyDescent="0.4">
      <c r="B3" s="3" t="s">
        <v>53</v>
      </c>
      <c r="C3" s="26"/>
      <c r="D3" s="26"/>
    </row>
    <row r="6" spans="2:18" ht="16.5" x14ac:dyDescent="0.35">
      <c r="B6" s="4" t="s">
        <v>35</v>
      </c>
      <c r="C6" s="27"/>
      <c r="D6" s="27"/>
      <c r="O6" s="4" t="s">
        <v>36</v>
      </c>
    </row>
    <row r="7" spans="2:18" ht="13.75" customHeight="1" x14ac:dyDescent="0.25">
      <c r="B7" s="35" t="s">
        <v>4</v>
      </c>
      <c r="C7" s="33" t="s">
        <v>44</v>
      </c>
      <c r="D7" s="33" t="s">
        <v>1</v>
      </c>
      <c r="E7" s="13" t="s">
        <v>5</v>
      </c>
      <c r="F7" s="21" t="s">
        <v>46</v>
      </c>
      <c r="G7" s="21" t="s">
        <v>47</v>
      </c>
      <c r="H7" s="16" t="s">
        <v>10</v>
      </c>
      <c r="I7" s="21" t="s">
        <v>33</v>
      </c>
      <c r="J7" s="21" t="s">
        <v>34</v>
      </c>
      <c r="K7" s="31" t="s">
        <v>48</v>
      </c>
      <c r="L7" s="31" t="s">
        <v>49</v>
      </c>
      <c r="M7" s="31" t="s">
        <v>50</v>
      </c>
      <c r="O7" s="32" t="s">
        <v>13</v>
      </c>
      <c r="P7" s="32" t="s">
        <v>14</v>
      </c>
      <c r="Q7" s="32" t="s">
        <v>15</v>
      </c>
      <c r="R7" s="32" t="s">
        <v>0</v>
      </c>
    </row>
    <row r="8" spans="2:18" x14ac:dyDescent="0.25">
      <c r="B8" s="36"/>
      <c r="C8" s="34"/>
      <c r="D8" s="34"/>
      <c r="E8" s="14" t="s">
        <v>6</v>
      </c>
      <c r="F8" s="22" t="s">
        <v>7</v>
      </c>
      <c r="G8" s="22" t="s">
        <v>9</v>
      </c>
      <c r="H8" s="17" t="s">
        <v>11</v>
      </c>
      <c r="I8" s="22" t="s">
        <v>9</v>
      </c>
      <c r="J8" s="22" t="s">
        <v>9</v>
      </c>
      <c r="K8" s="8"/>
      <c r="L8" s="8" t="s">
        <v>51</v>
      </c>
      <c r="M8" s="8" t="s">
        <v>51</v>
      </c>
      <c r="O8" s="32"/>
      <c r="P8" s="32"/>
      <c r="Q8" s="32"/>
      <c r="R8" s="32"/>
    </row>
    <row r="9" spans="2:18" ht="13.25" customHeight="1" x14ac:dyDescent="0.25">
      <c r="B9" s="6">
        <v>44029.020833333336</v>
      </c>
      <c r="C9" s="28">
        <v>1</v>
      </c>
      <c r="D9" s="28">
        <v>2020</v>
      </c>
      <c r="E9" s="19">
        <v>75.510000000000005</v>
      </c>
      <c r="F9" s="23">
        <f>IF(L9&gt;0,-MIN(battery_power*L9,(battery_capacity-I9)/(charge_efficiency/100)*2),IF(M9&gt;0,MIN(battery_power*M9,I9/(discharge_efficiency/100)*2),0))</f>
        <v>0</v>
      </c>
      <c r="G9" s="23">
        <f>F9/2*IF(F9&lt;0,1,discharge_efficiency/100)</f>
        <v>0</v>
      </c>
      <c r="H9" s="18">
        <f>G9*E9*IF(G9&lt;0,1/mlf,mlf)</f>
        <v>0</v>
      </c>
      <c r="I9" s="23">
        <v>0</v>
      </c>
      <c r="J9" s="23">
        <f>MAX(0,MIN(I9-G9*IF(G9&lt;0,charge_efficiency/100,100/discharge_efficiency),battery_capacity))</f>
        <v>0</v>
      </c>
      <c r="K9" s="7"/>
      <c r="L9" s="37"/>
      <c r="M9" s="37"/>
      <c r="O9" s="9" t="s">
        <v>2</v>
      </c>
      <c r="P9" s="10" t="s">
        <v>16</v>
      </c>
      <c r="Q9" s="12" t="s">
        <v>17</v>
      </c>
      <c r="R9" s="11" t="s">
        <v>18</v>
      </c>
    </row>
    <row r="10" spans="2:18" ht="13.25" customHeight="1" x14ac:dyDescent="0.25">
      <c r="B10" s="6">
        <v>44029.041666666664</v>
      </c>
      <c r="C10" s="28">
        <v>2</v>
      </c>
      <c r="D10" s="28">
        <v>2020</v>
      </c>
      <c r="E10" s="19">
        <v>73.98</v>
      </c>
      <c r="F10" s="23">
        <f>IF(L10&gt;0,-MIN(battery_power*L10,(battery_capacity-I10)/(charge_efficiency/100)*2),IF(M10&gt;0,MIN(battery_power*M10,I10/(discharge_efficiency/100)*2),0))</f>
        <v>0</v>
      </c>
      <c r="G10" s="23">
        <f>F10/2*IF(F10&lt;0,1,discharge_efficiency/100)</f>
        <v>0</v>
      </c>
      <c r="H10" s="18">
        <f>G10*E10*IF(G10&lt;0,1/mlf,mlf)</f>
        <v>0</v>
      </c>
      <c r="I10" s="23">
        <f t="shared" ref="I10" si="0">J9</f>
        <v>0</v>
      </c>
      <c r="J10" s="23">
        <f>MAX(0,MIN(I10-G10*IF(G10&lt;0,charge_efficiency/100,100/discharge_efficiency),battery_capacity))</f>
        <v>0</v>
      </c>
      <c r="K10" s="7"/>
      <c r="L10" s="37"/>
      <c r="M10" s="37"/>
      <c r="O10" s="9" t="s">
        <v>8</v>
      </c>
      <c r="P10" s="10" t="s">
        <v>7</v>
      </c>
      <c r="Q10" s="12">
        <v>300</v>
      </c>
      <c r="R10" s="11" t="s">
        <v>19</v>
      </c>
    </row>
    <row r="11" spans="2:18" ht="13.25" customHeight="1" x14ac:dyDescent="0.25">
      <c r="B11" s="6">
        <v>44029.0625</v>
      </c>
      <c r="C11" s="28">
        <v>3</v>
      </c>
      <c r="D11" s="28">
        <v>2020</v>
      </c>
      <c r="E11" s="19">
        <v>75.569999999999993</v>
      </c>
      <c r="F11" s="23">
        <f>IF(L11&gt;0,-MIN(battery_power*L11,(battery_capacity-I11)/(charge_efficiency/100)*2),IF(M11&gt;0,MIN(battery_power*M11,I11/(discharge_efficiency/100)*2),0))</f>
        <v>0</v>
      </c>
      <c r="G11" s="23">
        <f>F11/2*IF(F11&lt;0,1,discharge_efficiency/100)</f>
        <v>0</v>
      </c>
      <c r="H11" s="18">
        <f>G11*E11*IF(G11&lt;0,1/mlf,mlf)</f>
        <v>0</v>
      </c>
      <c r="I11" s="23">
        <f>J10</f>
        <v>0</v>
      </c>
      <c r="J11" s="23">
        <f>MAX(0,MIN(I11-G11*IF(G11&lt;0,charge_efficiency/100,100/discharge_efficiency),battery_capacity))</f>
        <v>0</v>
      </c>
      <c r="K11" s="7"/>
      <c r="L11" s="37"/>
      <c r="M11" s="37"/>
      <c r="O11" s="9" t="s">
        <v>12</v>
      </c>
      <c r="P11" s="10" t="s">
        <v>9</v>
      </c>
      <c r="Q11" s="12">
        <v>580</v>
      </c>
      <c r="R11" s="11" t="s">
        <v>20</v>
      </c>
    </row>
    <row r="12" spans="2:18" ht="13.25" customHeight="1" x14ac:dyDescent="0.25">
      <c r="B12" s="6">
        <v>44029.083333333336</v>
      </c>
      <c r="C12" s="28">
        <v>4</v>
      </c>
      <c r="D12" s="28">
        <v>2020</v>
      </c>
      <c r="E12" s="19">
        <v>71.94</v>
      </c>
      <c r="F12" s="23">
        <f>IF(L12&gt;0,-MIN(battery_power*L12,(battery_capacity-I12)/(charge_efficiency/100)*2),IF(M12&gt;0,MIN(battery_power*M12,I12/(discharge_efficiency/100)*2),0))</f>
        <v>0</v>
      </c>
      <c r="G12" s="23">
        <f>F12/2*IF(F12&lt;0,1,discharge_efficiency/100)</f>
        <v>0</v>
      </c>
      <c r="H12" s="18">
        <f>G12*E12*IF(G12&lt;0,1/mlf,mlf)</f>
        <v>0</v>
      </c>
      <c r="I12" s="23">
        <f>J11</f>
        <v>0</v>
      </c>
      <c r="J12" s="23">
        <f>MAX(0,MIN(I12-G12*IF(G12&lt;0,charge_efficiency/100,100/discharge_efficiency),battery_capacity))</f>
        <v>0</v>
      </c>
      <c r="K12" s="7"/>
      <c r="L12" s="37"/>
      <c r="M12" s="37"/>
      <c r="O12" s="9" t="s">
        <v>21</v>
      </c>
      <c r="P12" s="10" t="s">
        <v>22</v>
      </c>
      <c r="Q12" s="12">
        <v>90</v>
      </c>
      <c r="R12" s="11" t="s">
        <v>23</v>
      </c>
    </row>
    <row r="13" spans="2:18" ht="13.25" customHeight="1" x14ac:dyDescent="0.25">
      <c r="B13" s="6">
        <v>44029.104166666664</v>
      </c>
      <c r="C13" s="28">
        <v>5</v>
      </c>
      <c r="D13" s="28">
        <v>2020</v>
      </c>
      <c r="E13" s="19">
        <v>74.099999999999994</v>
      </c>
      <c r="F13" s="23">
        <f>IF(L13&gt;0,-MIN(battery_power*L13,(battery_capacity-I13)/(charge_efficiency/100)*2),IF(M13&gt;0,MIN(battery_power*M13,I13/(discharge_efficiency/100)*2),0))</f>
        <v>0</v>
      </c>
      <c r="G13" s="23">
        <f>F13/2*IF(F13&lt;0,1,discharge_efficiency/100)</f>
        <v>0</v>
      </c>
      <c r="H13" s="18">
        <f>G13*E13*IF(G13&lt;0,1/mlf,mlf)</f>
        <v>0</v>
      </c>
      <c r="I13" s="23">
        <f>J12</f>
        <v>0</v>
      </c>
      <c r="J13" s="23">
        <f>MAX(0,MIN(I13-G13*IF(G13&lt;0,charge_efficiency/100,100/discharge_efficiency),battery_capacity))</f>
        <v>0</v>
      </c>
      <c r="K13" s="7"/>
      <c r="L13" s="37"/>
      <c r="M13" s="37"/>
      <c r="O13" s="9" t="s">
        <v>24</v>
      </c>
      <c r="P13" s="10" t="s">
        <v>22</v>
      </c>
      <c r="Q13" s="12">
        <v>90</v>
      </c>
      <c r="R13" s="11" t="s">
        <v>25</v>
      </c>
    </row>
    <row r="14" spans="2:18" ht="13.25" customHeight="1" x14ac:dyDescent="0.25">
      <c r="B14" s="6">
        <v>44029.125</v>
      </c>
      <c r="C14" s="28">
        <v>6</v>
      </c>
      <c r="D14" s="28">
        <v>2020</v>
      </c>
      <c r="E14" s="19">
        <v>67.36</v>
      </c>
      <c r="F14" s="23">
        <f>IF(L14&gt;0,-MIN(battery_power*L14,(battery_capacity-I14)/(charge_efficiency/100)*2),IF(M14&gt;0,MIN(battery_power*M14,I14/(discharge_efficiency/100)*2),0))</f>
        <v>0</v>
      </c>
      <c r="G14" s="23">
        <f>F14/2*IF(F14&lt;0,1,discharge_efficiency/100)</f>
        <v>0</v>
      </c>
      <c r="H14" s="18">
        <f>G14*E14*IF(G14&lt;0,1/mlf,mlf)</f>
        <v>0</v>
      </c>
      <c r="I14" s="23">
        <f>J13</f>
        <v>0</v>
      </c>
      <c r="J14" s="23">
        <f>MAX(0,MIN(I14-G14*IF(G14&lt;0,charge_efficiency/100,100/discharge_efficiency),battery_capacity))</f>
        <v>0</v>
      </c>
      <c r="K14" s="7"/>
      <c r="L14" s="37"/>
      <c r="M14" s="37"/>
      <c r="O14" s="9" t="s">
        <v>26</v>
      </c>
      <c r="P14" s="10" t="s">
        <v>27</v>
      </c>
      <c r="Q14" s="12">
        <v>0.99099999999999999</v>
      </c>
      <c r="R14" s="11" t="s">
        <v>45</v>
      </c>
    </row>
    <row r="15" spans="2:18" ht="13.25" customHeight="1" x14ac:dyDescent="0.25">
      <c r="B15" s="6">
        <v>44029.145833333336</v>
      </c>
      <c r="C15" s="28">
        <v>7</v>
      </c>
      <c r="D15" s="28">
        <v>2020</v>
      </c>
      <c r="E15" s="19">
        <v>58.04</v>
      </c>
      <c r="F15" s="23">
        <f>IF(L15&gt;0,-MIN(battery_power*L15,(battery_capacity-I15)/(charge_efficiency/100)*2),IF(M15&gt;0,MIN(battery_power*M15,I15/(discharge_efficiency/100)*2),0))</f>
        <v>-300</v>
      </c>
      <c r="G15" s="23">
        <f>F15/2*IF(F15&lt;0,1,discharge_efficiency/100)</f>
        <v>-150</v>
      </c>
      <c r="H15" s="18">
        <f>G15*E15*IF(G15&lt;0,1/mlf,mlf)</f>
        <v>-8785.0655903128154</v>
      </c>
      <c r="I15" s="23">
        <f>J14</f>
        <v>0</v>
      </c>
      <c r="J15" s="23">
        <f>MAX(0,MIN(I15-G15*IF(G15&lt;0,charge_efficiency/100,100/discharge_efficiency),battery_capacity))</f>
        <v>135</v>
      </c>
      <c r="K15" s="7"/>
      <c r="L15" s="37">
        <v>1</v>
      </c>
      <c r="M15" s="37"/>
      <c r="O15" s="9" t="s">
        <v>28</v>
      </c>
      <c r="P15" s="10" t="s">
        <v>29</v>
      </c>
      <c r="Q15" s="12">
        <v>8.1</v>
      </c>
      <c r="R15" s="11" t="s">
        <v>30</v>
      </c>
    </row>
    <row r="16" spans="2:18" ht="13.25" customHeight="1" x14ac:dyDescent="0.25">
      <c r="B16" s="6">
        <v>44029.166666666664</v>
      </c>
      <c r="C16" s="28">
        <v>8</v>
      </c>
      <c r="D16" s="28">
        <v>2020</v>
      </c>
      <c r="E16" s="19">
        <v>51.85</v>
      </c>
      <c r="F16" s="23">
        <f>IF(L16&gt;0,-MIN(battery_power*L16,(battery_capacity-I16)/(charge_efficiency/100)*2),IF(M16&gt;0,MIN(battery_power*M16,I16/(discharge_efficiency/100)*2),0))</f>
        <v>-300</v>
      </c>
      <c r="G16" s="23">
        <f>F16/2*IF(F16&lt;0,1,discharge_efficiency/100)</f>
        <v>-150</v>
      </c>
      <c r="H16" s="18">
        <f>G16*E16*IF(G16&lt;0,1/mlf,mlf)</f>
        <v>-7848.1331987891017</v>
      </c>
      <c r="I16" s="23">
        <f>J15</f>
        <v>135</v>
      </c>
      <c r="J16" s="23">
        <f>MAX(0,MIN(I16-G16*IF(G16&lt;0,charge_efficiency/100,100/discharge_efficiency),battery_capacity))</f>
        <v>270</v>
      </c>
      <c r="K16" s="7"/>
      <c r="L16" s="37">
        <v>1</v>
      </c>
      <c r="M16" s="37"/>
      <c r="O16" s="9" t="s">
        <v>31</v>
      </c>
      <c r="P16" s="10" t="s">
        <v>6</v>
      </c>
      <c r="Q16" s="12">
        <v>0</v>
      </c>
      <c r="R16" s="11" t="s">
        <v>32</v>
      </c>
    </row>
    <row r="17" spans="2:18" ht="13.25" customHeight="1" x14ac:dyDescent="0.25">
      <c r="B17" s="6">
        <v>44029.1875</v>
      </c>
      <c r="C17" s="28">
        <v>9</v>
      </c>
      <c r="D17" s="28">
        <v>2020</v>
      </c>
      <c r="E17" s="19">
        <v>74.53</v>
      </c>
      <c r="F17" s="23">
        <f>IF(L17&gt;0,-MIN(battery_power*L17,(battery_capacity-I17)/(charge_efficiency/100)*2),IF(M17&gt;0,MIN(battery_power*M17,I17/(discharge_efficiency/100)*2),0))</f>
        <v>0</v>
      </c>
      <c r="G17" s="23">
        <f>F17/2*IF(F17&lt;0,1,discharge_efficiency/100)</f>
        <v>0</v>
      </c>
      <c r="H17" s="18">
        <f>G17*E17*IF(G17&lt;0,1/mlf,mlf)</f>
        <v>0</v>
      </c>
      <c r="I17" s="23">
        <f>J16</f>
        <v>270</v>
      </c>
      <c r="J17" s="23">
        <f>MAX(0,MIN(I17-G17*IF(G17&lt;0,charge_efficiency/100,100/discharge_efficiency),battery_capacity))</f>
        <v>270</v>
      </c>
      <c r="K17" s="7"/>
      <c r="L17" s="37"/>
      <c r="M17" s="37"/>
    </row>
    <row r="18" spans="2:18" ht="13.25" customHeight="1" x14ac:dyDescent="0.25">
      <c r="B18" s="6">
        <v>44029.208333333336</v>
      </c>
      <c r="C18" s="28">
        <v>10</v>
      </c>
      <c r="D18" s="28">
        <v>2020</v>
      </c>
      <c r="E18" s="19">
        <v>67.319999999999993</v>
      </c>
      <c r="F18" s="23">
        <f>IF(L18&gt;0,-MIN(battery_power*L18,(battery_capacity-I18)/(charge_efficiency/100)*2),IF(M18&gt;0,MIN(battery_power*M18,I18/(discharge_efficiency/100)*2),0))</f>
        <v>0</v>
      </c>
      <c r="G18" s="23">
        <f>F18/2*IF(F18&lt;0,1,discharge_efficiency/100)</f>
        <v>0</v>
      </c>
      <c r="H18" s="18">
        <f>G18*E18*IF(G18&lt;0,1/mlf,mlf)</f>
        <v>0</v>
      </c>
      <c r="I18" s="23">
        <f>J17</f>
        <v>270</v>
      </c>
      <c r="J18" s="23">
        <f>MAX(0,MIN(I18-G18*IF(G18&lt;0,charge_efficiency/100,100/discharge_efficiency),battery_capacity))</f>
        <v>270</v>
      </c>
      <c r="K18" s="7"/>
      <c r="L18" s="37"/>
      <c r="M18" s="37"/>
    </row>
    <row r="19" spans="2:18" ht="13.25" customHeight="1" x14ac:dyDescent="0.35">
      <c r="B19" s="6">
        <v>44029.229166666664</v>
      </c>
      <c r="C19" s="28">
        <v>11</v>
      </c>
      <c r="D19" s="28">
        <v>2020</v>
      </c>
      <c r="E19" s="19">
        <v>69.14</v>
      </c>
      <c r="F19" s="23">
        <f>IF(L19&gt;0,-MIN(battery_power*L19,(battery_capacity-I19)/(charge_efficiency/100)*2),IF(M19&gt;0,MIN(battery_power*M19,I19/(discharge_efficiency/100)*2),0))</f>
        <v>0</v>
      </c>
      <c r="G19" s="23">
        <f>F19/2*IF(F19&lt;0,1,discharge_efficiency/100)</f>
        <v>0</v>
      </c>
      <c r="H19" s="18">
        <f>G19*E19*IF(G19&lt;0,1/mlf,mlf)</f>
        <v>0</v>
      </c>
      <c r="I19" s="23">
        <f>J18</f>
        <v>270</v>
      </c>
      <c r="J19" s="23">
        <f>MAX(0,MIN(I19-G19*IF(G19&lt;0,charge_efficiency/100,100/discharge_efficiency),battery_capacity))</f>
        <v>270</v>
      </c>
      <c r="K19" s="7"/>
      <c r="L19" s="37"/>
      <c r="M19" s="37"/>
      <c r="O19" s="4" t="s">
        <v>37</v>
      </c>
    </row>
    <row r="20" spans="2:18" ht="12.5" customHeight="1" x14ac:dyDescent="0.25">
      <c r="B20" s="6">
        <v>44029.25</v>
      </c>
      <c r="C20" s="28">
        <v>12</v>
      </c>
      <c r="D20" s="28">
        <v>2020</v>
      </c>
      <c r="E20" s="19">
        <v>64.989999999999995</v>
      </c>
      <c r="F20" s="23">
        <f>IF(L20&gt;0,-MIN(battery_power*L20,(battery_capacity-I20)/(charge_efficiency/100)*2),IF(M20&gt;0,MIN(battery_power*M20,I20/(discharge_efficiency/100)*2),0))</f>
        <v>-33.6</v>
      </c>
      <c r="G20" s="23">
        <f>F20/2*IF(F20&lt;0,1,discharge_efficiency/100)</f>
        <v>-16.8</v>
      </c>
      <c r="H20" s="18">
        <f>G20*E20*IF(G20&lt;0,1/mlf,mlf)</f>
        <v>-1101.7477295660947</v>
      </c>
      <c r="I20" s="23">
        <f>J19</f>
        <v>270</v>
      </c>
      <c r="J20" s="23">
        <f>MAX(0,MIN(I20-G20*IF(G20&lt;0,charge_efficiency/100,100/discharge_efficiency),battery_capacity))</f>
        <v>285.12</v>
      </c>
      <c r="K20" s="7"/>
      <c r="L20" s="37">
        <v>0.112</v>
      </c>
      <c r="M20" s="37"/>
      <c r="O20" s="32" t="s">
        <v>1</v>
      </c>
      <c r="P20" s="21" t="s">
        <v>38</v>
      </c>
      <c r="Q20" s="21" t="s">
        <v>39</v>
      </c>
      <c r="R20" s="32" t="s">
        <v>0</v>
      </c>
    </row>
    <row r="21" spans="2:18" ht="12.5" customHeight="1" x14ac:dyDescent="0.25">
      <c r="B21" s="6">
        <v>44029.270833333336</v>
      </c>
      <c r="C21" s="28">
        <v>13</v>
      </c>
      <c r="D21" s="28">
        <v>2020</v>
      </c>
      <c r="E21" s="19">
        <v>65.349999999999994</v>
      </c>
      <c r="F21" s="23">
        <f>IF(L21&gt;0,-MIN(battery_power*L21,(battery_capacity-I21)/(charge_efficiency/100)*2),IF(M21&gt;0,MIN(battery_power*M21,I21/(discharge_efficiency/100)*2),0))</f>
        <v>0</v>
      </c>
      <c r="G21" s="23">
        <f>F21/2*IF(F21&lt;0,1,discharge_efficiency/100)</f>
        <v>0</v>
      </c>
      <c r="H21" s="18">
        <f>G21*E21*IF(G21&lt;0,1/mlf,mlf)</f>
        <v>0</v>
      </c>
      <c r="I21" s="23">
        <f>J20</f>
        <v>285.12</v>
      </c>
      <c r="J21" s="23">
        <f>MAX(0,MIN(I21-G21*IF(G21&lt;0,charge_efficiency/100,100/discharge_efficiency),battery_capacity))</f>
        <v>285.12</v>
      </c>
      <c r="K21" s="7"/>
      <c r="L21" s="37"/>
      <c r="M21" s="37"/>
      <c r="O21" s="32"/>
      <c r="P21" s="22" t="s">
        <v>11</v>
      </c>
      <c r="Q21" s="22" t="s">
        <v>11</v>
      </c>
      <c r="R21" s="32"/>
    </row>
    <row r="22" spans="2:18" x14ac:dyDescent="0.25">
      <c r="B22" s="6">
        <v>44029.291666666664</v>
      </c>
      <c r="C22" s="28">
        <v>14</v>
      </c>
      <c r="D22" s="28">
        <v>2020</v>
      </c>
      <c r="E22" s="19">
        <v>76.16</v>
      </c>
      <c r="F22" s="23">
        <f>IF(L22&gt;0,-MIN(battery_power*L22,(battery_capacity-I22)/(charge_efficiency/100)*2),IF(M22&gt;0,MIN(battery_power*M22,I22/(discharge_efficiency/100)*2),0))</f>
        <v>0</v>
      </c>
      <c r="G22" s="23">
        <f>F22/2*IF(F22&lt;0,1,discharge_efficiency/100)</f>
        <v>0</v>
      </c>
      <c r="H22" s="18">
        <f>G22*E22*IF(G22&lt;0,1/mlf,mlf)</f>
        <v>0</v>
      </c>
      <c r="I22" s="23">
        <f>J21</f>
        <v>285.12</v>
      </c>
      <c r="J22" s="23">
        <f>MAX(0,MIN(I22-G22*IF(G22&lt;0,charge_efficiency/100,100/discharge_efficiency),battery_capacity))</f>
        <v>285.12</v>
      </c>
      <c r="K22" s="7"/>
      <c r="L22" s="37"/>
      <c r="M22" s="37"/>
      <c r="O22" s="9">
        <v>2018</v>
      </c>
      <c r="P22" s="24">
        <f>SUMIFS($H$9:$H$55,$D$9:$D$55,$O22)</f>
        <v>0</v>
      </c>
      <c r="Q22" s="24">
        <f>fixed_om*battery_power*1000+SUMIFS($G$9:$G$55,$G$9:$G$55,"&gt;0",$D$9:$D$55,$O22)*variable_om</f>
        <v>2430000</v>
      </c>
      <c r="R22" s="11" t="s">
        <v>40</v>
      </c>
    </row>
    <row r="23" spans="2:18" x14ac:dyDescent="0.25">
      <c r="B23" s="6">
        <v>44029.3125</v>
      </c>
      <c r="C23" s="28">
        <v>15</v>
      </c>
      <c r="D23" s="28">
        <v>2020</v>
      </c>
      <c r="E23" s="19">
        <v>79.41</v>
      </c>
      <c r="F23" s="23">
        <f>IF(L23&gt;0,-MIN(battery_power*L23,(battery_capacity-I23)/(charge_efficiency/100)*2),IF(M23&gt;0,MIN(battery_power*M23,I23/(discharge_efficiency/100)*2),0))</f>
        <v>0</v>
      </c>
      <c r="G23" s="23">
        <f>F23/2*IF(F23&lt;0,1,discharge_efficiency/100)</f>
        <v>0</v>
      </c>
      <c r="H23" s="18">
        <f>G23*E23*IF(G23&lt;0,1/mlf,mlf)</f>
        <v>0</v>
      </c>
      <c r="I23" s="23">
        <f>J22</f>
        <v>285.12</v>
      </c>
      <c r="J23" s="23">
        <f>MAX(0,MIN(I23-G23*IF(G23&lt;0,charge_efficiency/100,100/discharge_efficiency),battery_capacity))</f>
        <v>285.12</v>
      </c>
      <c r="K23" s="7"/>
      <c r="L23" s="37"/>
      <c r="M23" s="37"/>
      <c r="O23" s="9">
        <v>2019</v>
      </c>
      <c r="P23" s="24">
        <f>SUMIFS($H$9:$H$55,$D$9:$D$55,$O23)</f>
        <v>0</v>
      </c>
      <c r="Q23" s="24">
        <f>fixed_om*battery_power*1000+SUMIFS($G$9:$G$55,$G$9:$G$55,"&gt;0",$D$9:$D$55,$O23)*variable_om</f>
        <v>2430000</v>
      </c>
      <c r="R23" s="11" t="s">
        <v>40</v>
      </c>
    </row>
    <row r="24" spans="2:18" x14ac:dyDescent="0.25">
      <c r="B24" s="6">
        <v>44029.333333333336</v>
      </c>
      <c r="C24" s="28">
        <v>16</v>
      </c>
      <c r="D24" s="28">
        <v>2020</v>
      </c>
      <c r="E24" s="19">
        <v>83.26</v>
      </c>
      <c r="F24" s="23">
        <f>IF(L24&gt;0,-MIN(battery_power*L24,(battery_capacity-I24)/(charge_efficiency/100)*2),IF(M24&gt;0,MIN(battery_power*M24,I24/(discharge_efficiency/100)*2),0))</f>
        <v>0</v>
      </c>
      <c r="G24" s="23">
        <f>F24/2*IF(F24&lt;0,1,discharge_efficiency/100)</f>
        <v>0</v>
      </c>
      <c r="H24" s="18">
        <f>G24*E24*IF(G24&lt;0,1/mlf,mlf)</f>
        <v>0</v>
      </c>
      <c r="I24" s="23">
        <f>J23</f>
        <v>285.12</v>
      </c>
      <c r="J24" s="23">
        <f>MAX(0,MIN(I24-G24*IF(G24&lt;0,charge_efficiency/100,100/discharge_efficiency),battery_capacity))</f>
        <v>285.12</v>
      </c>
      <c r="K24" s="7"/>
      <c r="L24" s="37"/>
      <c r="M24" s="37"/>
      <c r="O24" s="9">
        <v>2020</v>
      </c>
      <c r="P24" s="24">
        <f>SUMIFS($H$9:$H$55,$D$9:$D$55,$O24)</f>
        <v>45520.345027716452</v>
      </c>
      <c r="Q24" s="24">
        <f>fixed_om*battery_power*1000+SUMIFS($G$9:$G$55,$G$9:$G$55,"&gt;0",$D$9:$D$55,$O24)*variable_om</f>
        <v>2430000</v>
      </c>
      <c r="R24" s="11" t="s">
        <v>40</v>
      </c>
    </row>
    <row r="25" spans="2:18" x14ac:dyDescent="0.25">
      <c r="B25" s="6">
        <v>44029.354166666664</v>
      </c>
      <c r="C25" s="28">
        <v>17</v>
      </c>
      <c r="D25" s="28">
        <v>2020</v>
      </c>
      <c r="E25" s="19">
        <v>153.81</v>
      </c>
      <c r="F25" s="23">
        <f>IF(L25&gt;0,-MIN(battery_power*L25,(battery_capacity-I25)/(charge_efficiency/100)*2),IF(M25&gt;0,MIN(battery_power*M25,I25/(discharge_efficiency/100)*2),0))</f>
        <v>300</v>
      </c>
      <c r="G25" s="23">
        <f>F25/2*IF(F25&lt;0,1,discharge_efficiency/100)</f>
        <v>135</v>
      </c>
      <c r="H25" s="18">
        <f>G25*E25*IF(G25&lt;0,1/mlf,mlf)</f>
        <v>20577.470849999998</v>
      </c>
      <c r="I25" s="23">
        <f>J24</f>
        <v>285.12</v>
      </c>
      <c r="J25" s="23">
        <f>MAX(0,MIN(I25-G25*IF(G25&lt;0,charge_efficiency/100,100/discharge_efficiency),battery_capacity))</f>
        <v>135.12</v>
      </c>
      <c r="K25" s="7"/>
      <c r="L25" s="37"/>
      <c r="M25" s="37">
        <v>1</v>
      </c>
      <c r="O25" s="9">
        <v>2021</v>
      </c>
      <c r="P25" s="24">
        <f>SUMIFS($H$9:$H$55,$D$9:$D$55,$O25)</f>
        <v>0</v>
      </c>
      <c r="Q25" s="24">
        <f>fixed_om*battery_power*1000+SUMIFS($G$9:$G$55,$G$9:$G$55,"&gt;0",$D$9:$D$55,$O25)*variable_om</f>
        <v>2430000</v>
      </c>
      <c r="R25" s="11" t="s">
        <v>41</v>
      </c>
    </row>
    <row r="26" spans="2:18" ht="13" x14ac:dyDescent="0.25">
      <c r="B26" s="6">
        <v>44029.375</v>
      </c>
      <c r="C26" s="28">
        <v>18</v>
      </c>
      <c r="D26" s="28">
        <v>2020</v>
      </c>
      <c r="E26" s="19">
        <v>93.68</v>
      </c>
      <c r="F26" s="23">
        <f>IF(L26&gt;0,-MIN(battery_power*L26,(battery_capacity-I26)/(charge_efficiency/100)*2),IF(M26&gt;0,MIN(battery_power*M26,I26/(discharge_efficiency/100)*2),0))</f>
        <v>0</v>
      </c>
      <c r="G26" s="23">
        <f>F26/2*IF(F26&lt;0,1,discharge_efficiency/100)</f>
        <v>0</v>
      </c>
      <c r="H26" s="18">
        <f>G26*E26*IF(G26&lt;0,1/mlf,mlf)</f>
        <v>0</v>
      </c>
      <c r="I26" s="23">
        <f>J25</f>
        <v>135.12</v>
      </c>
      <c r="J26" s="23">
        <f>MAX(0,MIN(I26-G26*IF(G26&lt;0,charge_efficiency/100,100/discharge_efficiency),battery_capacity))</f>
        <v>135.12</v>
      </c>
      <c r="K26" s="7"/>
      <c r="L26" s="37"/>
      <c r="M26" s="37"/>
      <c r="O26" s="29" t="s">
        <v>3</v>
      </c>
      <c r="P26" s="30">
        <f>SUM(P22:P25)</f>
        <v>45520.345027716452</v>
      </c>
      <c r="Q26" s="30">
        <f>SUM(Q22:Q25)</f>
        <v>9720000</v>
      </c>
      <c r="R26" s="11" t="s">
        <v>42</v>
      </c>
    </row>
    <row r="27" spans="2:18" x14ac:dyDescent="0.25">
      <c r="B27" s="6">
        <v>44029.395833333336</v>
      </c>
      <c r="C27" s="28">
        <v>19</v>
      </c>
      <c r="D27" s="28">
        <v>2020</v>
      </c>
      <c r="E27" s="19">
        <v>72.650000000000006</v>
      </c>
      <c r="F27" s="23">
        <f>IF(L27&gt;0,-MIN(battery_power*L27,(battery_capacity-I27)/(charge_efficiency/100)*2),IF(M27&gt;0,MIN(battery_power*M27,I27/(discharge_efficiency/100)*2),0))</f>
        <v>0</v>
      </c>
      <c r="G27" s="23">
        <f>F27/2*IF(F27&lt;0,1,discharge_efficiency/100)</f>
        <v>0</v>
      </c>
      <c r="H27" s="18">
        <f>G27*E27*IF(G27&lt;0,1/mlf,mlf)</f>
        <v>0</v>
      </c>
      <c r="I27" s="23">
        <f>J26</f>
        <v>135.12</v>
      </c>
      <c r="J27" s="23">
        <f>MAX(0,MIN(I27-G27*IF(G27&lt;0,charge_efficiency/100,100/discharge_efficiency),battery_capacity))</f>
        <v>135.12</v>
      </c>
      <c r="K27" s="7"/>
      <c r="L27" s="37"/>
      <c r="M27" s="37"/>
    </row>
    <row r="28" spans="2:18" x14ac:dyDescent="0.25">
      <c r="B28" s="6">
        <v>44029.416666666664</v>
      </c>
      <c r="C28" s="28">
        <v>20</v>
      </c>
      <c r="D28" s="28">
        <v>2020</v>
      </c>
      <c r="E28" s="19">
        <v>71.66</v>
      </c>
      <c r="F28" s="23">
        <f>IF(L28&gt;0,-MIN(battery_power*L28,(battery_capacity-I28)/(charge_efficiency/100)*2),IF(M28&gt;0,MIN(battery_power*M28,I28/(discharge_efficiency/100)*2),0))</f>
        <v>0</v>
      </c>
      <c r="G28" s="23">
        <f>F28/2*IF(F28&lt;0,1,discharge_efficiency/100)</f>
        <v>0</v>
      </c>
      <c r="H28" s="18">
        <f>G28*E28*IF(G28&lt;0,1/mlf,mlf)</f>
        <v>0</v>
      </c>
      <c r="I28" s="23">
        <f>J27</f>
        <v>135.12</v>
      </c>
      <c r="J28" s="23">
        <f>MAX(0,MIN(I28-G28*IF(G28&lt;0,charge_efficiency/100,100/discharge_efficiency),battery_capacity))</f>
        <v>135.12</v>
      </c>
      <c r="K28" s="7"/>
      <c r="L28" s="37"/>
      <c r="M28" s="37"/>
    </row>
    <row r="29" spans="2:18" x14ac:dyDescent="0.25">
      <c r="B29" s="6">
        <v>44029.4375</v>
      </c>
      <c r="C29" s="28">
        <v>21</v>
      </c>
      <c r="D29" s="28">
        <v>2020</v>
      </c>
      <c r="E29" s="19">
        <v>110.29</v>
      </c>
      <c r="F29" s="23">
        <f>IF(L29&gt;0,-MIN(battery_power*L29,(battery_capacity-I29)/(charge_efficiency/100)*2),IF(M29&gt;0,MIN(battery_power*M29,I29/(discharge_efficiency/100)*2),0))</f>
        <v>300</v>
      </c>
      <c r="G29" s="23">
        <f>F29/2*IF(F29&lt;0,1,discharge_efficiency/100)</f>
        <v>135</v>
      </c>
      <c r="H29" s="18">
        <f>G29*E29*IF(G29&lt;0,1/mlf,mlf)</f>
        <v>14755.147650000001</v>
      </c>
      <c r="I29" s="23">
        <f>J28</f>
        <v>135.12</v>
      </c>
      <c r="J29" s="23">
        <f>MAX(0,MIN(I29-G29*IF(G29&lt;0,charge_efficiency/100,100/discharge_efficiency),battery_capacity))</f>
        <v>0</v>
      </c>
      <c r="K29" s="7"/>
      <c r="L29" s="37"/>
      <c r="M29" s="37">
        <v>1</v>
      </c>
    </row>
    <row r="30" spans="2:18" ht="12.5" customHeight="1" x14ac:dyDescent="0.25">
      <c r="B30" s="6">
        <v>44029.458333333336</v>
      </c>
      <c r="C30" s="28">
        <v>22</v>
      </c>
      <c r="D30" s="28">
        <v>2020</v>
      </c>
      <c r="E30" s="19">
        <v>72.7</v>
      </c>
      <c r="F30" s="23">
        <f>IF(L30&gt;0,-MIN(battery_power*L30,(battery_capacity-I30)/(charge_efficiency/100)*2),IF(M30&gt;0,MIN(battery_power*M30,I30/(discharge_efficiency/100)*2),0))</f>
        <v>0</v>
      </c>
      <c r="G30" s="23">
        <f>F30/2*IF(F30&lt;0,1,discharge_efficiency/100)</f>
        <v>0</v>
      </c>
      <c r="H30" s="18">
        <f>G30*E30*IF(G30&lt;0,1/mlf,mlf)</f>
        <v>0</v>
      </c>
      <c r="I30" s="23">
        <f>J29</f>
        <v>0</v>
      </c>
      <c r="J30" s="23">
        <f>MAX(0,MIN(I30-G30*IF(G30&lt;0,charge_efficiency/100,100/discharge_efficiency),battery_capacity))</f>
        <v>0</v>
      </c>
      <c r="K30" s="7"/>
      <c r="L30" s="37"/>
      <c r="M30" s="37"/>
    </row>
    <row r="31" spans="2:18" ht="12.5" customHeight="1" x14ac:dyDescent="0.25">
      <c r="B31" s="6">
        <v>44029.479166666664</v>
      </c>
      <c r="C31" s="28">
        <v>23</v>
      </c>
      <c r="D31" s="28">
        <v>2020</v>
      </c>
      <c r="E31" s="19">
        <v>76.14</v>
      </c>
      <c r="F31" s="23">
        <f>IF(L31&gt;0,-MIN(battery_power*L31,(battery_capacity-I31)/(charge_efficiency/100)*2),IF(M31&gt;0,MIN(battery_power*M31,I31/(discharge_efficiency/100)*2),0))</f>
        <v>0</v>
      </c>
      <c r="G31" s="23">
        <f>F31/2*IF(F31&lt;0,1,discharge_efficiency/100)</f>
        <v>0</v>
      </c>
      <c r="H31" s="18">
        <f>G31*E31*IF(G31&lt;0,1/mlf,mlf)</f>
        <v>0</v>
      </c>
      <c r="I31" s="23">
        <f>J30</f>
        <v>0</v>
      </c>
      <c r="J31" s="23">
        <f>MAX(0,MIN(I31-G31*IF(G31&lt;0,charge_efficiency/100,100/discharge_efficiency),battery_capacity))</f>
        <v>0</v>
      </c>
      <c r="K31" s="7"/>
      <c r="L31" s="37"/>
      <c r="M31" s="37"/>
    </row>
    <row r="32" spans="2:18" x14ac:dyDescent="0.25">
      <c r="B32" s="6">
        <v>44029.5</v>
      </c>
      <c r="C32" s="28">
        <v>24</v>
      </c>
      <c r="D32" s="28">
        <v>2020</v>
      </c>
      <c r="E32" s="19">
        <v>63.2</v>
      </c>
      <c r="F32" s="23">
        <f>IF(L32&gt;0,-MIN(battery_power*L32,(battery_capacity-I32)/(charge_efficiency/100)*2),IF(M32&gt;0,MIN(battery_power*M32,I32/(discharge_efficiency/100)*2),0))</f>
        <v>0</v>
      </c>
      <c r="G32" s="23">
        <f>F32/2*IF(F32&lt;0,1,discharge_efficiency/100)</f>
        <v>0</v>
      </c>
      <c r="H32" s="18">
        <f>G32*E32*IF(G32&lt;0,1/mlf,mlf)</f>
        <v>0</v>
      </c>
      <c r="I32" s="23">
        <f>J31</f>
        <v>0</v>
      </c>
      <c r="J32" s="23">
        <f>MAX(0,MIN(I32-G32*IF(G32&lt;0,charge_efficiency/100,100/discharge_efficiency),battery_capacity))</f>
        <v>0</v>
      </c>
      <c r="K32" s="7"/>
      <c r="L32" s="37"/>
      <c r="M32" s="37"/>
    </row>
    <row r="33" spans="2:15" x14ac:dyDescent="0.25">
      <c r="B33" s="6">
        <v>44029.520833333336</v>
      </c>
      <c r="C33" s="28">
        <v>25</v>
      </c>
      <c r="D33" s="28">
        <v>2020</v>
      </c>
      <c r="E33" s="19">
        <v>71.709999999999994</v>
      </c>
      <c r="F33" s="23">
        <f>IF(L33&gt;0,-MIN(battery_power*L33,(battery_capacity-I33)/(charge_efficiency/100)*2),IF(M33&gt;0,MIN(battery_power*M33,I33/(discharge_efficiency/100)*2),0))</f>
        <v>0</v>
      </c>
      <c r="G33" s="23">
        <f>F33/2*IF(F33&lt;0,1,discharge_efficiency/100)</f>
        <v>0</v>
      </c>
      <c r="H33" s="18">
        <f>G33*E33*IF(G33&lt;0,1/mlf,mlf)</f>
        <v>0</v>
      </c>
      <c r="I33" s="23">
        <f>J32</f>
        <v>0</v>
      </c>
      <c r="J33" s="23">
        <f>MAX(0,MIN(I33-G33*IF(G33&lt;0,charge_efficiency/100,100/discharge_efficiency),battery_capacity))</f>
        <v>0</v>
      </c>
      <c r="K33" s="7"/>
      <c r="L33" s="37"/>
      <c r="M33" s="37"/>
    </row>
    <row r="34" spans="2:15" x14ac:dyDescent="0.25">
      <c r="B34" s="6">
        <v>44029.541666666664</v>
      </c>
      <c r="C34" s="28">
        <v>26</v>
      </c>
      <c r="D34" s="28">
        <v>2020</v>
      </c>
      <c r="E34" s="19">
        <v>67.72</v>
      </c>
      <c r="F34" s="23">
        <f>IF(L34&gt;0,-MIN(battery_power*L34,(battery_capacity-I34)/(charge_efficiency/100)*2),IF(M34&gt;0,MIN(battery_power*M34,I34/(discharge_efficiency/100)*2),0))</f>
        <v>0</v>
      </c>
      <c r="G34" s="23">
        <f>F34/2*IF(F34&lt;0,1,discharge_efficiency/100)</f>
        <v>0</v>
      </c>
      <c r="H34" s="18">
        <f>G34*E34*IF(G34&lt;0,1/mlf,mlf)</f>
        <v>0</v>
      </c>
      <c r="I34" s="23">
        <f>J33</f>
        <v>0</v>
      </c>
      <c r="J34" s="23">
        <f>MAX(0,MIN(I34-G34*IF(G34&lt;0,charge_efficiency/100,100/discharge_efficiency),battery_capacity))</f>
        <v>0</v>
      </c>
      <c r="K34" s="7"/>
      <c r="L34" s="37"/>
      <c r="M34" s="37"/>
      <c r="O34" s="38"/>
    </row>
    <row r="35" spans="2:15" x14ac:dyDescent="0.25">
      <c r="B35" s="6">
        <v>44029.5625</v>
      </c>
      <c r="C35" s="28">
        <v>27</v>
      </c>
      <c r="D35" s="28">
        <v>2020</v>
      </c>
      <c r="E35" s="19">
        <v>46.23</v>
      </c>
      <c r="F35" s="23">
        <f>IF(L35&gt;0,-MIN(battery_power*L35,(battery_capacity-I35)/(charge_efficiency/100)*2),IF(M35&gt;0,MIN(battery_power*M35,I35/(discharge_efficiency/100)*2),0))</f>
        <v>0</v>
      </c>
      <c r="G35" s="23">
        <f>F35/2*IF(F35&lt;0,1,discharge_efficiency/100)</f>
        <v>0</v>
      </c>
      <c r="H35" s="18">
        <f>G35*E35*IF(G35&lt;0,1/mlf,mlf)</f>
        <v>0</v>
      </c>
      <c r="I35" s="23">
        <f>J34</f>
        <v>0</v>
      </c>
      <c r="J35" s="23">
        <f>MAX(0,MIN(I35-G35*IF(G35&lt;0,charge_efficiency/100,100/discharge_efficiency),battery_capacity))</f>
        <v>0</v>
      </c>
      <c r="K35" s="7"/>
      <c r="L35" s="37"/>
      <c r="M35" s="37"/>
    </row>
    <row r="36" spans="2:15" x14ac:dyDescent="0.25">
      <c r="B36" s="6">
        <v>44029.583333333336</v>
      </c>
      <c r="C36" s="28">
        <v>28</v>
      </c>
      <c r="D36" s="28">
        <v>2020</v>
      </c>
      <c r="E36" s="19">
        <v>39.75</v>
      </c>
      <c r="F36" s="23">
        <f>IF(L36&gt;0,-MIN(battery_power*L36,(battery_capacity-I36)/(charge_efficiency/100)*2),IF(M36&gt;0,MIN(battery_power*M36,I36/(discharge_efficiency/100)*2),0))</f>
        <v>-300</v>
      </c>
      <c r="G36" s="23">
        <f>F36/2*IF(F36&lt;0,1,discharge_efficiency/100)</f>
        <v>-150</v>
      </c>
      <c r="H36" s="18">
        <f>G36*E36*IF(G36&lt;0,1/mlf,mlf)</f>
        <v>-6016.6498486377395</v>
      </c>
      <c r="I36" s="23">
        <f>J35</f>
        <v>0</v>
      </c>
      <c r="J36" s="23">
        <f>MAX(0,MIN(I36-G36*IF(G36&lt;0,charge_efficiency/100,100/discharge_efficiency),battery_capacity))</f>
        <v>135</v>
      </c>
      <c r="K36" s="7"/>
      <c r="L36" s="37">
        <v>1</v>
      </c>
      <c r="M36" s="37"/>
    </row>
    <row r="37" spans="2:15" x14ac:dyDescent="0.25">
      <c r="B37" s="6">
        <v>44029.604166666664</v>
      </c>
      <c r="C37" s="28">
        <v>29</v>
      </c>
      <c r="D37" s="28">
        <v>2020</v>
      </c>
      <c r="E37" s="19">
        <v>39.94</v>
      </c>
      <c r="F37" s="23">
        <f>IF(L37&gt;0,-MIN(battery_power*L37,(battery_capacity-I37)/(charge_efficiency/100)*2),IF(M37&gt;0,MIN(battery_power*M37,I37/(discharge_efficiency/100)*2),0))</f>
        <v>-300</v>
      </c>
      <c r="G37" s="23">
        <f>F37/2*IF(F37&lt;0,1,discharge_efficiency/100)</f>
        <v>-150</v>
      </c>
      <c r="H37" s="18">
        <f>G37*E37*IF(G37&lt;0,1/mlf,mlf)</f>
        <v>-6045.4086781029264</v>
      </c>
      <c r="I37" s="23">
        <f>J36</f>
        <v>135</v>
      </c>
      <c r="J37" s="23">
        <f>MAX(0,MIN(I37-G37*IF(G37&lt;0,charge_efficiency/100,100/discharge_efficiency),battery_capacity))</f>
        <v>270</v>
      </c>
      <c r="K37" s="7"/>
      <c r="L37" s="37">
        <v>1</v>
      </c>
      <c r="M37" s="37"/>
    </row>
    <row r="38" spans="2:15" x14ac:dyDescent="0.25">
      <c r="B38" s="6">
        <v>44029.625</v>
      </c>
      <c r="C38" s="28">
        <v>30</v>
      </c>
      <c r="D38" s="28">
        <v>2020</v>
      </c>
      <c r="E38" s="19">
        <v>39.97</v>
      </c>
      <c r="F38" s="23">
        <f>IF(L38&gt;0,-MIN(battery_power*L38,(battery_capacity-I38)/(charge_efficiency/100)*2),IF(M38&gt;0,MIN(battery_power*M38,I38/(discharge_efficiency/100)*2),0))</f>
        <v>-156</v>
      </c>
      <c r="G38" s="23">
        <f>F38/2*IF(F38&lt;0,1,discharge_efficiency/100)</f>
        <v>-78</v>
      </c>
      <c r="H38" s="18">
        <f>G38*E38*IF(G38&lt;0,1/mlf,mlf)</f>
        <v>-3145.9737638748734</v>
      </c>
      <c r="I38" s="23">
        <f>J37</f>
        <v>270</v>
      </c>
      <c r="J38" s="23">
        <f>MAX(0,MIN(I38-G38*IF(G38&lt;0,charge_efficiency/100,100/discharge_efficiency),battery_capacity))</f>
        <v>340.2</v>
      </c>
      <c r="K38" s="7"/>
      <c r="L38" s="37">
        <v>0.52</v>
      </c>
      <c r="M38" s="37"/>
    </row>
    <row r="39" spans="2:15" x14ac:dyDescent="0.25">
      <c r="B39" s="6">
        <v>44029.645833333336</v>
      </c>
      <c r="C39" s="28">
        <v>31</v>
      </c>
      <c r="D39" s="28">
        <v>2020</v>
      </c>
      <c r="E39" s="19">
        <v>42.72</v>
      </c>
      <c r="F39" s="23">
        <f>IF(L39&gt;0,-MIN(battery_power*L39,(battery_capacity-I39)/(charge_efficiency/100)*2),IF(M39&gt;0,MIN(battery_power*M39,I39/(discharge_efficiency/100)*2),0))</f>
        <v>0</v>
      </c>
      <c r="G39" s="23">
        <f>F39/2*IF(F39&lt;0,1,discharge_efficiency/100)</f>
        <v>0</v>
      </c>
      <c r="H39" s="18">
        <f>G39*E39*IF(G39&lt;0,1/mlf,mlf)</f>
        <v>0</v>
      </c>
      <c r="I39" s="23">
        <f>J38</f>
        <v>340.2</v>
      </c>
      <c r="J39" s="23">
        <f>MAX(0,MIN(I39-G39*IF(G39&lt;0,charge_efficiency/100,100/discharge_efficiency),battery_capacity))</f>
        <v>340.2</v>
      </c>
      <c r="K39" s="7"/>
      <c r="L39" s="37"/>
      <c r="M39" s="37"/>
    </row>
    <row r="40" spans="2:15" x14ac:dyDescent="0.25">
      <c r="B40" s="6">
        <v>44029.666666666664</v>
      </c>
      <c r="C40" s="28">
        <v>32</v>
      </c>
      <c r="D40" s="28">
        <v>2020</v>
      </c>
      <c r="E40" s="19">
        <v>55.85</v>
      </c>
      <c r="F40" s="23">
        <f>IF(L40&gt;0,-MIN(battery_power*L40,(battery_capacity-I40)/(charge_efficiency/100)*2),IF(M40&gt;0,MIN(battery_power*M40,I40/(discharge_efficiency/100)*2),0))</f>
        <v>0</v>
      </c>
      <c r="G40" s="23">
        <f>F40/2*IF(F40&lt;0,1,discharge_efficiency/100)</f>
        <v>0</v>
      </c>
      <c r="H40" s="18">
        <f>G40*E40*IF(G40&lt;0,1/mlf,mlf)</f>
        <v>0</v>
      </c>
      <c r="I40" s="23">
        <f>J39</f>
        <v>340.2</v>
      </c>
      <c r="J40" s="23">
        <f>MAX(0,MIN(I40-G40*IF(G40&lt;0,charge_efficiency/100,100/discharge_efficiency),battery_capacity))</f>
        <v>340.2</v>
      </c>
      <c r="K40" s="7"/>
      <c r="L40" s="37"/>
      <c r="M40" s="37"/>
    </row>
    <row r="41" spans="2:15" x14ac:dyDescent="0.25">
      <c r="B41" s="6">
        <v>44029.6875</v>
      </c>
      <c r="C41" s="28">
        <v>33</v>
      </c>
      <c r="D41" s="28">
        <v>2020</v>
      </c>
      <c r="E41" s="19">
        <v>66.67</v>
      </c>
      <c r="F41" s="23">
        <f>IF(L41&gt;0,-MIN(battery_power*L41,(battery_capacity-I41)/(charge_efficiency/100)*2),IF(M41&gt;0,MIN(battery_power*M41,I41/(discharge_efficiency/100)*2),0))</f>
        <v>0</v>
      </c>
      <c r="G41" s="23">
        <f>F41/2*IF(F41&lt;0,1,discharge_efficiency/100)</f>
        <v>0</v>
      </c>
      <c r="H41" s="18">
        <f>G41*E41*IF(G41&lt;0,1/mlf,mlf)</f>
        <v>0</v>
      </c>
      <c r="I41" s="23">
        <f>J40</f>
        <v>340.2</v>
      </c>
      <c r="J41" s="23">
        <f>MAX(0,MIN(I41-G41*IF(G41&lt;0,charge_efficiency/100,100/discharge_efficiency),battery_capacity))</f>
        <v>340.2</v>
      </c>
      <c r="K41" s="7"/>
      <c r="L41" s="37"/>
      <c r="M41" s="37"/>
    </row>
    <row r="42" spans="2:15" x14ac:dyDescent="0.25">
      <c r="B42" s="6">
        <v>44029.708333333336</v>
      </c>
      <c r="C42" s="28">
        <v>34</v>
      </c>
      <c r="D42" s="28">
        <v>2020</v>
      </c>
      <c r="E42" s="19">
        <v>71.83</v>
      </c>
      <c r="F42" s="23">
        <f>IF(L42&gt;0,-MIN(battery_power*L42,(battery_capacity-I42)/(charge_efficiency/100)*2),IF(M42&gt;0,MIN(battery_power*M42,I42/(discharge_efficiency/100)*2),0))</f>
        <v>0</v>
      </c>
      <c r="G42" s="23">
        <f>F42/2*IF(F42&lt;0,1,discharge_efficiency/100)</f>
        <v>0</v>
      </c>
      <c r="H42" s="18">
        <f>G42*E42*IF(G42&lt;0,1/mlf,mlf)</f>
        <v>0</v>
      </c>
      <c r="I42" s="23">
        <f>J41</f>
        <v>340.2</v>
      </c>
      <c r="J42" s="23">
        <f>MAX(0,MIN(I42-G42*IF(G42&lt;0,charge_efficiency/100,100/discharge_efficiency),battery_capacity))</f>
        <v>340.2</v>
      </c>
      <c r="K42" s="7"/>
      <c r="L42" s="37"/>
      <c r="M42" s="37"/>
    </row>
    <row r="43" spans="2:15" x14ac:dyDescent="0.25">
      <c r="B43" s="6">
        <v>44029.729166666664</v>
      </c>
      <c r="C43" s="28">
        <v>35</v>
      </c>
      <c r="D43" s="28">
        <v>2020</v>
      </c>
      <c r="E43" s="19">
        <v>73.94</v>
      </c>
      <c r="F43" s="23">
        <f>IF(L43&gt;0,-MIN(battery_power*L43,(battery_capacity-I43)/(charge_efficiency/100)*2),IF(M43&gt;0,MIN(battery_power*M43,I43/(discharge_efficiency/100)*2),0))</f>
        <v>0</v>
      </c>
      <c r="G43" s="23">
        <f>F43/2*IF(F43&lt;0,1,discharge_efficiency/100)</f>
        <v>0</v>
      </c>
      <c r="H43" s="18">
        <f>G43*E43*IF(G43&lt;0,1/mlf,mlf)</f>
        <v>0</v>
      </c>
      <c r="I43" s="23">
        <f>J42</f>
        <v>340.2</v>
      </c>
      <c r="J43" s="23">
        <f>MAX(0,MIN(I43-G43*IF(G43&lt;0,charge_efficiency/100,100/discharge_efficiency),battery_capacity))</f>
        <v>340.2</v>
      </c>
      <c r="K43" s="7"/>
      <c r="L43" s="37"/>
      <c r="M43" s="37"/>
    </row>
    <row r="44" spans="2:15" x14ac:dyDescent="0.25">
      <c r="B44" s="6">
        <v>44029.75</v>
      </c>
      <c r="C44" s="28">
        <v>36</v>
      </c>
      <c r="D44" s="28">
        <v>2020</v>
      </c>
      <c r="E44" s="19">
        <v>163.47</v>
      </c>
      <c r="F44" s="23">
        <f>IF(L44&gt;0,-MIN(battery_power*L44,(battery_capacity-I44)/(charge_efficiency/100)*2),IF(M44&gt;0,MIN(battery_power*M44,I44/(discharge_efficiency/100)*2),0))</f>
        <v>300</v>
      </c>
      <c r="G44" s="23">
        <f>F44/2*IF(F44&lt;0,1,discharge_efficiency/100)</f>
        <v>135</v>
      </c>
      <c r="H44" s="18">
        <f>G44*E44*IF(G44&lt;0,1/mlf,mlf)</f>
        <v>21869.83395</v>
      </c>
      <c r="I44" s="23">
        <f>J43</f>
        <v>340.2</v>
      </c>
      <c r="J44" s="23">
        <f>MAX(0,MIN(I44-G44*IF(G44&lt;0,charge_efficiency/100,100/discharge_efficiency),battery_capacity))</f>
        <v>190.2</v>
      </c>
      <c r="K44" s="7"/>
      <c r="L44" s="37"/>
      <c r="M44" s="37">
        <v>1</v>
      </c>
    </row>
    <row r="45" spans="2:15" x14ac:dyDescent="0.25">
      <c r="B45" s="6">
        <v>44029.770833333336</v>
      </c>
      <c r="C45" s="28">
        <v>37</v>
      </c>
      <c r="D45" s="28">
        <v>2020</v>
      </c>
      <c r="E45" s="19">
        <v>137.1</v>
      </c>
      <c r="F45" s="23">
        <f>IF(L45&gt;0,-MIN(battery_power*L45,(battery_capacity-I45)/(charge_efficiency/100)*2),IF(M45&gt;0,MIN(battery_power*M45,I45/(discharge_efficiency/100)*2),0))</f>
        <v>300</v>
      </c>
      <c r="G45" s="23">
        <f>F45/2*IF(F45&lt;0,1,discharge_efficiency/100)</f>
        <v>135</v>
      </c>
      <c r="H45" s="18">
        <f>G45*E45*IF(G45&lt;0,1/mlf,mlf)</f>
        <v>18341.923500000001</v>
      </c>
      <c r="I45" s="23">
        <f>J44</f>
        <v>190.2</v>
      </c>
      <c r="J45" s="23">
        <f>MAX(0,MIN(I45-G45*IF(G45&lt;0,charge_efficiency/100,100/discharge_efficiency),battery_capacity))</f>
        <v>40.199999999999989</v>
      </c>
      <c r="K45" s="7"/>
      <c r="L45" s="37"/>
      <c r="M45" s="37">
        <v>1</v>
      </c>
    </row>
    <row r="46" spans="2:15" x14ac:dyDescent="0.25">
      <c r="B46" s="6">
        <v>44029.791666666664</v>
      </c>
      <c r="C46" s="28">
        <v>38</v>
      </c>
      <c r="D46" s="28">
        <v>2020</v>
      </c>
      <c r="E46" s="19">
        <v>73.849999999999994</v>
      </c>
      <c r="F46" s="23">
        <f>IF(L46&gt;0,-MIN(battery_power*L46,(battery_capacity-I46)/(charge_efficiency/100)*2),IF(M46&gt;0,MIN(battery_power*M46,I46/(discharge_efficiency/100)*2),0))</f>
        <v>0</v>
      </c>
      <c r="G46" s="23">
        <f>F46/2*IF(F46&lt;0,1,discharge_efficiency/100)</f>
        <v>0</v>
      </c>
      <c r="H46" s="18">
        <f>G46*E46*IF(G46&lt;0,1/mlf,mlf)</f>
        <v>0</v>
      </c>
      <c r="I46" s="23">
        <f>J45</f>
        <v>40.199999999999989</v>
      </c>
      <c r="J46" s="23">
        <f>MAX(0,MIN(I46-G46*IF(G46&lt;0,charge_efficiency/100,100/discharge_efficiency),battery_capacity))</f>
        <v>40.199999999999989</v>
      </c>
      <c r="K46" s="7"/>
      <c r="L46" s="37"/>
      <c r="M46" s="37"/>
    </row>
    <row r="47" spans="2:15" x14ac:dyDescent="0.25">
      <c r="B47" s="6">
        <v>44029.8125</v>
      </c>
      <c r="C47" s="28">
        <v>39</v>
      </c>
      <c r="D47" s="28">
        <v>2020</v>
      </c>
      <c r="E47" s="19">
        <v>72.12</v>
      </c>
      <c r="F47" s="23">
        <f>IF(L47&gt;0,-MIN(battery_power*L47,(battery_capacity-I47)/(charge_efficiency/100)*2),IF(M47&gt;0,MIN(battery_power*M47,I47/(discharge_efficiency/100)*2),0))</f>
        <v>0</v>
      </c>
      <c r="G47" s="23">
        <f>F47/2*IF(F47&lt;0,1,discharge_efficiency/100)</f>
        <v>0</v>
      </c>
      <c r="H47" s="18">
        <f>G47*E47*IF(G47&lt;0,1/mlf,mlf)</f>
        <v>0</v>
      </c>
      <c r="I47" s="23">
        <f>J46</f>
        <v>40.199999999999989</v>
      </c>
      <c r="J47" s="23">
        <f>MAX(0,MIN(I47-G47*IF(G47&lt;0,charge_efficiency/100,100/discharge_efficiency),battery_capacity))</f>
        <v>40.199999999999989</v>
      </c>
      <c r="K47" s="7"/>
      <c r="L47" s="37"/>
      <c r="M47" s="37"/>
      <c r="O47" s="38"/>
    </row>
    <row r="48" spans="2:15" x14ac:dyDescent="0.25">
      <c r="B48" s="6">
        <v>44029.833333333336</v>
      </c>
      <c r="C48" s="28">
        <v>40</v>
      </c>
      <c r="D48" s="28">
        <v>2020</v>
      </c>
      <c r="E48" s="19">
        <v>67.650000000000006</v>
      </c>
      <c r="F48" s="23">
        <f>IF(L48&gt;0,-MIN(battery_power*L48,(battery_capacity-I48)/(charge_efficiency/100)*2),IF(M48&gt;0,MIN(battery_power*M48,I48/(discharge_efficiency/100)*2),0))</f>
        <v>0</v>
      </c>
      <c r="G48" s="23">
        <f>F48/2*IF(F48&lt;0,1,discharge_efficiency/100)</f>
        <v>0</v>
      </c>
      <c r="H48" s="18">
        <f>G48*E48*IF(G48&lt;0,1/mlf,mlf)</f>
        <v>0</v>
      </c>
      <c r="I48" s="23">
        <f>J47</f>
        <v>40.199999999999989</v>
      </c>
      <c r="J48" s="23">
        <f>MAX(0,MIN(I48-G48*IF(G48&lt;0,charge_efficiency/100,100/discharge_efficiency),battery_capacity))</f>
        <v>40.199999999999989</v>
      </c>
      <c r="K48" s="7"/>
      <c r="L48" s="37"/>
      <c r="M48" s="37"/>
      <c r="O48" s="38"/>
    </row>
    <row r="49" spans="2:13" x14ac:dyDescent="0.25">
      <c r="B49" s="6">
        <v>44029.854166666664</v>
      </c>
      <c r="C49" s="28">
        <v>41</v>
      </c>
      <c r="D49" s="28">
        <v>2020</v>
      </c>
      <c r="E49" s="19">
        <v>73.959999999999994</v>
      </c>
      <c r="F49" s="23">
        <f>IF(L49&gt;0,-MIN(battery_power*L49,(battery_capacity-I49)/(charge_efficiency/100)*2),IF(M49&gt;0,MIN(battery_power*M49,I49/(discharge_efficiency/100)*2),0))</f>
        <v>88.5</v>
      </c>
      <c r="G49" s="23">
        <f>F49/2*IF(F49&lt;0,1,discharge_efficiency/100)</f>
        <v>39.825000000000003</v>
      </c>
      <c r="H49" s="18">
        <f>G49*E49*IF(G49&lt;0,1/mlf,mlf)</f>
        <v>2918.9478869999998</v>
      </c>
      <c r="I49" s="23">
        <f>J48</f>
        <v>40.199999999999989</v>
      </c>
      <c r="J49" s="23">
        <f>MAX(0,MIN(I49-G49*IF(G49&lt;0,charge_efficiency/100,100/discharge_efficiency),battery_capacity))</f>
        <v>0</v>
      </c>
      <c r="K49" s="7"/>
      <c r="L49" s="37"/>
      <c r="M49" s="37">
        <v>0.29499999999999998</v>
      </c>
    </row>
    <row r="50" spans="2:13" x14ac:dyDescent="0.25">
      <c r="B50" s="6">
        <v>44029.875</v>
      </c>
      <c r="C50" s="28">
        <v>42</v>
      </c>
      <c r="D50" s="28">
        <v>2020</v>
      </c>
      <c r="E50" s="19">
        <v>59.97</v>
      </c>
      <c r="F50" s="23">
        <f>IF(L50&gt;0,-MIN(battery_power*L50,(battery_capacity-I50)/(charge_efficiency/100)*2),IF(M50&gt;0,MIN(battery_power*M50,I50/(discharge_efficiency/100)*2),0))</f>
        <v>0</v>
      </c>
      <c r="G50" s="23">
        <f>F50/2*IF(F50&lt;0,1,discharge_efficiency/100)</f>
        <v>0</v>
      </c>
      <c r="H50" s="18">
        <f>G50*E50*IF(G50&lt;0,1/mlf,mlf)</f>
        <v>0</v>
      </c>
      <c r="I50" s="23">
        <f>J49</f>
        <v>0</v>
      </c>
      <c r="J50" s="23">
        <f>MAX(0,MIN(I50-G50*IF(G50&lt;0,charge_efficiency/100,100/discharge_efficiency),battery_capacity))</f>
        <v>0</v>
      </c>
      <c r="K50" s="7"/>
      <c r="L50" s="37"/>
      <c r="M50" s="37"/>
    </row>
    <row r="51" spans="2:13" x14ac:dyDescent="0.25">
      <c r="B51" s="6">
        <v>44029.895833333336</v>
      </c>
      <c r="C51" s="28">
        <v>43</v>
      </c>
      <c r="D51" s="28">
        <v>2020</v>
      </c>
      <c r="E51" s="19">
        <v>58.53</v>
      </c>
      <c r="F51" s="23">
        <f>IF(L51&gt;0,-MIN(battery_power*L51,(battery_capacity-I51)/(charge_efficiency/100)*2),IF(M51&gt;0,MIN(battery_power*M51,I51/(discharge_efficiency/100)*2),0))</f>
        <v>0</v>
      </c>
      <c r="G51" s="23">
        <f>F51/2*IF(F51&lt;0,1,discharge_efficiency/100)</f>
        <v>0</v>
      </c>
      <c r="H51" s="18">
        <f>G51*E51*IF(G51&lt;0,1/mlf,mlf)</f>
        <v>0</v>
      </c>
      <c r="I51" s="23">
        <f>J50</f>
        <v>0</v>
      </c>
      <c r="J51" s="23">
        <f>MAX(0,MIN(I51-G51*IF(G51&lt;0,charge_efficiency/100,100/discharge_efficiency),battery_capacity))</f>
        <v>0</v>
      </c>
      <c r="K51" s="7"/>
      <c r="L51" s="37"/>
      <c r="M51" s="37"/>
    </row>
    <row r="52" spans="2:13" x14ac:dyDescent="0.25">
      <c r="B52" s="6">
        <v>44029.916666666664</v>
      </c>
      <c r="C52" s="28">
        <v>44</v>
      </c>
      <c r="D52" s="28">
        <v>2020</v>
      </c>
      <c r="E52" s="19">
        <v>57.89</v>
      </c>
      <c r="F52" s="23">
        <f>IF(L52&gt;0,-MIN(battery_power*L52,(battery_capacity-I52)/(charge_efficiency/100)*2),IF(M52&gt;0,MIN(battery_power*M52,I52/(discharge_efficiency/100)*2),0))</f>
        <v>0</v>
      </c>
      <c r="G52" s="23">
        <f>F52/2*IF(F52&lt;0,1,discharge_efficiency/100)</f>
        <v>0</v>
      </c>
      <c r="H52" s="18">
        <f>G52*E52*IF(G52&lt;0,1/mlf,mlf)</f>
        <v>0</v>
      </c>
      <c r="I52" s="23">
        <f>J51</f>
        <v>0</v>
      </c>
      <c r="J52" s="23">
        <f>MAX(0,MIN(I52-G52*IF(G52&lt;0,charge_efficiency/100,100/discharge_efficiency),battery_capacity))</f>
        <v>0</v>
      </c>
      <c r="K52" s="7"/>
      <c r="L52" s="37"/>
      <c r="M52" s="37"/>
    </row>
    <row r="53" spans="2:13" x14ac:dyDescent="0.25">
      <c r="B53" s="6">
        <v>44029.9375</v>
      </c>
      <c r="C53" s="28">
        <v>45</v>
      </c>
      <c r="D53" s="28">
        <v>2020</v>
      </c>
      <c r="E53" s="19">
        <v>56.54</v>
      </c>
      <c r="F53" s="23">
        <f>IF(L53&gt;0,-MIN(battery_power*L53,(battery_capacity-I53)/(charge_efficiency/100)*2),IF(M53&gt;0,MIN(battery_power*M53,I53/(discharge_efficiency/100)*2),0))</f>
        <v>0</v>
      </c>
      <c r="G53" s="23">
        <f>F53/2*IF(F53&lt;0,1,discharge_efficiency/100)</f>
        <v>0</v>
      </c>
      <c r="H53" s="18">
        <f>G53*E53*IF(G53&lt;0,1/mlf,mlf)</f>
        <v>0</v>
      </c>
      <c r="I53" s="23">
        <f>J52</f>
        <v>0</v>
      </c>
      <c r="J53" s="23">
        <f>MAX(0,MIN(I53-G53*IF(G53&lt;0,charge_efficiency/100,100/discharge_efficiency),battery_capacity))</f>
        <v>0</v>
      </c>
      <c r="K53" s="7"/>
      <c r="L53" s="37"/>
      <c r="M53" s="37"/>
    </row>
    <row r="54" spans="2:13" x14ac:dyDescent="0.25">
      <c r="B54" s="6">
        <v>44029.958333333336</v>
      </c>
      <c r="C54" s="28">
        <v>46</v>
      </c>
      <c r="D54" s="28">
        <v>2020</v>
      </c>
      <c r="E54" s="19">
        <v>48.7</v>
      </c>
      <c r="F54" s="23">
        <f>IF(L54&gt;0,-MIN(battery_power*L54,(battery_capacity-I54)/(charge_efficiency/100)*2),IF(M54&gt;0,MIN(battery_power*M54,I54/(discharge_efficiency/100)*2),0))</f>
        <v>0</v>
      </c>
      <c r="G54" s="23">
        <f>F54/2*IF(F54&lt;0,1,discharge_efficiency/100)</f>
        <v>0</v>
      </c>
      <c r="H54" s="18">
        <f>G54*E54*IF(G54&lt;0,1/mlf,mlf)</f>
        <v>0</v>
      </c>
      <c r="I54" s="23">
        <f>J53</f>
        <v>0</v>
      </c>
      <c r="J54" s="23">
        <f>MAX(0,MIN(I54-G54*IF(G54&lt;0,charge_efficiency/100,100/discharge_efficiency),battery_capacity))</f>
        <v>0</v>
      </c>
      <c r="K54" s="7"/>
      <c r="L54" s="37"/>
      <c r="M54" s="37"/>
    </row>
    <row r="55" spans="2:13" x14ac:dyDescent="0.25">
      <c r="B55" s="6">
        <v>44029.979166666664</v>
      </c>
      <c r="C55" s="28">
        <v>47</v>
      </c>
      <c r="D55" s="28">
        <v>2020</v>
      </c>
      <c r="E55" s="19">
        <v>49.6</v>
      </c>
      <c r="F55" s="23">
        <f>IF(L55&gt;0,-MIN(battery_power*L55,(battery_capacity-I55)/(charge_efficiency/100)*2),IF(M55&gt;0,MIN(battery_power*M55,I55/(discharge_efficiency/100)*2),0))</f>
        <v>0</v>
      </c>
      <c r="G55" s="23">
        <f>F55/2*IF(F55&lt;0,1,discharge_efficiency/100)</f>
        <v>0</v>
      </c>
      <c r="H55" s="18">
        <f>G55*E55*IF(G55&lt;0,1/mlf,mlf)</f>
        <v>0</v>
      </c>
      <c r="I55" s="23">
        <f>J54</f>
        <v>0</v>
      </c>
      <c r="J55" s="23">
        <f>MAX(0,MIN(I55-G55*IF(G55&lt;0,charge_efficiency/100,100/discharge_efficiency),battery_capacity))</f>
        <v>0</v>
      </c>
      <c r="K55" s="7"/>
      <c r="L55" s="37"/>
      <c r="M55" s="37"/>
    </row>
    <row r="58" spans="2:13" x14ac:dyDescent="0.25">
      <c r="F58" s="20">
        <f>SUMIFS(F9:F55,F9:F55,"&gt;0")/2</f>
        <v>644.25</v>
      </c>
      <c r="G58" s="20">
        <f>SUMIFS(G9:G55,G9:G55,"&gt;0")</f>
        <v>579.82500000000005</v>
      </c>
    </row>
  </sheetData>
  <mergeCells count="9">
    <mergeCell ref="R7:R8"/>
    <mergeCell ref="O20:O21"/>
    <mergeCell ref="R20:R21"/>
    <mergeCell ref="B7:B8"/>
    <mergeCell ref="C7:C8"/>
    <mergeCell ref="D7:D8"/>
    <mergeCell ref="O7:O8"/>
    <mergeCell ref="P7:P8"/>
    <mergeCell ref="Q7:Q8"/>
  </mergeCells>
  <conditionalFormatting sqref="Q32:Q33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E9:E5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&amp;R&amp;G</oddHeader>
    <oddFooter xml:space="preserve">&amp;L&amp;G&amp;C&amp;"Arial,Regular"&amp;8&amp;A&amp;R&amp;"Arial,Regular"&amp;7© Energetics Pty Ltd 2016&amp;8         Page &amp;P  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158F511AE49B46880647CFEA86BDE5" ma:contentTypeVersion="6" ma:contentTypeDescription="Create a new document." ma:contentTypeScope="" ma:versionID="3c6eae2c7fe32f697facca86381525f7">
  <xsd:schema xmlns:xsd="http://www.w3.org/2001/XMLSchema" xmlns:xs="http://www.w3.org/2001/XMLSchema" xmlns:p="http://schemas.microsoft.com/office/2006/metadata/properties" xmlns:ns2="204cd535-f53d-4249-84ba-b38c81196787" targetNamespace="http://schemas.microsoft.com/office/2006/metadata/properties" ma:root="true" ma:fieldsID="ca86dc2e039d710964416a7cf6597764" ns2:_="">
    <xsd:import namespace="204cd535-f53d-4249-84ba-b38c811967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4cd535-f53d-4249-84ba-b38c811967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8 a c 6 1 2 e a - c 2 3 a - 4 a 2 6 - 8 3 a 3 - f 2 7 6 8 4 b 0 3 b 0 0 "   x m l n s = " h t t p : / / s c h e m a s . m i c r o s o f t . c o m / D a t a M a s h u p " > A A A A A B M D A A B Q S w M E F A A C A A g A 7 3 n y U g r a 7 J O j A A A A 9 Q A A A B I A H A B D b 2 5 m a W c v U G F j a 2 F n Z S 5 4 b W w g o h g A K K A U A A A A A A A A A A A A A A A A A A A A A A A A A A A A h Y 9 B D o I w F E S v Q r q n r e i C k E + J c S u J i d G 4 b U q F R v g Y W i x 3 c + G R v I I Y R d 2 5 n H l v M X O / 3 i A b m j q 4 6 M 6 a F l M y o 5 w E G l V b G C x T 0 r t j G J N M w E a q k y x 1 M M p o k 8 E W K a m c O y e M e e + p n 9 O 2 K 1 n E + Y w d 8 v V W V b q R 5 C O b / 3 J o 0 D q J S h M B + 9 c Y E d F 4 Q W M + T g I 2 d Z A b / P J o Z E / 6 U 8 K q r 1 3 f a a E x X O 6 A T R H Y + 4 J 4 A F B L A w Q U A A I A C A D v e f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3 n y U i i K R 7 g O A A A A E Q A A A B M A H A B G b 3 J t d W x h c y 9 T Z W N 0 a W 9 u M S 5 t I K I Y A C i g F A A A A A A A A A A A A A A A A A A A A A A A A A A A A C t O T S 7 J z M 9 T C I b Q h t Y A U E s B A i 0 A F A A C A A g A 7 3 n y U g r a 7 J O j A A A A 9 Q A A A B I A A A A A A A A A A A A A A A A A A A A A A E N v b m Z p Z y 9 Q Y W N r Y W d l L n h t b F B L A Q I t A B Q A A g A I A O 9 5 8 l I P y u m r p A A A A O k A A A A T A A A A A A A A A A A A A A A A A O 8 A A A B b Q 2 9 u d G V u d F 9 U e X B l c 1 0 u e G 1 s U E s B A i 0 A F A A C A A g A 7 3 n y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A r 1 d O v m L F N L n c Y j q p B b Q Q c A A A A A A g A A A A A A A 2 Y A A M A A A A A Q A A A A p c j z k 3 D B k k q + y k X + w p y L V Q A A A A A E g A A A o A A A A B A A A A C v I D R 4 9 W 9 G f C q q r P Z j H c i f U A A A A G s s 7 9 F 8 m 1 i o k p C P I N 3 a Z z 3 n R + 8 7 H O 3 t N M E k O K h J I P 4 g J B 2 R D v A 2 L N O B r R A e H K v Q R r G 7 A W i 1 U h f v A F o V J F L t Z O C G e 5 H T W x x T r 8 8 g p Q J / R e T I F A A A A A e w O x Q l m Y m D f p t S h r 3 S w j M 3 H J a S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2547E0-B537-4BBB-AD8C-877CBF14F18C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204cd535-f53d-4249-84ba-b38c81196787"/>
  </ds:schemaRefs>
</ds:datastoreItem>
</file>

<file path=customXml/itemProps2.xml><?xml version="1.0" encoding="utf-8"?>
<ds:datastoreItem xmlns:ds="http://schemas.openxmlformats.org/officeDocument/2006/customXml" ds:itemID="{0A80C473-C9C9-4934-9618-79ECF97788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4cd535-f53d-4249-84ba-b38c811967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B3862D-7694-4330-B1E1-7CEFA5831E95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9B84D9A-175A-4405-AD5C-73616ACDC3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Int1</vt:lpstr>
      <vt:lpstr>Int2</vt:lpstr>
      <vt:lpstr>'Int1'!battery_capacity</vt:lpstr>
      <vt:lpstr>'Int2'!battery_capacity</vt:lpstr>
      <vt:lpstr>'Int1'!battery_power</vt:lpstr>
      <vt:lpstr>'Int2'!battery_power</vt:lpstr>
      <vt:lpstr>'Int1'!charge_efficiency</vt:lpstr>
      <vt:lpstr>'Int2'!charge_efficiency</vt:lpstr>
      <vt:lpstr>'Int1'!discharge_efficiency</vt:lpstr>
      <vt:lpstr>'Int2'!discharge_efficiency</vt:lpstr>
      <vt:lpstr>'Int1'!fixed_om</vt:lpstr>
      <vt:lpstr>'Int2'!fixed_om</vt:lpstr>
      <vt:lpstr>'Int1'!mlf</vt:lpstr>
      <vt:lpstr>'Int2'!mlf</vt:lpstr>
      <vt:lpstr>'Int1'!state</vt:lpstr>
      <vt:lpstr>'Int2'!state</vt:lpstr>
      <vt:lpstr>'Int1'!variable_om</vt:lpstr>
      <vt:lpstr>'Int2'!variable_om</vt:lpstr>
    </vt:vector>
  </TitlesOfParts>
  <Company>Energetics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Khan</dc:creator>
  <cp:lastModifiedBy>Azhar Khan</cp:lastModifiedBy>
  <cp:lastPrinted>2011-01-11T03:55:58Z</cp:lastPrinted>
  <dcterms:created xsi:type="dcterms:W3CDTF">2010-07-14T08:44:28Z</dcterms:created>
  <dcterms:modified xsi:type="dcterms:W3CDTF">2021-09-12T13:45:56Z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0x010100EF158F511AE49B46880647CFEA86BDE5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2021-07-18T01:38:17Z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a4461c04-b06c-427b-8b9b-0f3fe0e55e19</vt:lpwstr>
  </property>
  <property fmtid="{D5CDD505-2E9C-101B-9397-08002B2CF9AE}" pid="9" name="MSIP_Label_ea60d57e-af5b-4752-ac57-3e4f28ca11dc_ContentBits">
    <vt:lpwstr>0</vt:lpwstr>
  </property>
</Properties>
</file>