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num\Documents\"/>
    </mc:Choice>
  </mc:AlternateContent>
  <bookViews>
    <workbookView xWindow="0" yWindow="0" windowWidth="28800" windowHeight="11400"/>
  </bookViews>
  <sheets>
    <sheet name="Лист1" sheetId="1" r:id="rId1"/>
    <sheet name="дин" sheetId="4" r:id="rId2"/>
    <sheet name="Чечня 2я" sheetId="5" r:id="rId3"/>
    <sheet name="потери" sheetId="3" r:id="rId4"/>
    <sheet name="Ирак" sheetId="2" r:id="rId5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1" l="1"/>
  <c r="U8" i="1"/>
  <c r="U5" i="1"/>
  <c r="T5" i="1"/>
  <c r="S5" i="1"/>
  <c r="R8" i="1"/>
  <c r="R5" i="1"/>
  <c r="AA15" i="4"/>
  <c r="AA13" i="4"/>
  <c r="AA11" i="4"/>
  <c r="AA8" i="4"/>
  <c r="Y15" i="4"/>
  <c r="Y13" i="4"/>
  <c r="Y11" i="4"/>
  <c r="Y8" i="4"/>
  <c r="R9" i="1" l="1"/>
  <c r="R10" i="1"/>
  <c r="R11" i="1"/>
  <c r="R12" i="1"/>
  <c r="R13" i="1"/>
  <c r="S8" i="1"/>
  <c r="I13" i="2"/>
  <c r="I14" i="2"/>
  <c r="I12" i="2"/>
  <c r="X8" i="4"/>
  <c r="D5" i="3"/>
  <c r="D2" i="5"/>
  <c r="O20" i="1"/>
  <c r="O16" i="1"/>
  <c r="O14" i="1"/>
  <c r="N16" i="1"/>
  <c r="N14" i="1"/>
  <c r="P12" i="1"/>
  <c r="P9" i="1"/>
  <c r="P10" i="1"/>
  <c r="P11" i="1"/>
  <c r="P13" i="1"/>
  <c r="P14" i="1"/>
  <c r="P15" i="1"/>
  <c r="P16" i="1"/>
  <c r="P8" i="1"/>
  <c r="O12" i="1"/>
  <c r="O10" i="1"/>
  <c r="O9" i="1"/>
  <c r="O8" i="1"/>
  <c r="I5" i="1"/>
  <c r="AC3" i="4"/>
  <c r="O5" i="1" s="1"/>
  <c r="AC10" i="4"/>
  <c r="AC16" i="4"/>
  <c r="AC12" i="4"/>
  <c r="X15" i="4"/>
  <c r="X13" i="4"/>
  <c r="X11" i="4"/>
  <c r="P5" i="1" l="1"/>
  <c r="W15" i="4"/>
  <c r="W13" i="4"/>
  <c r="W11" i="4"/>
  <c r="W8" i="4"/>
  <c r="V8" i="4" l="1"/>
  <c r="V15" i="4"/>
  <c r="V13" i="4"/>
  <c r="V11" i="4"/>
  <c r="V5" i="4" l="1"/>
  <c r="U4" i="4" s="1"/>
  <c r="U15" i="4"/>
  <c r="U13" i="4"/>
  <c r="U11" i="4"/>
  <c r="V7" i="4"/>
  <c r="V6" i="4"/>
  <c r="T8" i="4"/>
  <c r="U8" i="4"/>
  <c r="T15" i="4" l="1"/>
  <c r="T13" i="4"/>
  <c r="T11" i="4"/>
  <c r="T4" i="4"/>
  <c r="V1" i="1" l="1"/>
  <c r="W1" i="1" s="1"/>
  <c r="S13" i="1"/>
  <c r="S12" i="1"/>
  <c r="S9" i="1"/>
  <c r="S10" i="1"/>
  <c r="S11" i="1"/>
  <c r="V5" i="1"/>
  <c r="T10" i="1"/>
  <c r="V10" i="1" s="1"/>
  <c r="T11" i="1"/>
  <c r="V11" i="1" s="1"/>
  <c r="T8" i="1"/>
  <c r="V8" i="1" s="1"/>
  <c r="M15" i="4"/>
  <c r="N15" i="4"/>
  <c r="O15" i="4"/>
  <c r="P15" i="4"/>
  <c r="Q15" i="4"/>
  <c r="R15" i="4"/>
  <c r="S15" i="4"/>
  <c r="M13" i="4"/>
  <c r="N13" i="4"/>
  <c r="O13" i="4"/>
  <c r="P13" i="4"/>
  <c r="Q13" i="4"/>
  <c r="R13" i="4"/>
  <c r="S13" i="4"/>
  <c r="M11" i="4"/>
  <c r="N11" i="4"/>
  <c r="O11" i="4"/>
  <c r="P11" i="4"/>
  <c r="Q11" i="4"/>
  <c r="R11" i="4"/>
  <c r="S11" i="4"/>
  <c r="M8" i="4"/>
  <c r="N8" i="4"/>
  <c r="O8" i="4"/>
  <c r="P8" i="4"/>
  <c r="Q8" i="4"/>
  <c r="R8" i="4"/>
  <c r="S8" i="4"/>
  <c r="M6" i="4"/>
  <c r="F9" i="1"/>
  <c r="I9" i="1" s="1"/>
  <c r="F10" i="1"/>
  <c r="I10" i="1" s="1"/>
  <c r="F11" i="1"/>
  <c r="I11" i="1" s="1"/>
  <c r="F13" i="1"/>
  <c r="I13" i="1" s="1"/>
  <c r="F8" i="1"/>
  <c r="I8" i="1" s="1"/>
  <c r="C4" i="4"/>
  <c r="D4" i="4"/>
  <c r="E4" i="4"/>
  <c r="F4" i="4"/>
  <c r="G4" i="4"/>
  <c r="H4" i="4"/>
  <c r="I4" i="4"/>
  <c r="J4" i="4"/>
  <c r="K4" i="4"/>
  <c r="L4" i="4"/>
  <c r="M4" i="4"/>
  <c r="AA4" i="4" s="1"/>
  <c r="N4" i="4"/>
  <c r="O4" i="4"/>
  <c r="P4" i="4"/>
  <c r="Q4" i="4"/>
  <c r="R4" i="4"/>
  <c r="S4" i="4"/>
  <c r="N9" i="1" l="1"/>
  <c r="T9" i="1" s="1"/>
  <c r="V9" i="1" s="1"/>
  <c r="P19" i="1"/>
  <c r="H9" i="2" l="1"/>
  <c r="E9" i="2"/>
  <c r="D11" i="2"/>
  <c r="H14" i="2"/>
  <c r="G14" i="2"/>
  <c r="E14" i="2"/>
  <c r="D14" i="2"/>
  <c r="H13" i="2"/>
  <c r="H12" i="2"/>
  <c r="E13" i="2"/>
  <c r="E15" i="2"/>
  <c r="E16" i="2"/>
  <c r="E12" i="2"/>
  <c r="L4" i="2"/>
  <c r="M4" i="2" s="1"/>
  <c r="K13" i="2"/>
  <c r="G5" i="2"/>
  <c r="H5" i="2"/>
  <c r="Q5" i="1" l="1"/>
  <c r="J9" i="1"/>
  <c r="J10" i="1"/>
  <c r="K10" i="1" s="1"/>
  <c r="J11" i="1"/>
  <c r="J13" i="1"/>
  <c r="Q13" i="1" s="1"/>
  <c r="J12" i="1"/>
  <c r="Q12" i="1" s="1"/>
  <c r="J14" i="1"/>
  <c r="J16" i="1"/>
  <c r="J17" i="1"/>
  <c r="K17" i="1" s="1"/>
  <c r="J18" i="1"/>
  <c r="J20" i="1"/>
  <c r="J8" i="1"/>
  <c r="Q8" i="1" s="1"/>
  <c r="K13" i="1"/>
  <c r="K5" i="1"/>
  <c r="I17" i="1"/>
  <c r="N20" i="1"/>
  <c r="P20" i="1" s="1"/>
  <c r="F12" i="1"/>
  <c r="I12" i="1" s="1"/>
  <c r="F14" i="1"/>
  <c r="I14" i="1" s="1"/>
  <c r="F15" i="1"/>
  <c r="F16" i="1"/>
  <c r="I16" i="1" s="1"/>
  <c r="F20" i="1"/>
  <c r="I20" i="1" s="1"/>
  <c r="L28" i="1"/>
  <c r="L29" i="1"/>
  <c r="P18" i="1"/>
  <c r="P21" i="1"/>
  <c r="P23" i="1"/>
  <c r="K16" i="1" l="1"/>
  <c r="K20" i="1"/>
  <c r="K14" i="1"/>
  <c r="K8" i="1"/>
  <c r="K9" i="1"/>
  <c r="K12" i="1"/>
  <c r="K11" i="1"/>
  <c r="Q11" i="1"/>
  <c r="Q10" i="1"/>
  <c r="Q9" i="1"/>
  <c r="L4" i="1"/>
  <c r="L3" i="1"/>
  <c r="L24" i="1"/>
  <c r="L8" i="1"/>
  <c r="L2" i="1"/>
  <c r="E23" i="1"/>
  <c r="D10" i="1"/>
  <c r="L10" i="1" s="1"/>
  <c r="D11" i="1"/>
  <c r="L11" i="1" s="1"/>
  <c r="D13" i="1"/>
  <c r="L13" i="1" s="1"/>
  <c r="D12" i="1"/>
  <c r="L12" i="1" s="1"/>
  <c r="D14" i="1"/>
  <c r="L14" i="1" s="1"/>
  <c r="D16" i="1"/>
  <c r="L16" i="1" s="1"/>
  <c r="D17" i="1"/>
  <c r="L17" i="1" s="1"/>
  <c r="D18" i="1"/>
  <c r="L18" i="1" s="1"/>
  <c r="D20" i="1"/>
  <c r="L20" i="1" s="1"/>
  <c r="D22" i="1"/>
  <c r="L22" i="1" s="1"/>
  <c r="D21" i="1"/>
  <c r="L21" i="1" s="1"/>
  <c r="D23" i="1"/>
  <c r="D24" i="1"/>
  <c r="D8" i="1"/>
  <c r="L23" i="1" l="1"/>
</calcChain>
</file>

<file path=xl/comments1.xml><?xml version="1.0" encoding="utf-8"?>
<comments xmlns="http://schemas.openxmlformats.org/spreadsheetml/2006/main">
  <authors>
    <author>rinum rinum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  <charset val="204"/>
          </rPr>
          <t>rinum rinum:</t>
        </r>
        <r>
          <rPr>
            <sz val="9"/>
            <color indexed="81"/>
            <rFont val="Tahoma"/>
            <family val="2"/>
            <charset val="204"/>
          </rPr>
          <t xml:space="preserve">
Патриот 483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  <charset val="204"/>
          </rPr>
          <t>rinum rinum:</t>
        </r>
        <r>
          <rPr>
            <sz val="9"/>
            <color indexed="81"/>
            <rFont val="Tahoma"/>
            <family val="2"/>
            <charset val="204"/>
          </rPr>
          <t xml:space="preserve">
С-300,С-400,… - 1650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  <charset val="204"/>
          </rPr>
          <t>rinum rinum:</t>
        </r>
        <r>
          <rPr>
            <sz val="9"/>
            <color indexed="81"/>
            <rFont val="Tahoma"/>
            <family val="2"/>
            <charset val="204"/>
          </rPr>
          <t xml:space="preserve">
БАЛ 40, Бастион 52 , РУБЕЖ 64</t>
        </r>
      </text>
    </comment>
  </commentList>
</comments>
</file>

<file path=xl/sharedStrings.xml><?xml version="1.0" encoding="utf-8"?>
<sst xmlns="http://schemas.openxmlformats.org/spreadsheetml/2006/main" count="83" uniqueCount="68">
  <si>
    <t>коплексов береговой охраны</t>
  </si>
  <si>
    <t>Фрегатах и крейсерах</t>
  </si>
  <si>
    <t>Ракетных катеров</t>
  </si>
  <si>
    <t xml:space="preserve">Ядерных боеголовок </t>
  </si>
  <si>
    <t>НАТО</t>
  </si>
  <si>
    <t>РФ</t>
  </si>
  <si>
    <t>ВВП стран , Трлн долл</t>
  </si>
  <si>
    <t>доход на человека , тыс долл</t>
  </si>
  <si>
    <t>Оборонный бюджет  , Трлн долл</t>
  </si>
  <si>
    <t xml:space="preserve">Стратегич бомберы  </t>
  </si>
  <si>
    <t xml:space="preserve">подводный флот  </t>
  </si>
  <si>
    <t>Танков, тыс</t>
  </si>
  <si>
    <t>Артиллерия, тыс</t>
  </si>
  <si>
    <t>Истребителей , тыс</t>
  </si>
  <si>
    <t>реактивных бомбардировщиков , тыс</t>
  </si>
  <si>
    <t>ТРЕНИРОВОЧНЫЕ самолеты, тыс</t>
  </si>
  <si>
    <t>ударные вертолеты, тыс</t>
  </si>
  <si>
    <t>коплексов ПВО, тыс</t>
  </si>
  <si>
    <t>/3</t>
  </si>
  <si>
    <t>соотношение</t>
  </si>
  <si>
    <t>БУ</t>
  </si>
  <si>
    <t>БТР</t>
  </si>
  <si>
    <t xml:space="preserve">систем РСЗО, тыс  </t>
  </si>
  <si>
    <t>БЛА</t>
  </si>
  <si>
    <t>Крылатые ракеты</t>
  </si>
  <si>
    <t xml:space="preserve">всего авиация, тыс  </t>
  </si>
  <si>
    <t>-</t>
  </si>
  <si>
    <t>Действ армия</t>
  </si>
  <si>
    <t>РФ в БУ</t>
  </si>
  <si>
    <t>по данным ЦРУ</t>
  </si>
  <si>
    <t>потери БУ, %</t>
  </si>
  <si>
    <t>Потери</t>
  </si>
  <si>
    <t>армия</t>
  </si>
  <si>
    <t>чвк</t>
  </si>
  <si>
    <t>силы вторжения</t>
  </si>
  <si>
    <t>Ирак</t>
  </si>
  <si>
    <t>потери</t>
  </si>
  <si>
    <t>танки</t>
  </si>
  <si>
    <t>реакт бомб</t>
  </si>
  <si>
    <t>вертолеты</t>
  </si>
  <si>
    <t>числ-ть</t>
  </si>
  <si>
    <t>повстанцы</t>
  </si>
  <si>
    <t>ремонт</t>
  </si>
  <si>
    <t>КСИР</t>
  </si>
  <si>
    <t>арт</t>
  </si>
  <si>
    <t>крыл ракеты</t>
  </si>
  <si>
    <t>всего вертолеты</t>
  </si>
  <si>
    <t>от снарядов</t>
  </si>
  <si>
    <t>в %</t>
  </si>
  <si>
    <t>от пуль</t>
  </si>
  <si>
    <t>из них снайпера</t>
  </si>
  <si>
    <t>мины и прочее</t>
  </si>
  <si>
    <t>из них самолеты</t>
  </si>
  <si>
    <t>сам</t>
  </si>
  <si>
    <t>верт</t>
  </si>
  <si>
    <t>ПВО</t>
  </si>
  <si>
    <t>РЗСО</t>
  </si>
  <si>
    <t>Артил</t>
  </si>
  <si>
    <t>2/3</t>
  </si>
  <si>
    <t>23+</t>
  </si>
  <si>
    <t>по данным БУ 18д</t>
  </si>
  <si>
    <t>по данным БУ 22д</t>
  </si>
  <si>
    <t>потери БУ 18д</t>
  </si>
  <si>
    <t>потери БУ 22д</t>
  </si>
  <si>
    <t>люди</t>
  </si>
  <si>
    <t>самолеты</t>
  </si>
  <si>
    <t xml:space="preserve">танки </t>
  </si>
  <si>
    <t>бмп + бтр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</si>
</sst>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%"/>
  </numFmts>
  <fonts count="5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164" fontId="0" fillId="0" borderId="0" xfId="0" applyNumberFormat="1"/>
    <xf numFmtId="9" fontId="0" fillId="0" borderId="1" xfId="1" applyFont="1" applyBorder="1"/>
    <xf numFmtId="2" fontId="0" fillId="0" borderId="1" xfId="0" applyNumberFormat="1" applyBorder="1" applyAlignment="1">
      <alignment horizontal="center"/>
    </xf>
    <xf numFmtId="165" fontId="0" fillId="0" borderId="1" xfId="0" applyNumberFormat="1" applyBorder="1"/>
    <xf numFmtId="1" fontId="0" fillId="0" borderId="1" xfId="0" applyNumberFormat="1" applyBorder="1"/>
    <xf numFmtId="9" fontId="0" fillId="0" borderId="0" xfId="1" applyFont="1"/>
    <xf numFmtId="1" fontId="0" fillId="0" borderId="0" xfId="0" applyNumberFormat="1"/>
    <xf numFmtId="16" fontId="0" fillId="0" borderId="0" xfId="0" quotePrefix="1" applyNumberFormat="1"/>
    <xf numFmtId="14" fontId="0" fillId="0" borderId="0" xfId="0" applyNumberFormat="1"/>
    <xf numFmtId="166" fontId="0" fillId="0" borderId="1" xfId="1" applyNumberFormat="1" applyFont="1" applyBorder="1"/>
    <xf numFmtId="0" fontId="4" fillId="0" borderId="0" xfId="0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29"/>
  <sheetViews>
    <sheetView tabSelected="1" topLeftCell="B1" zoomScale="130" zoomScaleNormal="130" workbookViewId="0">
      <pane xSplit="1" ySplit="1" topLeftCell="H2" activePane="bottomRight" state="frozen"/>
      <selection activeCell="B1" sqref="B1"/>
      <selection pane="topRight" activeCell="C1" sqref="C1"/>
      <selection pane="bottomLeft" activeCell="B2" sqref="B2"/>
      <selection pane="bottomRight" activeCell="U1" sqref="U1"/>
    </sheetView>
  </sheetViews>
  <sheetFormatPr defaultRowHeight="15" x14ac:dyDescent="0.25"/>
  <cols>
    <col min="2" max="2" width="46.28515625" bestFit="1" customWidth="1"/>
    <col min="3" max="3" width="9.85546875" customWidth="1"/>
    <col min="4" max="4" width="8.42578125" customWidth="1"/>
    <col min="12" max="12" width="8.85546875" customWidth="1"/>
    <col min="20" max="20" width="9.140625" customWidth="1"/>
    <col min="21" max="21" width="11.140625" customWidth="1"/>
    <col min="22" max="22" width="10.85546875" bestFit="1" customWidth="1"/>
    <col min="23" max="23" width="11" customWidth="1"/>
  </cols>
  <sheetData>
    <row r="1" spans="2:23" x14ac:dyDescent="0.25">
      <c r="B1" s="1"/>
      <c r="C1" s="2" t="s">
        <v>4</v>
      </c>
      <c r="D1" s="3" t="s">
        <v>18</v>
      </c>
      <c r="E1" s="2" t="s">
        <v>5</v>
      </c>
      <c r="F1" s="2" t="s">
        <v>28</v>
      </c>
      <c r="G1" s="2" t="s">
        <v>60</v>
      </c>
      <c r="H1" s="2" t="s">
        <v>61</v>
      </c>
      <c r="I1" s="2"/>
      <c r="J1" s="2" t="s">
        <v>29</v>
      </c>
      <c r="K1" s="2"/>
      <c r="L1" s="1" t="s">
        <v>19</v>
      </c>
      <c r="M1" s="1" t="s">
        <v>20</v>
      </c>
      <c r="N1" s="1" t="s">
        <v>62</v>
      </c>
      <c r="O1" s="1" t="s">
        <v>63</v>
      </c>
      <c r="P1" s="1" t="s">
        <v>30</v>
      </c>
      <c r="Q1" s="1"/>
      <c r="S1" s="16" t="s">
        <v>58</v>
      </c>
      <c r="T1" s="16"/>
      <c r="U1" s="17">
        <v>44638</v>
      </c>
      <c r="V1" s="17">
        <f>U1+40</f>
        <v>44678</v>
      </c>
      <c r="W1" s="17">
        <f>V1+40</f>
        <v>44718</v>
      </c>
    </row>
    <row r="2" spans="2:23" x14ac:dyDescent="0.25">
      <c r="B2" s="1" t="s">
        <v>6</v>
      </c>
      <c r="C2" s="4">
        <v>49</v>
      </c>
      <c r="D2" s="4"/>
      <c r="E2" s="4">
        <v>1.7</v>
      </c>
      <c r="F2" s="4"/>
      <c r="G2" s="4"/>
      <c r="H2" s="4"/>
      <c r="I2" s="4"/>
      <c r="J2" s="4"/>
      <c r="K2" s="4"/>
      <c r="L2" s="6">
        <f>C2/E2</f>
        <v>28.823529411764707</v>
      </c>
      <c r="M2" s="1"/>
      <c r="N2" s="1"/>
      <c r="O2" s="1"/>
      <c r="P2" s="1"/>
      <c r="Q2" s="1"/>
    </row>
    <row r="3" spans="2:23" x14ac:dyDescent="0.25">
      <c r="B3" s="1" t="s">
        <v>7</v>
      </c>
      <c r="C3" s="4">
        <v>52</v>
      </c>
      <c r="D3" s="4"/>
      <c r="E3" s="4">
        <v>11.6</v>
      </c>
      <c r="F3" s="4"/>
      <c r="G3" s="4"/>
      <c r="H3" s="4"/>
      <c r="I3" s="4"/>
      <c r="J3" s="4"/>
      <c r="K3" s="4"/>
      <c r="L3" s="6">
        <f>C3/E3</f>
        <v>4.4827586206896557</v>
      </c>
      <c r="M3" s="1"/>
      <c r="N3" s="1"/>
      <c r="O3" s="1"/>
      <c r="P3" s="1"/>
      <c r="Q3" s="1"/>
    </row>
    <row r="4" spans="2:23" x14ac:dyDescent="0.25">
      <c r="B4" s="1" t="s">
        <v>8</v>
      </c>
      <c r="C4" s="4">
        <v>1</v>
      </c>
      <c r="D4" s="4"/>
      <c r="E4" s="4">
        <v>0.154</v>
      </c>
      <c r="F4" s="4"/>
      <c r="G4" s="4"/>
      <c r="H4" s="4"/>
      <c r="I4" s="4"/>
      <c r="J4" s="4"/>
      <c r="K4" s="4"/>
      <c r="L4" s="6">
        <f>C4/E4</f>
        <v>6.4935064935064934</v>
      </c>
      <c r="M4" s="1"/>
      <c r="N4" s="1"/>
      <c r="O4" s="1"/>
      <c r="P4" s="1"/>
      <c r="Q4" s="1"/>
    </row>
    <row r="5" spans="2:23" x14ac:dyDescent="0.25">
      <c r="B5" s="1" t="s">
        <v>27</v>
      </c>
      <c r="C5" s="4"/>
      <c r="D5" s="4"/>
      <c r="E5" s="4">
        <v>850</v>
      </c>
      <c r="F5" s="4">
        <v>150</v>
      </c>
      <c r="G5" s="4">
        <v>11</v>
      </c>
      <c r="H5" s="4">
        <v>14.2</v>
      </c>
      <c r="I5" s="10">
        <f>H5/F5</f>
        <v>9.4666666666666663E-2</v>
      </c>
      <c r="J5" s="4">
        <v>3.5</v>
      </c>
      <c r="K5" s="10">
        <f>J5/F5</f>
        <v>2.3333333333333334E-2</v>
      </c>
      <c r="L5" s="6"/>
      <c r="M5" s="1">
        <v>250</v>
      </c>
      <c r="N5" s="1">
        <v>9</v>
      </c>
      <c r="O5" s="13">
        <f>дин!AC3/1000</f>
        <v>12.472</v>
      </c>
      <c r="P5" s="10">
        <f>O5/M5</f>
        <v>4.9887999999999995E-2</v>
      </c>
      <c r="Q5" s="13">
        <f>N5/J5</f>
        <v>2.5714285714285716</v>
      </c>
      <c r="R5" s="15">
        <f>M5-O5</f>
        <v>237.52799999999999</v>
      </c>
      <c r="S5">
        <f>M5*2/3</f>
        <v>166.66666666666666</v>
      </c>
      <c r="T5" s="15">
        <f>R5-S5</f>
        <v>70.861333333333334</v>
      </c>
      <c r="U5">
        <f>O5/22</f>
        <v>0.56690909090909092</v>
      </c>
      <c r="V5" s="9">
        <f>T5/U5</f>
        <v>124.99593756681634</v>
      </c>
    </row>
    <row r="6" spans="2:23" x14ac:dyDescent="0.25">
      <c r="B6" s="1" t="s">
        <v>3</v>
      </c>
      <c r="C6" s="4">
        <v>6095</v>
      </c>
      <c r="D6" s="4"/>
      <c r="E6" s="4">
        <v>6255</v>
      </c>
      <c r="F6" s="4"/>
      <c r="G6" s="4"/>
      <c r="H6" s="4"/>
      <c r="I6" s="4"/>
      <c r="J6" s="4"/>
      <c r="K6" s="4"/>
      <c r="L6" s="1"/>
      <c r="M6" s="1" t="s">
        <v>26</v>
      </c>
      <c r="N6" s="1" t="s">
        <v>26</v>
      </c>
      <c r="O6" s="1"/>
      <c r="P6" s="1"/>
      <c r="Q6" s="1"/>
      <c r="R6" s="15"/>
    </row>
    <row r="7" spans="2:23" x14ac:dyDescent="0.25">
      <c r="B7" s="1" t="s">
        <v>24</v>
      </c>
      <c r="C7" s="4"/>
      <c r="D7" s="4"/>
      <c r="E7" s="4"/>
      <c r="F7" s="4"/>
      <c r="G7" s="4"/>
      <c r="H7" s="4">
        <v>1080</v>
      </c>
      <c r="I7" s="4"/>
      <c r="J7" s="4"/>
      <c r="K7" s="4"/>
      <c r="L7" s="1"/>
      <c r="M7" s="1"/>
      <c r="N7" s="1"/>
      <c r="O7" s="1"/>
      <c r="P7" s="1"/>
      <c r="Q7" s="1"/>
      <c r="R7" s="15"/>
    </row>
    <row r="8" spans="2:23" x14ac:dyDescent="0.25">
      <c r="B8" s="1" t="s">
        <v>11</v>
      </c>
      <c r="C8" s="4">
        <v>14.6</v>
      </c>
      <c r="D8" s="5">
        <f>C8/3</f>
        <v>4.8666666666666663</v>
      </c>
      <c r="E8" s="4">
        <v>12.4</v>
      </c>
      <c r="F8" s="5">
        <f>E8*$F$5/$E$5*1.4</f>
        <v>3.0635294117647058</v>
      </c>
      <c r="G8" s="5">
        <v>0.28499999999999998</v>
      </c>
      <c r="H8" s="5">
        <v>0.45</v>
      </c>
      <c r="I8" s="10">
        <f t="shared" ref="I8:I14" si="0">H8/F8</f>
        <v>0.146889400921659</v>
      </c>
      <c r="J8" s="5">
        <f>G8*$J$5/$G$5</f>
        <v>9.0681818181818183E-2</v>
      </c>
      <c r="K8" s="10">
        <f>J8/F8</f>
        <v>2.9600439882697949E-2</v>
      </c>
      <c r="L8" s="6">
        <f>D8/E8</f>
        <v>0.39247311827956982</v>
      </c>
      <c r="M8" s="1">
        <v>2.6</v>
      </c>
      <c r="N8" s="1">
        <v>0.38900000000000001</v>
      </c>
      <c r="O8" s="1">
        <f>0.46</f>
        <v>0.46</v>
      </c>
      <c r="P8" s="10">
        <f>O8/M8</f>
        <v>0.17692307692307693</v>
      </c>
      <c r="Q8" s="13">
        <f>N8/J8</f>
        <v>4.2897243107769425</v>
      </c>
      <c r="R8" s="15">
        <f>M8-O8</f>
        <v>2.14</v>
      </c>
      <c r="S8">
        <f>M8*2/3</f>
        <v>1.7333333333333334</v>
      </c>
      <c r="T8">
        <f>R8-S8</f>
        <v>0.40666666666666673</v>
      </c>
      <c r="U8">
        <f>0.04*M8/M9</f>
        <v>8.4552845528455284E-3</v>
      </c>
      <c r="V8" s="9">
        <f>T8/U8</f>
        <v>48.096153846153854</v>
      </c>
    </row>
    <row r="9" spans="2:23" x14ac:dyDescent="0.25">
      <c r="B9" s="1" t="s">
        <v>21</v>
      </c>
      <c r="C9" s="4"/>
      <c r="D9" s="5"/>
      <c r="E9" s="4">
        <v>30.1</v>
      </c>
      <c r="F9" s="5">
        <f t="shared" ref="F9:F13" si="1">E9*$F$5/$E$5*1.4</f>
        <v>7.4364705882352933</v>
      </c>
      <c r="G9" s="5">
        <v>0.98499999999999999</v>
      </c>
      <c r="H9" s="5">
        <v>1.48</v>
      </c>
      <c r="I9" s="10">
        <f t="shared" si="0"/>
        <v>0.19901914254073724</v>
      </c>
      <c r="J9" s="5">
        <f t="shared" ref="J9:J20" si="2">G9*$J$5/$G$5</f>
        <v>0.31340909090909091</v>
      </c>
      <c r="K9" s="10">
        <f t="shared" ref="K9:K20" si="3">J9/F9</f>
        <v>4.214487063324273E-2</v>
      </c>
      <c r="L9" s="6"/>
      <c r="M9" s="1">
        <v>12.3</v>
      </c>
      <c r="N9" s="1">
        <f>0.77+1.286</f>
        <v>2.056</v>
      </c>
      <c r="O9" s="1">
        <f>0.976+0.041+0.012+1.492</f>
        <v>2.5209999999999999</v>
      </c>
      <c r="P9" s="10">
        <f t="shared" ref="P9:P16" si="4">O9/M9</f>
        <v>0.2049593495934959</v>
      </c>
      <c r="Q9" s="13">
        <f t="shared" ref="Q9:Q13" si="5">N9/J9</f>
        <v>6.5601160261058737</v>
      </c>
      <c r="R9" s="15">
        <f t="shared" ref="R8:R13" si="6">M9-O9</f>
        <v>9.7789999999999999</v>
      </c>
      <c r="S9">
        <f t="shared" ref="S9:S13" si="7">M9*2/3</f>
        <v>8.2000000000000011</v>
      </c>
      <c r="T9">
        <f t="shared" ref="T9:T11" si="8">R9-S9</f>
        <v>1.5789999999999988</v>
      </c>
      <c r="U9">
        <f>0.04*M8/M9</f>
        <v>8.4552845528455284E-3</v>
      </c>
      <c r="V9" s="9">
        <f>T9/U9</f>
        <v>186.74711538461526</v>
      </c>
    </row>
    <row r="10" spans="2:23" x14ac:dyDescent="0.25">
      <c r="B10" s="1" t="s">
        <v>12</v>
      </c>
      <c r="C10" s="4">
        <v>9.1</v>
      </c>
      <c r="D10" s="5">
        <f t="shared" ref="D10:D24" si="9">C10/3</f>
        <v>3.0333333333333332</v>
      </c>
      <c r="E10" s="4">
        <v>14.1</v>
      </c>
      <c r="F10" s="5">
        <f t="shared" si="1"/>
        <v>3.4835294117647058</v>
      </c>
      <c r="G10" s="5">
        <v>0.11</v>
      </c>
      <c r="H10" s="5">
        <v>0.20499999999999999</v>
      </c>
      <c r="I10" s="10">
        <f t="shared" si="0"/>
        <v>5.8848362039851401E-2</v>
      </c>
      <c r="J10" s="11">
        <f t="shared" si="2"/>
        <v>3.5000000000000003E-2</v>
      </c>
      <c r="K10" s="10">
        <f t="shared" si="3"/>
        <v>1.0047281323877069E-2</v>
      </c>
      <c r="L10" s="6">
        <f t="shared" ref="L10:L24" si="10">D10/E10</f>
        <v>0.21513002364066194</v>
      </c>
      <c r="M10" s="1">
        <v>3.1</v>
      </c>
      <c r="N10" s="1">
        <v>0.436</v>
      </c>
      <c r="O10" s="1">
        <f>0.541+0.017+0.009</f>
        <v>0.56700000000000006</v>
      </c>
      <c r="P10" s="10">
        <f t="shared" si="4"/>
        <v>0.18290322580645163</v>
      </c>
      <c r="Q10" s="13">
        <f t="shared" si="5"/>
        <v>12.457142857142856</v>
      </c>
      <c r="R10" s="15">
        <f t="shared" si="6"/>
        <v>2.5329999999999999</v>
      </c>
      <c r="S10">
        <f t="shared" si="7"/>
        <v>2.0666666666666669</v>
      </c>
      <c r="T10">
        <f t="shared" si="8"/>
        <v>0.46633333333333304</v>
      </c>
      <c r="U10">
        <v>1.7999999999999999E-2</v>
      </c>
      <c r="V10" s="9">
        <f>T10/U10</f>
        <v>25.907407407407394</v>
      </c>
    </row>
    <row r="11" spans="2:23" x14ac:dyDescent="0.25">
      <c r="B11" s="1" t="s">
        <v>22</v>
      </c>
      <c r="C11" s="4">
        <v>2.8</v>
      </c>
      <c r="D11" s="5">
        <f t="shared" si="9"/>
        <v>0.93333333333333324</v>
      </c>
      <c r="E11" s="4">
        <v>3.4</v>
      </c>
      <c r="F11" s="5">
        <f t="shared" si="1"/>
        <v>0.84</v>
      </c>
      <c r="G11" s="5">
        <v>0.05</v>
      </c>
      <c r="H11" s="5">
        <v>7.1999999999999995E-2</v>
      </c>
      <c r="I11" s="10">
        <f t="shared" si="0"/>
        <v>8.5714285714285715E-2</v>
      </c>
      <c r="J11" s="11">
        <f t="shared" si="2"/>
        <v>1.5909090909090911E-2</v>
      </c>
      <c r="K11" s="10">
        <f t="shared" si="3"/>
        <v>1.8939393939393943E-2</v>
      </c>
      <c r="L11" s="6">
        <f t="shared" si="10"/>
        <v>0.2745098039215686</v>
      </c>
      <c r="M11" s="1">
        <v>0.49</v>
      </c>
      <c r="N11" s="1">
        <v>0.11799999999999999</v>
      </c>
      <c r="O11" s="1">
        <v>0.13800000000000001</v>
      </c>
      <c r="P11" s="10">
        <f t="shared" si="4"/>
        <v>0.28163265306122454</v>
      </c>
      <c r="Q11" s="13">
        <f>N11/J11</f>
        <v>7.4171428571428555</v>
      </c>
      <c r="R11" s="15">
        <f t="shared" si="6"/>
        <v>0.35199999999999998</v>
      </c>
      <c r="S11">
        <f t="shared" si="7"/>
        <v>0.32666666666666666</v>
      </c>
      <c r="T11">
        <f t="shared" si="8"/>
        <v>2.5333333333333319E-2</v>
      </c>
      <c r="U11">
        <v>4.0000000000000001E-3</v>
      </c>
      <c r="V11" s="9">
        <f>T11/U11</f>
        <v>6.3333333333333295</v>
      </c>
    </row>
    <row r="12" spans="2:23" x14ac:dyDescent="0.25">
      <c r="B12" s="1" t="s">
        <v>17</v>
      </c>
      <c r="C12" s="4">
        <v>2</v>
      </c>
      <c r="D12" s="5">
        <f>C12/3</f>
        <v>0.66666666666666663</v>
      </c>
      <c r="E12" s="4">
        <v>6.5</v>
      </c>
      <c r="F12" s="5">
        <f>E12*$F$5/$E$5</f>
        <v>1.1470588235294117</v>
      </c>
      <c r="G12" s="5">
        <v>0.01</v>
      </c>
      <c r="H12" s="5">
        <v>4.2999999999999997E-2</v>
      </c>
      <c r="I12" s="10">
        <f t="shared" si="0"/>
        <v>3.7487179487179487E-2</v>
      </c>
      <c r="J12" s="5">
        <f>G12*$J$5/$G$5</f>
        <v>3.1818181818181819E-3</v>
      </c>
      <c r="K12" s="10">
        <f>J12/F12</f>
        <v>2.7738927738927741E-3</v>
      </c>
      <c r="L12" s="6">
        <f>D12/E12</f>
        <v>0.10256410256410256</v>
      </c>
      <c r="M12" s="1">
        <v>0.38400000000000001</v>
      </c>
      <c r="N12" s="1">
        <v>0.23699999999999999</v>
      </c>
      <c r="O12" s="1">
        <f>0.125+0.022+0.123</f>
        <v>0.27</v>
      </c>
      <c r="P12" s="10">
        <f t="shared" si="4"/>
        <v>0.703125</v>
      </c>
      <c r="Q12" s="13">
        <f>N12/J12</f>
        <v>74.48571428571428</v>
      </c>
      <c r="R12" s="15">
        <f t="shared" si="6"/>
        <v>0.11399999999999999</v>
      </c>
      <c r="S12">
        <f>M12*2/3</f>
        <v>0.25600000000000001</v>
      </c>
    </row>
    <row r="13" spans="2:23" x14ac:dyDescent="0.25">
      <c r="B13" s="1" t="s">
        <v>25</v>
      </c>
      <c r="C13" s="4">
        <v>20.7</v>
      </c>
      <c r="D13" s="5">
        <f t="shared" si="9"/>
        <v>6.8999999999999995</v>
      </c>
      <c r="E13" s="4">
        <v>4.0999999999999996</v>
      </c>
      <c r="F13" s="5">
        <f t="shared" si="1"/>
        <v>1.0129411764705882</v>
      </c>
      <c r="G13" s="5">
        <v>9.1999999999999998E-2</v>
      </c>
      <c r="H13" s="5">
        <v>9.2999999999999999E-2</v>
      </c>
      <c r="I13" s="10">
        <f t="shared" si="0"/>
        <v>9.1811846689895477E-2</v>
      </c>
      <c r="J13" s="11">
        <f t="shared" si="2"/>
        <v>2.9272727272727273E-2</v>
      </c>
      <c r="K13" s="10">
        <f t="shared" si="3"/>
        <v>2.8898743532889876E-2</v>
      </c>
      <c r="L13" s="6">
        <f t="shared" si="10"/>
        <v>1.6829268292682926</v>
      </c>
      <c r="M13" s="1">
        <v>0.3</v>
      </c>
      <c r="N13" s="1">
        <v>0.13300000000000001</v>
      </c>
      <c r="O13" s="1">
        <v>0.182</v>
      </c>
      <c r="P13" s="10">
        <f t="shared" si="4"/>
        <v>0.60666666666666669</v>
      </c>
      <c r="Q13" s="13">
        <f t="shared" si="5"/>
        <v>4.5434782608695654</v>
      </c>
      <c r="R13" s="15">
        <f t="shared" si="6"/>
        <v>0.11799999999999999</v>
      </c>
      <c r="S13">
        <f t="shared" si="7"/>
        <v>0.19999999999999998</v>
      </c>
    </row>
    <row r="14" spans="2:23" x14ac:dyDescent="0.25">
      <c r="B14" s="1" t="s">
        <v>13</v>
      </c>
      <c r="C14" s="4">
        <v>1</v>
      </c>
      <c r="D14" s="5">
        <f t="shared" si="9"/>
        <v>0.33333333333333331</v>
      </c>
      <c r="E14" s="4">
        <v>0.77</v>
      </c>
      <c r="F14" s="5">
        <f t="shared" ref="F14:F20" si="11">E14*$F$5/$E$5</f>
        <v>0.13588235294117648</v>
      </c>
      <c r="G14" s="11">
        <v>4.0000000000000001E-3</v>
      </c>
      <c r="H14" s="11">
        <v>4.0000000000000001E-3</v>
      </c>
      <c r="I14" s="10">
        <f t="shared" si="0"/>
        <v>2.9437229437229435E-2</v>
      </c>
      <c r="J14" s="11">
        <f t="shared" si="2"/>
        <v>1.2727272727272728E-3</v>
      </c>
      <c r="K14" s="10">
        <f t="shared" si="3"/>
        <v>9.3663911845730027E-3</v>
      </c>
      <c r="L14" s="6">
        <f t="shared" si="10"/>
        <v>0.43290043290043284</v>
      </c>
      <c r="M14" s="1">
        <v>7.0000000000000007E-2</v>
      </c>
      <c r="N14" s="12">
        <f>M14*0.62</f>
        <v>4.3400000000000001E-2</v>
      </c>
      <c r="O14" s="12">
        <f>M14*0.7</f>
        <v>4.9000000000000002E-2</v>
      </c>
      <c r="P14" s="10">
        <f t="shared" si="4"/>
        <v>0.7</v>
      </c>
      <c r="Q14" s="13"/>
    </row>
    <row r="15" spans="2:23" x14ac:dyDescent="0.25">
      <c r="B15" s="1" t="s">
        <v>23</v>
      </c>
      <c r="C15" s="4"/>
      <c r="D15" s="5"/>
      <c r="E15" s="4"/>
      <c r="F15" s="5">
        <f t="shared" si="11"/>
        <v>0</v>
      </c>
      <c r="G15" s="11">
        <v>4.0000000000000001E-3</v>
      </c>
      <c r="H15" s="11">
        <v>1.2E-2</v>
      </c>
      <c r="I15" s="10"/>
      <c r="J15" s="5"/>
      <c r="K15" s="10"/>
      <c r="L15" s="6"/>
      <c r="M15" s="1">
        <v>0.35</v>
      </c>
      <c r="N15" s="1">
        <v>0.126</v>
      </c>
      <c r="O15" s="1">
        <v>0.183</v>
      </c>
      <c r="P15" s="10">
        <f t="shared" si="4"/>
        <v>0.52285714285714291</v>
      </c>
      <c r="Q15" s="13"/>
    </row>
    <row r="16" spans="2:23" x14ac:dyDescent="0.25">
      <c r="B16" s="1" t="s">
        <v>14</v>
      </c>
      <c r="C16" s="4">
        <v>3.5</v>
      </c>
      <c r="D16" s="5">
        <f t="shared" si="9"/>
        <v>1.1666666666666667</v>
      </c>
      <c r="E16" s="4">
        <v>0.77</v>
      </c>
      <c r="F16" s="5">
        <f t="shared" si="11"/>
        <v>0.13588235294117648</v>
      </c>
      <c r="G16" s="11">
        <v>0.04</v>
      </c>
      <c r="H16" s="11">
        <v>0.04</v>
      </c>
      <c r="I16" s="10">
        <f>H16/F16</f>
        <v>0.29437229437229434</v>
      </c>
      <c r="J16" s="11">
        <f t="shared" si="2"/>
        <v>1.2727272727272728E-2</v>
      </c>
      <c r="K16" s="10">
        <f t="shared" si="3"/>
        <v>9.3663911845730016E-2</v>
      </c>
      <c r="L16" s="6">
        <f t="shared" si="10"/>
        <v>1.5151515151515151</v>
      </c>
      <c r="M16" s="1">
        <v>0.03</v>
      </c>
      <c r="N16" s="12">
        <f>M16*0.62</f>
        <v>1.8599999999999998E-2</v>
      </c>
      <c r="O16" s="12">
        <f>M16*0.7</f>
        <v>2.0999999999999998E-2</v>
      </c>
      <c r="P16" s="10">
        <f t="shared" si="4"/>
        <v>0.7</v>
      </c>
      <c r="Q16" s="13"/>
    </row>
    <row r="17" spans="2:17" x14ac:dyDescent="0.25">
      <c r="B17" s="1" t="s">
        <v>9</v>
      </c>
      <c r="C17" s="4">
        <v>158</v>
      </c>
      <c r="D17" s="5">
        <f t="shared" si="9"/>
        <v>52.666666666666664</v>
      </c>
      <c r="E17" s="4">
        <v>135</v>
      </c>
      <c r="F17" s="5">
        <v>25</v>
      </c>
      <c r="G17" s="5">
        <v>0</v>
      </c>
      <c r="H17" s="5">
        <v>0</v>
      </c>
      <c r="I17" s="10">
        <f t="shared" ref="I17" si="12">G17/F17</f>
        <v>0</v>
      </c>
      <c r="J17" s="5">
        <f t="shared" si="2"/>
        <v>0</v>
      </c>
      <c r="K17" s="10">
        <f t="shared" si="3"/>
        <v>0</v>
      </c>
      <c r="L17" s="6">
        <f t="shared" si="10"/>
        <v>0.39012345679012345</v>
      </c>
      <c r="M17" s="1" t="s">
        <v>26</v>
      </c>
      <c r="N17" s="1" t="s">
        <v>26</v>
      </c>
      <c r="O17" s="1" t="s">
        <v>26</v>
      </c>
      <c r="P17" s="10"/>
      <c r="Q17" s="13"/>
    </row>
    <row r="18" spans="2:17" x14ac:dyDescent="0.25">
      <c r="B18" s="1" t="s">
        <v>15</v>
      </c>
      <c r="C18" s="4">
        <v>4.0999999999999996</v>
      </c>
      <c r="D18" s="5">
        <f t="shared" si="9"/>
        <v>1.3666666666666665</v>
      </c>
      <c r="E18" s="4">
        <v>0.52</v>
      </c>
      <c r="F18" s="5"/>
      <c r="G18" s="5"/>
      <c r="H18" s="5"/>
      <c r="I18" s="10"/>
      <c r="J18" s="5">
        <f t="shared" si="2"/>
        <v>0</v>
      </c>
      <c r="K18" s="10"/>
      <c r="L18" s="6">
        <f t="shared" si="10"/>
        <v>2.6282051282051277</v>
      </c>
      <c r="M18" s="1">
        <v>7.0000000000000007E-2</v>
      </c>
      <c r="N18" s="1">
        <v>0</v>
      </c>
      <c r="O18" s="1">
        <v>7.0000000000000007E-2</v>
      </c>
      <c r="P18" s="10">
        <f t="shared" ref="P18:P23" si="13">N18/M18</f>
        <v>0</v>
      </c>
      <c r="Q18" s="13"/>
    </row>
    <row r="19" spans="2:17" x14ac:dyDescent="0.25">
      <c r="B19" s="1" t="s">
        <v>46</v>
      </c>
      <c r="C19" s="4"/>
      <c r="D19" s="5"/>
      <c r="E19" s="4"/>
      <c r="F19" s="5"/>
      <c r="G19" s="5"/>
      <c r="H19" s="5"/>
      <c r="I19" s="10"/>
      <c r="J19" s="5"/>
      <c r="K19" s="10"/>
      <c r="L19" s="6"/>
      <c r="M19" s="1">
        <v>0.112</v>
      </c>
      <c r="N19" s="1">
        <v>6.2E-2</v>
      </c>
      <c r="O19" s="1">
        <v>7.5999999999999998E-2</v>
      </c>
      <c r="P19" s="10">
        <f t="shared" si="13"/>
        <v>0.5535714285714286</v>
      </c>
      <c r="Q19" s="13"/>
    </row>
    <row r="20" spans="2:17" x14ac:dyDescent="0.25">
      <c r="B20" s="1" t="s">
        <v>16</v>
      </c>
      <c r="C20" s="4">
        <v>1.3</v>
      </c>
      <c r="D20" s="5">
        <f t="shared" si="9"/>
        <v>0.43333333333333335</v>
      </c>
      <c r="E20" s="4">
        <v>0.54</v>
      </c>
      <c r="F20" s="5">
        <f t="shared" si="11"/>
        <v>9.5294117647058821E-2</v>
      </c>
      <c r="G20" s="11">
        <v>4.8000000000000001E-2</v>
      </c>
      <c r="H20" s="11">
        <v>0.112</v>
      </c>
      <c r="I20" s="10">
        <f>H20/F20</f>
        <v>1.1753086419753087</v>
      </c>
      <c r="J20" s="11">
        <f t="shared" si="2"/>
        <v>1.5272727272727273E-2</v>
      </c>
      <c r="K20" s="10">
        <f t="shared" si="3"/>
        <v>0.16026936026936028</v>
      </c>
      <c r="L20" s="6">
        <f t="shared" si="10"/>
        <v>0.80246913580246915</v>
      </c>
      <c r="M20" s="1">
        <v>0.03</v>
      </c>
      <c r="N20" s="1">
        <f>M20*0.8</f>
        <v>2.4E-2</v>
      </c>
      <c r="O20" s="12">
        <f>M20*0.7</f>
        <v>2.0999999999999998E-2</v>
      </c>
      <c r="P20" s="10">
        <f t="shared" si="13"/>
        <v>0.8</v>
      </c>
      <c r="Q20" s="13"/>
    </row>
    <row r="21" spans="2:17" x14ac:dyDescent="0.25">
      <c r="B21" s="1" t="s">
        <v>1</v>
      </c>
      <c r="C21" s="4">
        <v>269</v>
      </c>
      <c r="D21" s="5">
        <f t="shared" si="9"/>
        <v>89.666666666666671</v>
      </c>
      <c r="E21" s="4">
        <v>26</v>
      </c>
      <c r="F21" s="4"/>
      <c r="G21" s="4"/>
      <c r="H21" s="4"/>
      <c r="I21" s="4"/>
      <c r="J21" s="4"/>
      <c r="K21" s="4"/>
      <c r="L21" s="6">
        <f t="shared" si="10"/>
        <v>3.4487179487179489</v>
      </c>
      <c r="M21" s="1">
        <v>1</v>
      </c>
      <c r="N21" s="1">
        <v>1</v>
      </c>
      <c r="O21" s="1">
        <v>1</v>
      </c>
      <c r="P21" s="10">
        <f t="shared" si="13"/>
        <v>1</v>
      </c>
      <c r="Q21" s="1"/>
    </row>
    <row r="22" spans="2:17" x14ac:dyDescent="0.25">
      <c r="B22" s="1" t="s">
        <v>0</v>
      </c>
      <c r="C22" s="4"/>
      <c r="D22" s="5">
        <f>C22/3</f>
        <v>0</v>
      </c>
      <c r="E22" s="4">
        <v>150</v>
      </c>
      <c r="F22" s="4"/>
      <c r="G22" s="4"/>
      <c r="H22" s="4"/>
      <c r="I22" s="4"/>
      <c r="J22" s="4"/>
      <c r="K22" s="4"/>
      <c r="L22" s="6">
        <f t="shared" si="10"/>
        <v>0</v>
      </c>
      <c r="M22" s="1" t="s">
        <v>26</v>
      </c>
      <c r="N22" s="1" t="s">
        <v>26</v>
      </c>
      <c r="O22" s="1" t="s">
        <v>26</v>
      </c>
      <c r="P22" s="10"/>
      <c r="Q22" s="1"/>
    </row>
    <row r="23" spans="2:17" x14ac:dyDescent="0.25">
      <c r="B23" s="1" t="s">
        <v>2</v>
      </c>
      <c r="C23" s="4"/>
      <c r="D23" s="5">
        <f t="shared" si="9"/>
        <v>0</v>
      </c>
      <c r="E23" s="4">
        <f>38+65</f>
        <v>103</v>
      </c>
      <c r="F23" s="4"/>
      <c r="G23" s="4"/>
      <c r="H23" s="4"/>
      <c r="I23" s="4"/>
      <c r="J23" s="4"/>
      <c r="K23" s="4"/>
      <c r="L23" s="6">
        <f t="shared" si="10"/>
        <v>0</v>
      </c>
      <c r="M23" s="1">
        <v>12</v>
      </c>
      <c r="N23" s="1">
        <v>12</v>
      </c>
      <c r="O23" s="1">
        <v>12</v>
      </c>
      <c r="P23" s="10">
        <f t="shared" si="13"/>
        <v>1</v>
      </c>
      <c r="Q23" s="1"/>
    </row>
    <row r="24" spans="2:17" x14ac:dyDescent="0.25">
      <c r="B24" s="1" t="s">
        <v>10</v>
      </c>
      <c r="C24" s="4">
        <v>149</v>
      </c>
      <c r="D24" s="5">
        <f t="shared" si="9"/>
        <v>49.666666666666664</v>
      </c>
      <c r="E24" s="4">
        <v>70</v>
      </c>
      <c r="F24" s="4"/>
      <c r="G24" s="4"/>
      <c r="H24" s="4"/>
      <c r="I24" s="4"/>
      <c r="J24" s="4"/>
      <c r="K24" s="4"/>
      <c r="L24" s="6">
        <f t="shared" si="10"/>
        <v>0.70952380952380945</v>
      </c>
      <c r="M24" s="1" t="s">
        <v>26</v>
      </c>
      <c r="N24" s="1" t="s">
        <v>26</v>
      </c>
      <c r="O24" s="1" t="s">
        <v>26</v>
      </c>
      <c r="P24" s="10"/>
      <c r="Q24" s="1"/>
    </row>
    <row r="26" spans="2:17" x14ac:dyDescent="0.25">
      <c r="D26">
        <v>25</v>
      </c>
      <c r="E26" s="7">
        <v>12</v>
      </c>
      <c r="F26" s="7"/>
      <c r="G26" s="7"/>
      <c r="H26" s="7"/>
      <c r="I26" s="7"/>
      <c r="J26" s="7"/>
      <c r="K26" s="7"/>
      <c r="L26" s="8"/>
    </row>
    <row r="27" spans="2:17" x14ac:dyDescent="0.25">
      <c r="D27">
        <v>1</v>
      </c>
      <c r="E27" s="7">
        <v>24</v>
      </c>
      <c r="F27" s="7"/>
      <c r="G27" s="7"/>
      <c r="H27" s="7"/>
      <c r="I27" s="7"/>
      <c r="J27" s="7"/>
      <c r="K27" s="7"/>
      <c r="L27" s="8"/>
    </row>
    <row r="28" spans="2:17" x14ac:dyDescent="0.25">
      <c r="D28">
        <v>10</v>
      </c>
      <c r="E28" s="7">
        <v>6</v>
      </c>
      <c r="F28" s="7"/>
      <c r="G28" s="7"/>
      <c r="H28" s="7"/>
      <c r="I28" s="7"/>
      <c r="J28" s="7"/>
      <c r="K28" s="7"/>
      <c r="L28" s="8">
        <f t="shared" ref="L28" si="14">D28*E28</f>
        <v>60</v>
      </c>
    </row>
    <row r="29" spans="2:17" x14ac:dyDescent="0.25">
      <c r="E29" s="7"/>
      <c r="F29" s="7"/>
      <c r="G29" s="7"/>
      <c r="H29" s="7"/>
      <c r="I29" s="7"/>
      <c r="J29" s="7"/>
      <c r="K29" s="7"/>
      <c r="L29" s="9">
        <f>L26+L27+L28</f>
        <v>60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6"/>
  <sheetViews>
    <sheetView workbookViewId="0">
      <selection activeCell="AA16" sqref="AA16"/>
    </sheetView>
  </sheetViews>
  <sheetFormatPr defaultRowHeight="15" x14ac:dyDescent="0.25"/>
  <cols>
    <col min="3" max="26" width="7.28515625" customWidth="1"/>
    <col min="29" max="29" width="7.28515625" style="19" customWidth="1"/>
  </cols>
  <sheetData>
    <row r="2" spans="2:29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C2" s="19" t="s">
        <v>59</v>
      </c>
    </row>
    <row r="3" spans="2:29" x14ac:dyDescent="0.25">
      <c r="AC3" s="19">
        <f>10052+1690+730</f>
        <v>12472</v>
      </c>
    </row>
    <row r="4" spans="2:29" x14ac:dyDescent="0.25">
      <c r="C4">
        <f t="shared" ref="C4:Q4" si="0">D5-C5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2203</v>
      </c>
      <c r="M4">
        <f t="shared" si="0"/>
        <v>193</v>
      </c>
      <c r="N4">
        <f t="shared" si="0"/>
        <v>86</v>
      </c>
      <c r="O4">
        <f t="shared" si="0"/>
        <v>332</v>
      </c>
      <c r="P4">
        <f t="shared" si="0"/>
        <v>184</v>
      </c>
      <c r="Q4">
        <f t="shared" si="0"/>
        <v>348</v>
      </c>
      <c r="R4">
        <f>S5-R5</f>
        <v>247</v>
      </c>
      <c r="S4">
        <f>T5-S5</f>
        <v>94</v>
      </c>
      <c r="T4">
        <f>U5-T5</f>
        <v>233</v>
      </c>
      <c r="U4">
        <f>V5-U5</f>
        <v>136</v>
      </c>
      <c r="AA4">
        <f>AVERAGE(M4:S4)</f>
        <v>212</v>
      </c>
    </row>
    <row r="5" spans="2:29" x14ac:dyDescent="0.25">
      <c r="M5">
        <v>2203</v>
      </c>
      <c r="N5">
        <v>2396</v>
      </c>
      <c r="O5">
        <v>2482</v>
      </c>
      <c r="P5">
        <v>2814</v>
      </c>
      <c r="Q5">
        <v>2998</v>
      </c>
      <c r="R5">
        <v>3346</v>
      </c>
      <c r="S5">
        <v>3593</v>
      </c>
      <c r="T5">
        <v>3687</v>
      </c>
      <c r="U5">
        <v>3920</v>
      </c>
      <c r="V5">
        <f>U5+136</f>
        <v>4056</v>
      </c>
    </row>
    <row r="6" spans="2:29" x14ac:dyDescent="0.25">
      <c r="B6" t="s">
        <v>53</v>
      </c>
      <c r="M6">
        <f>69+24</f>
        <v>93</v>
      </c>
      <c r="Q6">
        <v>98</v>
      </c>
      <c r="T6">
        <v>99</v>
      </c>
      <c r="V6">
        <f>T6+4</f>
        <v>103</v>
      </c>
      <c r="W6">
        <v>111</v>
      </c>
      <c r="X6">
        <v>111</v>
      </c>
      <c r="AC6" s="19">
        <v>106</v>
      </c>
    </row>
    <row r="7" spans="2:29" x14ac:dyDescent="0.25">
      <c r="B7" t="s">
        <v>54</v>
      </c>
      <c r="S7">
        <v>61</v>
      </c>
      <c r="V7">
        <f>S7+6</f>
        <v>67</v>
      </c>
      <c r="W7">
        <v>68</v>
      </c>
      <c r="X7">
        <v>70</v>
      </c>
      <c r="AC7" s="19">
        <v>76</v>
      </c>
    </row>
    <row r="8" spans="2:29" x14ac:dyDescent="0.25">
      <c r="M8">
        <f t="shared" ref="M8:S8" si="1">N9-M9</f>
        <v>13</v>
      </c>
      <c r="N8">
        <f t="shared" si="1"/>
        <v>10</v>
      </c>
      <c r="O8">
        <f t="shared" si="1"/>
        <v>13</v>
      </c>
      <c r="P8">
        <f t="shared" si="1"/>
        <v>12</v>
      </c>
      <c r="Q8">
        <f t="shared" si="1"/>
        <v>11</v>
      </c>
      <c r="R8">
        <f t="shared" si="1"/>
        <v>5</v>
      </c>
      <c r="S8">
        <f t="shared" si="1"/>
        <v>2</v>
      </c>
      <c r="T8">
        <f t="shared" ref="T8" si="2">U9-T9</f>
        <v>15</v>
      </c>
      <c r="U8">
        <f t="shared" ref="U8:Y8" si="3">V9-U9</f>
        <v>13</v>
      </c>
      <c r="V8">
        <f t="shared" si="3"/>
        <v>4</v>
      </c>
      <c r="W8">
        <f t="shared" si="3"/>
        <v>12</v>
      </c>
      <c r="X8">
        <f t="shared" si="3"/>
        <v>11</v>
      </c>
      <c r="Y8">
        <f t="shared" si="3"/>
        <v>18</v>
      </c>
      <c r="AA8" s="15">
        <f>AVERAGE(S8:Y8)</f>
        <v>10.714285714285714</v>
      </c>
    </row>
    <row r="9" spans="2:29" x14ac:dyDescent="0.25">
      <c r="B9" t="s">
        <v>23</v>
      </c>
      <c r="M9">
        <v>62</v>
      </c>
      <c r="N9">
        <v>75</v>
      </c>
      <c r="O9">
        <v>85</v>
      </c>
      <c r="P9">
        <v>98</v>
      </c>
      <c r="Q9">
        <v>110</v>
      </c>
      <c r="R9">
        <v>121</v>
      </c>
      <c r="S9">
        <v>126</v>
      </c>
      <c r="T9">
        <v>128</v>
      </c>
      <c r="U9">
        <v>143</v>
      </c>
      <c r="V9">
        <v>156</v>
      </c>
      <c r="W9">
        <v>160</v>
      </c>
      <c r="X9">
        <v>172</v>
      </c>
      <c r="Y9">
        <v>183</v>
      </c>
      <c r="Z9">
        <v>201</v>
      </c>
      <c r="AC9" s="19">
        <v>183</v>
      </c>
    </row>
    <row r="10" spans="2:29" x14ac:dyDescent="0.25">
      <c r="B10" t="s">
        <v>55</v>
      </c>
      <c r="M10">
        <v>111</v>
      </c>
      <c r="N10">
        <v>119</v>
      </c>
      <c r="O10">
        <v>124</v>
      </c>
      <c r="P10">
        <v>139</v>
      </c>
      <c r="Q10">
        <v>144</v>
      </c>
      <c r="U10">
        <v>145</v>
      </c>
      <c r="X10">
        <v>170</v>
      </c>
      <c r="AC10" s="19">
        <f>125+22</f>
        <v>147</v>
      </c>
    </row>
    <row r="11" spans="2:29" x14ac:dyDescent="0.25">
      <c r="M11">
        <f t="shared" ref="M11:Y11" si="4">N12-M12</f>
        <v>49</v>
      </c>
      <c r="N11">
        <f t="shared" si="4"/>
        <v>39</v>
      </c>
      <c r="O11">
        <f t="shared" si="4"/>
        <v>108</v>
      </c>
      <c r="P11">
        <f t="shared" si="4"/>
        <v>33</v>
      </c>
      <c r="Q11">
        <f t="shared" si="4"/>
        <v>60</v>
      </c>
      <c r="R11">
        <f t="shared" si="4"/>
        <v>92</v>
      </c>
      <c r="S11">
        <f t="shared" si="4"/>
        <v>35</v>
      </c>
      <c r="T11">
        <f t="shared" si="4"/>
        <v>73</v>
      </c>
      <c r="U11">
        <f t="shared" si="4"/>
        <v>39</v>
      </c>
      <c r="V11">
        <f t="shared" si="4"/>
        <v>47</v>
      </c>
      <c r="W11">
        <f t="shared" si="4"/>
        <v>26</v>
      </c>
      <c r="X11">
        <f t="shared" si="4"/>
        <v>27</v>
      </c>
      <c r="Y11">
        <f t="shared" si="4"/>
        <v>37</v>
      </c>
      <c r="AA11" s="15">
        <f>AVERAGE(S11:Y11)</f>
        <v>40.571428571428569</v>
      </c>
    </row>
    <row r="12" spans="2:29" x14ac:dyDescent="0.25">
      <c r="B12" t="s">
        <v>37</v>
      </c>
      <c r="M12">
        <v>778</v>
      </c>
      <c r="N12">
        <v>827</v>
      </c>
      <c r="O12">
        <v>866</v>
      </c>
      <c r="P12">
        <v>974</v>
      </c>
      <c r="Q12">
        <v>1007</v>
      </c>
      <c r="R12">
        <v>1067</v>
      </c>
      <c r="S12">
        <v>1159</v>
      </c>
      <c r="T12">
        <v>1194</v>
      </c>
      <c r="U12">
        <v>1267</v>
      </c>
      <c r="V12">
        <v>1306</v>
      </c>
      <c r="W12">
        <v>1353</v>
      </c>
      <c r="X12">
        <v>1379</v>
      </c>
      <c r="Y12">
        <v>1406</v>
      </c>
      <c r="Z12">
        <v>1443</v>
      </c>
      <c r="AC12" s="19">
        <f>458+976+2*1+41*1+12*1</f>
        <v>1489</v>
      </c>
    </row>
    <row r="13" spans="2:29" x14ac:dyDescent="0.25">
      <c r="M13">
        <f t="shared" ref="M13:Y13" si="5">N14-M14</f>
        <v>7</v>
      </c>
      <c r="N13">
        <f t="shared" si="5"/>
        <v>7</v>
      </c>
      <c r="O13">
        <f t="shared" si="5"/>
        <v>13</v>
      </c>
      <c r="P13">
        <f t="shared" si="5"/>
        <v>5</v>
      </c>
      <c r="Q13">
        <f t="shared" si="5"/>
        <v>5</v>
      </c>
      <c r="R13">
        <f t="shared" si="5"/>
        <v>4</v>
      </c>
      <c r="S13">
        <f t="shared" si="5"/>
        <v>3</v>
      </c>
      <c r="T13">
        <f t="shared" si="5"/>
        <v>3</v>
      </c>
      <c r="U13">
        <f t="shared" si="5"/>
        <v>3</v>
      </c>
      <c r="V13">
        <f t="shared" si="5"/>
        <v>2</v>
      </c>
      <c r="W13">
        <f t="shared" si="5"/>
        <v>4</v>
      </c>
      <c r="X13">
        <f t="shared" si="5"/>
        <v>5</v>
      </c>
      <c r="Y13">
        <f t="shared" si="5"/>
        <v>9</v>
      </c>
      <c r="AA13" s="15">
        <f>AVERAGE(S13:Y13)</f>
        <v>4.1428571428571432</v>
      </c>
    </row>
    <row r="14" spans="2:29" x14ac:dyDescent="0.25">
      <c r="B14" t="s">
        <v>56</v>
      </c>
      <c r="M14">
        <v>77</v>
      </c>
      <c r="N14">
        <v>84</v>
      </c>
      <c r="O14">
        <v>91</v>
      </c>
      <c r="P14">
        <v>104</v>
      </c>
      <c r="Q14">
        <v>109</v>
      </c>
      <c r="R14">
        <v>114</v>
      </c>
      <c r="S14">
        <v>118</v>
      </c>
      <c r="T14">
        <v>121</v>
      </c>
      <c r="U14">
        <v>124</v>
      </c>
      <c r="V14">
        <v>127</v>
      </c>
      <c r="W14">
        <v>129</v>
      </c>
      <c r="X14">
        <v>133</v>
      </c>
      <c r="Y14">
        <v>138</v>
      </c>
      <c r="Z14">
        <v>147</v>
      </c>
      <c r="AC14" s="19">
        <v>138</v>
      </c>
    </row>
    <row r="15" spans="2:29" x14ac:dyDescent="0.25">
      <c r="M15">
        <f t="shared" ref="M15:Y15" si="6">N16-M16</f>
        <v>25</v>
      </c>
      <c r="N15">
        <f t="shared" si="6"/>
        <v>13</v>
      </c>
      <c r="O15">
        <f t="shared" si="6"/>
        <v>42</v>
      </c>
      <c r="P15">
        <f t="shared" si="6"/>
        <v>15</v>
      </c>
      <c r="Q15">
        <f t="shared" si="6"/>
        <v>38</v>
      </c>
      <c r="R15">
        <f t="shared" si="6"/>
        <v>24</v>
      </c>
      <c r="S15">
        <f t="shared" si="6"/>
        <v>7</v>
      </c>
      <c r="T15">
        <f t="shared" si="6"/>
        <v>14</v>
      </c>
      <c r="U15">
        <f t="shared" si="6"/>
        <v>14</v>
      </c>
      <c r="V15">
        <f t="shared" si="6"/>
        <v>22</v>
      </c>
      <c r="W15">
        <f t="shared" si="6"/>
        <v>21</v>
      </c>
      <c r="X15">
        <f t="shared" si="6"/>
        <v>21</v>
      </c>
      <c r="Y15">
        <f t="shared" si="6"/>
        <v>29</v>
      </c>
      <c r="AA15" s="15">
        <f>AVERAGE(S15:Y15)</f>
        <v>18.285714285714285</v>
      </c>
    </row>
    <row r="16" spans="2:29" x14ac:dyDescent="0.25">
      <c r="B16" t="s">
        <v>57</v>
      </c>
      <c r="M16">
        <v>279</v>
      </c>
      <c r="N16">
        <v>304</v>
      </c>
      <c r="O16">
        <v>317</v>
      </c>
      <c r="P16">
        <v>359</v>
      </c>
      <c r="Q16">
        <v>374</v>
      </c>
      <c r="R16">
        <v>412</v>
      </c>
      <c r="S16">
        <v>436</v>
      </c>
      <c r="T16">
        <v>443</v>
      </c>
      <c r="U16">
        <v>457</v>
      </c>
      <c r="V16">
        <v>471</v>
      </c>
      <c r="W16">
        <v>493</v>
      </c>
      <c r="X16">
        <v>514</v>
      </c>
      <c r="Y16">
        <v>535</v>
      </c>
      <c r="Z16">
        <v>564</v>
      </c>
      <c r="AC16" s="19">
        <f>541+17*1+9*1</f>
        <v>567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"/>
  <sheetViews>
    <sheetView workbookViewId="0">
      <selection activeCell="E2" sqref="E2:F2"/>
    </sheetView>
  </sheetViews>
  <sheetFormatPr defaultRowHeight="15" x14ac:dyDescent="0.25"/>
  <cols>
    <col min="3" max="3" width="0" hidden="1" customWidth="1"/>
  </cols>
  <sheetData>
    <row r="1" spans="2:13" x14ac:dyDescent="0.25"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</row>
    <row r="2" spans="2:13" x14ac:dyDescent="0.25">
      <c r="B2" t="s">
        <v>64</v>
      </c>
      <c r="C2">
        <v>4572</v>
      </c>
      <c r="D2">
        <f>SUM(E2:M2)</f>
        <v>3462</v>
      </c>
      <c r="E2">
        <v>547</v>
      </c>
      <c r="F2">
        <v>1297</v>
      </c>
      <c r="G2">
        <v>502</v>
      </c>
      <c r="H2">
        <v>463</v>
      </c>
      <c r="I2">
        <v>263</v>
      </c>
      <c r="J2">
        <v>174</v>
      </c>
      <c r="K2">
        <v>105</v>
      </c>
      <c r="L2">
        <v>57</v>
      </c>
      <c r="M2">
        <v>54</v>
      </c>
    </row>
    <row r="3" spans="2:13" x14ac:dyDescent="0.25">
      <c r="B3" t="s">
        <v>65</v>
      </c>
      <c r="D3">
        <v>11</v>
      </c>
    </row>
    <row r="4" spans="2:13" x14ac:dyDescent="0.25">
      <c r="B4" t="s">
        <v>39</v>
      </c>
      <c r="D4">
        <v>51</v>
      </c>
    </row>
    <row r="5" spans="2:13" x14ac:dyDescent="0.25">
      <c r="B5" t="s">
        <v>66</v>
      </c>
      <c r="D5">
        <v>6</v>
      </c>
    </row>
    <row r="6" spans="2:13" x14ac:dyDescent="0.25">
      <c r="B6" t="s">
        <v>67</v>
      </c>
      <c r="D6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zoomScale="145" zoomScaleNormal="145" workbookViewId="0">
      <selection activeCell="C4" sqref="C4"/>
    </sheetView>
  </sheetViews>
  <sheetFormatPr defaultRowHeight="15" x14ac:dyDescent="0.25"/>
  <cols>
    <col min="2" max="2" width="15.85546875" bestFit="1" customWidth="1"/>
  </cols>
  <sheetData>
    <row r="1" spans="2:4" x14ac:dyDescent="0.25">
      <c r="C1" t="s">
        <v>48</v>
      </c>
    </row>
    <row r="2" spans="2:4" x14ac:dyDescent="0.25">
      <c r="B2" s="1" t="s">
        <v>47</v>
      </c>
      <c r="C2" s="1">
        <v>65</v>
      </c>
    </row>
    <row r="3" spans="2:4" x14ac:dyDescent="0.25">
      <c r="B3" s="1" t="s">
        <v>52</v>
      </c>
      <c r="C3" s="1">
        <v>15</v>
      </c>
    </row>
    <row r="4" spans="2:4" x14ac:dyDescent="0.25">
      <c r="B4" s="1" t="s">
        <v>49</v>
      </c>
      <c r="C4" s="1">
        <v>25</v>
      </c>
    </row>
    <row r="5" spans="2:4" x14ac:dyDescent="0.25">
      <c r="B5" s="1" t="s">
        <v>50</v>
      </c>
      <c r="C5" s="1">
        <v>15</v>
      </c>
      <c r="D5" s="14">
        <f>C5/C4</f>
        <v>0.6</v>
      </c>
    </row>
    <row r="6" spans="2:4" x14ac:dyDescent="0.25">
      <c r="B6" s="1" t="s">
        <v>51</v>
      </c>
      <c r="C6" s="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workbookViewId="0">
      <selection activeCell="H12" sqref="H12:H14"/>
    </sheetView>
  </sheetViews>
  <sheetFormatPr defaultRowHeight="15" x14ac:dyDescent="0.25"/>
  <cols>
    <col min="2" max="2" width="16.140625" bestFit="1" customWidth="1"/>
    <col min="3" max="3" width="16.140625" customWidth="1"/>
    <col min="4" max="4" width="16.140625" bestFit="1" customWidth="1"/>
    <col min="5" max="6" width="16.140625" customWidth="1"/>
  </cols>
  <sheetData>
    <row r="2" spans="2:13" x14ac:dyDescent="0.25">
      <c r="D2" t="s">
        <v>31</v>
      </c>
    </row>
    <row r="3" spans="2:13" x14ac:dyDescent="0.25">
      <c r="D3">
        <v>2003</v>
      </c>
      <c r="E3">
        <v>2004</v>
      </c>
      <c r="F3">
        <v>2005</v>
      </c>
      <c r="G3">
        <v>2006</v>
      </c>
      <c r="H3">
        <v>2007</v>
      </c>
      <c r="I3">
        <v>2008</v>
      </c>
      <c r="J3">
        <v>2009</v>
      </c>
      <c r="M3" t="s">
        <v>43</v>
      </c>
    </row>
    <row r="4" spans="2:13" x14ac:dyDescent="0.25">
      <c r="B4" t="s">
        <v>32</v>
      </c>
      <c r="D4">
        <v>486</v>
      </c>
      <c r="E4">
        <v>849</v>
      </c>
      <c r="F4">
        <v>846</v>
      </c>
      <c r="G4">
        <v>823</v>
      </c>
      <c r="H4">
        <v>904</v>
      </c>
      <c r="I4">
        <v>314</v>
      </c>
      <c r="L4">
        <f>SUM(D4:K4)</f>
        <v>4222</v>
      </c>
      <c r="M4">
        <f>L4*2.5</f>
        <v>10555</v>
      </c>
    </row>
    <row r="5" spans="2:13" x14ac:dyDescent="0.25">
      <c r="B5" t="s">
        <v>33</v>
      </c>
      <c r="G5">
        <f>G6-F6</f>
        <v>119</v>
      </c>
      <c r="H5">
        <f>H6-G6</f>
        <v>148</v>
      </c>
    </row>
    <row r="6" spans="2:13" x14ac:dyDescent="0.25">
      <c r="F6">
        <v>650</v>
      </c>
      <c r="G6">
        <v>769</v>
      </c>
      <c r="H6">
        <v>917</v>
      </c>
    </row>
    <row r="8" spans="2:13" x14ac:dyDescent="0.25">
      <c r="C8" s="1" t="s">
        <v>34</v>
      </c>
      <c r="D8" s="1" t="s">
        <v>36</v>
      </c>
      <c r="E8" s="1"/>
      <c r="F8" s="1" t="s">
        <v>35</v>
      </c>
      <c r="G8" s="1" t="s">
        <v>36</v>
      </c>
      <c r="H8" s="1"/>
      <c r="J8" s="1" t="s">
        <v>41</v>
      </c>
      <c r="K8" s="1" t="s">
        <v>42</v>
      </c>
    </row>
    <row r="9" spans="2:13" x14ac:dyDescent="0.25">
      <c r="B9" t="s">
        <v>40</v>
      </c>
      <c r="C9" s="1">
        <v>250</v>
      </c>
      <c r="D9" s="1">
        <v>0.17199999999999999</v>
      </c>
      <c r="E9" s="18">
        <f>D9/C9</f>
        <v>6.8799999999999992E-4</v>
      </c>
      <c r="F9" s="1">
        <v>350</v>
      </c>
      <c r="G9" s="1">
        <v>9.1999999999999993</v>
      </c>
      <c r="H9" s="18">
        <f>G9/F9</f>
        <v>2.6285714285714284E-2</v>
      </c>
      <c r="J9" s="1"/>
      <c r="K9" s="1"/>
    </row>
    <row r="10" spans="2:13" x14ac:dyDescent="0.25">
      <c r="C10" s="1"/>
      <c r="D10" s="1"/>
      <c r="E10" s="1"/>
      <c r="F10" s="1"/>
      <c r="G10" s="1"/>
      <c r="H10" s="1"/>
      <c r="J10" s="1"/>
      <c r="K10" s="1"/>
    </row>
    <row r="11" spans="2:13" x14ac:dyDescent="0.25">
      <c r="B11" t="s">
        <v>45</v>
      </c>
      <c r="C11" s="1"/>
      <c r="D11" s="1">
        <f>802+153</f>
        <v>955</v>
      </c>
      <c r="E11" s="1"/>
      <c r="F11" s="1"/>
      <c r="G11" s="1"/>
      <c r="H11" s="1"/>
      <c r="J11" s="1"/>
      <c r="K11" s="1"/>
    </row>
    <row r="12" spans="2:13" x14ac:dyDescent="0.25">
      <c r="B12" t="s">
        <v>37</v>
      </c>
      <c r="C12" s="1">
        <v>760</v>
      </c>
      <c r="D12" s="1">
        <v>74</v>
      </c>
      <c r="E12" s="10">
        <f>D12/C12</f>
        <v>9.7368421052631576E-2</v>
      </c>
      <c r="F12" s="1">
        <v>2200</v>
      </c>
      <c r="G12" s="1">
        <v>847</v>
      </c>
      <c r="H12" s="10">
        <f>G12/F12</f>
        <v>0.38500000000000001</v>
      </c>
      <c r="I12">
        <f>G12/D12</f>
        <v>11.445945945945946</v>
      </c>
      <c r="J12" s="1">
        <v>20</v>
      </c>
      <c r="K12" s="1">
        <v>530</v>
      </c>
    </row>
    <row r="13" spans="2:13" x14ac:dyDescent="0.25">
      <c r="B13" t="s">
        <v>21</v>
      </c>
      <c r="C13" s="1">
        <v>1200</v>
      </c>
      <c r="D13" s="1">
        <v>168</v>
      </c>
      <c r="E13" s="10">
        <f t="shared" ref="E13:E16" si="0">D13/C13</f>
        <v>0.14000000000000001</v>
      </c>
      <c r="F13" s="1">
        <v>2400</v>
      </c>
      <c r="G13" s="1">
        <v>777</v>
      </c>
      <c r="H13" s="10">
        <f>G13/F13</f>
        <v>0.32374999999999998</v>
      </c>
      <c r="I13">
        <f t="shared" ref="I13:I14" si="1">G13/D13</f>
        <v>4.625</v>
      </c>
      <c r="J13" s="1">
        <v>190</v>
      </c>
      <c r="K13" s="1">
        <f>700+160+220</f>
        <v>1080</v>
      </c>
    </row>
    <row r="14" spans="2:13" x14ac:dyDescent="0.25">
      <c r="B14" t="s">
        <v>44</v>
      </c>
      <c r="C14" s="1">
        <v>900</v>
      </c>
      <c r="D14" s="1">
        <f>C14*0.13</f>
        <v>117</v>
      </c>
      <c r="E14" s="10">
        <f t="shared" si="0"/>
        <v>0.13</v>
      </c>
      <c r="F14" s="1">
        <v>4000</v>
      </c>
      <c r="G14" s="1">
        <f>F14*0.35</f>
        <v>1400</v>
      </c>
      <c r="H14" s="10">
        <f>G14/F14</f>
        <v>0.35</v>
      </c>
      <c r="I14">
        <f t="shared" si="1"/>
        <v>11.965811965811966</v>
      </c>
      <c r="J14" s="1"/>
      <c r="K14" s="1"/>
    </row>
    <row r="15" spans="2:13" x14ac:dyDescent="0.25">
      <c r="B15" t="s">
        <v>38</v>
      </c>
      <c r="C15" s="1">
        <v>786</v>
      </c>
      <c r="D15" s="1">
        <v>15</v>
      </c>
      <c r="E15" s="10">
        <f t="shared" si="0"/>
        <v>1.9083969465648856E-2</v>
      </c>
      <c r="F15" s="1"/>
      <c r="G15" s="1"/>
      <c r="H15" s="1"/>
      <c r="J15" s="1"/>
      <c r="K15" s="1"/>
    </row>
    <row r="16" spans="2:13" x14ac:dyDescent="0.25">
      <c r="B16" t="s">
        <v>39</v>
      </c>
      <c r="C16" s="1">
        <v>900</v>
      </c>
      <c r="D16" s="1">
        <v>22</v>
      </c>
      <c r="E16" s="10">
        <f t="shared" si="0"/>
        <v>2.4444444444444446E-2</v>
      </c>
      <c r="F16" s="1"/>
      <c r="G16" s="1"/>
      <c r="H16" s="1"/>
      <c r="J16" s="1">
        <v>85</v>
      </c>
      <c r="K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дин</vt:lpstr>
      <vt:lpstr>Чечня 2я</vt:lpstr>
      <vt:lpstr>потери</vt:lpstr>
      <vt:lpstr>Ирак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rinum rinum</dc:creator>
  <cp:lastModifiedBy>rinum rinum</cp:lastModifiedBy>
  <dcterms:created xsi:type="dcterms:W3CDTF">2022-03-02T18:23:03Z</dcterms:created>
  <dcterms:modified xsi:type="dcterms:W3CDTF">2022-03-20T05:30:41Z</dcterms:modified>
</cp:coreProperties>
</file>