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num\Documents\"/>
    </mc:Choice>
  </mc:AlternateContent>
  <bookViews>
    <workbookView xWindow="0" yWindow="0" windowWidth="28800" windowHeight="11400"/>
  </bookViews>
  <sheets>
    <sheet name="Лист1" sheetId="1" r:id="rId1"/>
    <sheet name="дин" sheetId="4" r:id="rId2"/>
    <sheet name="яо" sheetId="6" r:id="rId3"/>
    <sheet name="Чечня 2я" sheetId="5" r:id="rId4"/>
    <sheet name="потери" sheetId="3" r:id="rId5"/>
    <sheet name="Ирак" sheetId="2" r:id="rId6"/>
    <sheet name="эскпорт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8" i="4" l="1"/>
  <c r="AS15" i="4"/>
  <c r="AS13" i="4"/>
  <c r="AS11" i="4"/>
  <c r="AS8" i="4"/>
  <c r="AQ15" i="4"/>
  <c r="AQ13" i="4"/>
  <c r="AQ11" i="4"/>
  <c r="AQ18" i="4" s="1"/>
  <c r="AQ8" i="4"/>
  <c r="AP18" i="4" l="1"/>
  <c r="AP15" i="4"/>
  <c r="AP13" i="4"/>
  <c r="AP11" i="4"/>
  <c r="AP8" i="4"/>
  <c r="AT18" i="4" l="1"/>
  <c r="AO15" i="4" l="1"/>
  <c r="AO13" i="4"/>
  <c r="AO11" i="4"/>
  <c r="AO8" i="4"/>
  <c r="AO18" i="4" l="1"/>
  <c r="N5" i="1"/>
  <c r="X24" i="1" l="1"/>
  <c r="X20" i="1"/>
  <c r="X17" i="1"/>
  <c r="X14" i="1"/>
  <c r="N24" i="1"/>
  <c r="N20" i="1"/>
  <c r="N17" i="1"/>
  <c r="N16" i="1"/>
  <c r="N11" i="1"/>
  <c r="N12" i="1"/>
  <c r="N13" i="1"/>
  <c r="N14" i="1"/>
  <c r="N10" i="1"/>
  <c r="J9" i="1"/>
  <c r="K24" i="1"/>
  <c r="K20" i="1"/>
  <c r="K17" i="1"/>
  <c r="K16" i="1"/>
  <c r="K14" i="1"/>
  <c r="K13" i="1"/>
  <c r="K12" i="1"/>
  <c r="K11" i="1"/>
  <c r="K10" i="1"/>
  <c r="K5" i="1"/>
  <c r="AN15" i="4"/>
  <c r="AN13" i="4"/>
  <c r="AN11" i="4"/>
  <c r="AN8" i="4"/>
  <c r="X16" i="1" l="1"/>
  <c r="X13" i="1"/>
  <c r="X12" i="1"/>
  <c r="X11" i="1"/>
  <c r="X10" i="1"/>
  <c r="X5" i="1"/>
  <c r="W5" i="1"/>
  <c r="V5" i="1"/>
  <c r="O24" i="1"/>
  <c r="O20" i="1"/>
  <c r="O17" i="1"/>
  <c r="O16" i="1"/>
  <c r="O11" i="1"/>
  <c r="O12" i="1"/>
  <c r="O13" i="1"/>
  <c r="O14" i="1"/>
  <c r="O10" i="1"/>
  <c r="O5" i="1"/>
  <c r="AN18" i="4" l="1"/>
  <c r="Y10" i="1" l="1"/>
  <c r="W24" i="1"/>
  <c r="W23" i="1"/>
  <c r="W22" i="1"/>
  <c r="W20" i="1"/>
  <c r="Q19" i="1"/>
  <c r="Q18" i="1"/>
  <c r="Y17" i="1"/>
  <c r="W17" i="1"/>
  <c r="W19" i="1"/>
  <c r="AB19" i="1"/>
  <c r="Y18" i="1"/>
  <c r="Z15" i="1"/>
  <c r="Z14" i="1"/>
  <c r="Z11" i="1"/>
  <c r="Z12" i="1"/>
  <c r="Z13" i="1"/>
  <c r="Z16" i="1"/>
  <c r="Z10" i="1"/>
  <c r="W16" i="1"/>
  <c r="W15" i="1"/>
  <c r="Y15" i="1"/>
  <c r="Y16" i="1"/>
  <c r="Y11" i="1"/>
  <c r="Y12" i="1"/>
  <c r="Y13" i="1"/>
  <c r="Y14" i="1"/>
  <c r="W14" i="1"/>
  <c r="W13" i="1"/>
  <c r="W12" i="1"/>
  <c r="W11" i="1"/>
  <c r="W10" i="1"/>
  <c r="Z23" i="1"/>
  <c r="AB23" i="1"/>
  <c r="Y23" i="1"/>
  <c r="AA23" i="1" s="1"/>
  <c r="AC23" i="1" s="1"/>
  <c r="AM15" i="4"/>
  <c r="AM13" i="4"/>
  <c r="AM11" i="4"/>
  <c r="W18" i="1" l="1"/>
  <c r="Z18" i="1"/>
  <c r="AA10" i="1"/>
  <c r="AM18" i="4"/>
  <c r="AM8" i="4"/>
  <c r="AL11" i="4" l="1"/>
  <c r="AL8" i="4"/>
  <c r="AL15" i="4" l="1"/>
  <c r="AL13" i="4"/>
  <c r="AL18" i="4" l="1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M18" i="4"/>
  <c r="AK8" i="4" l="1"/>
  <c r="AK11" i="4"/>
  <c r="AK13" i="4"/>
  <c r="AK15" i="4"/>
  <c r="F32" i="7"/>
  <c r="F31" i="7"/>
  <c r="E16" i="7"/>
  <c r="H13" i="7"/>
  <c r="H9" i="7"/>
  <c r="H10" i="7"/>
  <c r="H12" i="7"/>
  <c r="H8" i="7"/>
  <c r="H4" i="7"/>
  <c r="H5" i="7"/>
  <c r="H6" i="7"/>
  <c r="H7" i="7"/>
  <c r="H3" i="7"/>
  <c r="N4" i="7"/>
  <c r="M18" i="7"/>
  <c r="G13" i="7"/>
  <c r="L18" i="7"/>
  <c r="F13" i="7"/>
  <c r="AK18" i="4" l="1"/>
  <c r="AJ15" i="4"/>
  <c r="AU13" i="4"/>
  <c r="AU11" i="4"/>
  <c r="AJ13" i="4"/>
  <c r="AJ11" i="4"/>
  <c r="AU15" i="4"/>
  <c r="AJ8" i="4"/>
  <c r="AI8" i="4" l="1"/>
  <c r="AI13" i="4" l="1"/>
  <c r="AI15" i="4"/>
  <c r="AI11" i="4"/>
  <c r="AH8" i="4" l="1"/>
  <c r="AH15" i="4" l="1"/>
  <c r="AH13" i="4"/>
  <c r="AH11" i="4"/>
  <c r="AB1" i="1" l="1"/>
  <c r="AB5" i="1"/>
  <c r="Z5" i="1"/>
  <c r="I9" i="2" l="1"/>
  <c r="AG15" i="4" l="1"/>
  <c r="AG13" i="4"/>
  <c r="AG11" i="4"/>
  <c r="AG8" i="4"/>
  <c r="AX12" i="4" l="1"/>
  <c r="AX14" i="4"/>
  <c r="AX16" i="4"/>
  <c r="AX9" i="4"/>
  <c r="Q14" i="1"/>
  <c r="R14" i="1"/>
  <c r="S14" i="1"/>
  <c r="T14" i="1"/>
  <c r="U14" i="1"/>
  <c r="AB14" i="1" s="1"/>
  <c r="AB18" i="1"/>
  <c r="AB16" i="1"/>
  <c r="AB15" i="1"/>
  <c r="AA15" i="1"/>
  <c r="AA16" i="1"/>
  <c r="M5" i="1"/>
  <c r="U20" i="1"/>
  <c r="U17" i="1"/>
  <c r="U12" i="1"/>
  <c r="U11" i="1"/>
  <c r="U5" i="1"/>
  <c r="AW10" i="4"/>
  <c r="AX10" i="4" s="1"/>
  <c r="AC15" i="1" l="1"/>
  <c r="AC16" i="1"/>
  <c r="AA14" i="1"/>
  <c r="AC14" i="1" s="1"/>
  <c r="AA18" i="1"/>
  <c r="AC18" i="1" s="1"/>
  <c r="AF15" i="4"/>
  <c r="AF13" i="4"/>
  <c r="AF11" i="4"/>
  <c r="AF8" i="4"/>
  <c r="AA5" i="1" l="1"/>
  <c r="AE15" i="4"/>
  <c r="AE13" i="4"/>
  <c r="AE11" i="4"/>
  <c r="AE8" i="4"/>
  <c r="I9" i="1" l="1"/>
  <c r="G9" i="1"/>
  <c r="F17" i="1"/>
  <c r="L11" i="1"/>
  <c r="L12" i="1"/>
  <c r="L13" i="1"/>
  <c r="L14" i="1"/>
  <c r="L16" i="1"/>
  <c r="L17" i="1"/>
  <c r="L20" i="1"/>
  <c r="L24" i="1"/>
  <c r="L10" i="1"/>
  <c r="M10" i="1"/>
  <c r="R11" i="1"/>
  <c r="S11" i="1"/>
  <c r="S20" i="1"/>
  <c r="S24" i="1"/>
  <c r="S17" i="1"/>
  <c r="S12" i="1"/>
  <c r="S10" i="1"/>
  <c r="T11" i="1" l="1"/>
  <c r="AC15" i="4" l="1"/>
  <c r="AD15" i="4"/>
  <c r="AC13" i="4"/>
  <c r="AD13" i="4"/>
  <c r="AC11" i="4"/>
  <c r="AD11" i="4"/>
  <c r="AD8" i="4"/>
  <c r="AC8" i="4"/>
  <c r="AB13" i="4" l="1"/>
  <c r="AB13" i="1" s="1"/>
  <c r="AB15" i="4" l="1"/>
  <c r="AB12" i="1" s="1"/>
  <c r="AB11" i="4"/>
  <c r="AB8" i="4"/>
  <c r="AB10" i="1" l="1"/>
  <c r="AB11" i="1"/>
  <c r="C6" i="1"/>
  <c r="AA15" i="4" l="1"/>
  <c r="AA13" i="4"/>
  <c r="AA11" i="4"/>
  <c r="AA8" i="4"/>
  <c r="Z8" i="4" l="1"/>
  <c r="Z15" i="4"/>
  <c r="Z13" i="4"/>
  <c r="Z11" i="4"/>
  <c r="Y15" i="4" l="1"/>
  <c r="Y13" i="4"/>
  <c r="Y11" i="4"/>
  <c r="Y8" i="4"/>
  <c r="I13" i="2" l="1"/>
  <c r="I14" i="2"/>
  <c r="I12" i="2"/>
  <c r="X8" i="4"/>
  <c r="D5" i="3"/>
  <c r="D2" i="5"/>
  <c r="T24" i="1"/>
  <c r="T20" i="1"/>
  <c r="T17" i="1"/>
  <c r="R20" i="1"/>
  <c r="R17" i="1"/>
  <c r="T12" i="1"/>
  <c r="T10" i="1"/>
  <c r="AV3" i="4"/>
  <c r="AV10" i="4"/>
  <c r="AV16" i="4"/>
  <c r="AV12" i="4"/>
  <c r="X15" i="4"/>
  <c r="X13" i="4"/>
  <c r="X11" i="4"/>
  <c r="Y5" i="1" l="1"/>
  <c r="W15" i="4"/>
  <c r="W13" i="4"/>
  <c r="W11" i="4"/>
  <c r="W8" i="4"/>
  <c r="V8" i="4" l="1"/>
  <c r="V15" i="4"/>
  <c r="V13" i="4"/>
  <c r="V11" i="4"/>
  <c r="V5" i="4" l="1"/>
  <c r="U4" i="4" s="1"/>
  <c r="U15" i="4"/>
  <c r="U13" i="4"/>
  <c r="U11" i="4"/>
  <c r="V7" i="4"/>
  <c r="V6" i="4"/>
  <c r="T8" i="4"/>
  <c r="U8" i="4"/>
  <c r="T15" i="4" l="1"/>
  <c r="T13" i="4"/>
  <c r="T11" i="4"/>
  <c r="T4" i="4"/>
  <c r="AA12" i="1" l="1"/>
  <c r="AC12" i="1" s="1"/>
  <c r="AA13" i="1"/>
  <c r="AC13" i="1" s="1"/>
  <c r="AC5" i="1"/>
  <c r="AC10" i="1"/>
  <c r="M15" i="4"/>
  <c r="N15" i="4"/>
  <c r="O15" i="4"/>
  <c r="P15" i="4"/>
  <c r="Q15" i="4"/>
  <c r="R15" i="4"/>
  <c r="S15" i="4"/>
  <c r="M13" i="4"/>
  <c r="AT13" i="4" s="1"/>
  <c r="N13" i="4"/>
  <c r="O13" i="4"/>
  <c r="P13" i="4"/>
  <c r="Q13" i="4"/>
  <c r="R13" i="4"/>
  <c r="S13" i="4"/>
  <c r="M11" i="4"/>
  <c r="AT11" i="4" s="1"/>
  <c r="N11" i="4"/>
  <c r="O11" i="4"/>
  <c r="P11" i="4"/>
  <c r="Q11" i="4"/>
  <c r="R11" i="4"/>
  <c r="S11" i="4"/>
  <c r="M8" i="4"/>
  <c r="N8" i="4"/>
  <c r="O8" i="4"/>
  <c r="P8" i="4"/>
  <c r="Q8" i="4"/>
  <c r="R8" i="4"/>
  <c r="S8" i="4"/>
  <c r="M6" i="4"/>
  <c r="F11" i="1"/>
  <c r="F12" i="1"/>
  <c r="F13" i="1"/>
  <c r="F16" i="1"/>
  <c r="F10" i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AT15" i="4" l="1"/>
  <c r="AT8" i="4"/>
  <c r="AS4" i="4"/>
  <c r="AA11" i="1"/>
  <c r="AC11" i="1" s="1"/>
  <c r="AC2" i="1" l="1"/>
  <c r="AC1" i="1" s="1"/>
  <c r="AD1" i="1" s="1"/>
  <c r="H9" i="2"/>
  <c r="E9" i="2"/>
  <c r="D11" i="2"/>
  <c r="H14" i="2"/>
  <c r="G14" i="2"/>
  <c r="E14" i="2"/>
  <c r="D14" i="2"/>
  <c r="H13" i="2"/>
  <c r="H12" i="2"/>
  <c r="E13" i="2"/>
  <c r="E15" i="2"/>
  <c r="E16" i="2"/>
  <c r="E12" i="2"/>
  <c r="L4" i="2"/>
  <c r="M4" i="2" s="1"/>
  <c r="K13" i="2"/>
  <c r="G5" i="2"/>
  <c r="H5" i="2"/>
  <c r="M11" i="1" l="1"/>
  <c r="M12" i="1"/>
  <c r="M13" i="1"/>
  <c r="M16" i="1"/>
  <c r="M14" i="1"/>
  <c r="M17" i="1"/>
  <c r="M20" i="1"/>
  <c r="M24" i="1"/>
  <c r="R24" i="1"/>
  <c r="F14" i="1"/>
  <c r="F18" i="1"/>
  <c r="F20" i="1"/>
  <c r="F24" i="1"/>
  <c r="P32" i="1"/>
  <c r="P33" i="1"/>
  <c r="W25" i="1"/>
  <c r="W27" i="1"/>
  <c r="P4" i="1" l="1"/>
  <c r="P3" i="1"/>
  <c r="P28" i="1"/>
  <c r="P10" i="1"/>
  <c r="P2" i="1"/>
  <c r="E27" i="1"/>
  <c r="D12" i="1"/>
  <c r="P12" i="1" s="1"/>
  <c r="D13" i="1"/>
  <c r="P13" i="1" s="1"/>
  <c r="D16" i="1"/>
  <c r="P16" i="1" s="1"/>
  <c r="D14" i="1"/>
  <c r="P14" i="1" s="1"/>
  <c r="D17" i="1"/>
  <c r="P17" i="1" s="1"/>
  <c r="D20" i="1"/>
  <c r="P20" i="1" s="1"/>
  <c r="D21" i="1"/>
  <c r="P21" i="1" s="1"/>
  <c r="D22" i="1"/>
  <c r="P22" i="1" s="1"/>
  <c r="D24" i="1"/>
  <c r="P24" i="1" s="1"/>
  <c r="D26" i="1"/>
  <c r="P26" i="1" s="1"/>
  <c r="D25" i="1"/>
  <c r="P25" i="1" s="1"/>
  <c r="D27" i="1"/>
  <c r="D28" i="1"/>
  <c r="D10" i="1"/>
  <c r="P27" i="1" l="1"/>
</calcChain>
</file>

<file path=xl/comments1.xml><?xml version="1.0" encoding="utf-8"?>
<comments xmlns="http://schemas.openxmlformats.org/spreadsheetml/2006/main">
  <authors>
    <author>rinum rinum</author>
  </authors>
  <commentList>
    <comment ref="M5" authorId="0" shapeId="0">
      <text>
        <r>
          <rPr>
            <b/>
            <sz val="9"/>
            <color indexed="81"/>
            <rFont val="Tahoma"/>
            <family val="2"/>
            <charset val="204"/>
          </rPr>
          <t>rinum rinum:</t>
        </r>
        <r>
          <rPr>
            <sz val="9"/>
            <color indexed="81"/>
            <rFont val="Tahoma"/>
            <family val="2"/>
            <charset val="204"/>
          </rPr>
          <t xml:space="preserve">
85*21=1800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  <charset val="204"/>
          </rPr>
          <t>rinum rinum:</t>
        </r>
        <r>
          <rPr>
            <sz val="9"/>
            <color indexed="81"/>
            <rFont val="Tahoma"/>
            <family val="2"/>
            <charset val="204"/>
          </rPr>
          <t xml:space="preserve">
гугл показыва 2,6
вики показывает 0,68
+ 0,986 на хранении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  <charset val="204"/>
          </rPr>
          <t>rinum rinum:</t>
        </r>
        <r>
          <rPr>
            <sz val="9"/>
            <color indexed="81"/>
            <rFont val="Tahoma"/>
            <family val="2"/>
            <charset val="204"/>
          </rPr>
          <t xml:space="preserve">
Гугл показыва 12,3
Вики показывал 8,2
МО РФ 1,736 остальное судя по всему на консервации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  <charset val="204"/>
          </rPr>
          <t>rinum rinum:</t>
        </r>
        <r>
          <rPr>
            <sz val="9"/>
            <color indexed="81"/>
            <rFont val="Tahoma"/>
            <family val="2"/>
            <charset val="204"/>
          </rPr>
          <t xml:space="preserve">
гугл 3,1
вики 2,971 но судя по всему опять же не менее 1/2
 на консерв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  <charset val="204"/>
          </rPr>
          <t>rinum rinum:</t>
        </r>
        <r>
          <rPr>
            <sz val="9"/>
            <color indexed="81"/>
            <rFont val="Tahoma"/>
            <family val="2"/>
            <charset val="204"/>
          </rPr>
          <t xml:space="preserve">
гугл 0,49
вики 0,625
однако живых 1/2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204"/>
          </rPr>
          <t>rinum rinum:</t>
        </r>
        <r>
          <rPr>
            <sz val="9"/>
            <color indexed="81"/>
            <rFont val="Tahoma"/>
            <family val="2"/>
            <charset val="204"/>
          </rPr>
          <t xml:space="preserve">
Патриот 483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  <charset val="204"/>
          </rPr>
          <t>rinum rinum:</t>
        </r>
        <r>
          <rPr>
            <sz val="9"/>
            <color indexed="81"/>
            <rFont val="Tahoma"/>
            <family val="2"/>
            <charset val="204"/>
          </rPr>
          <t xml:space="preserve">
С-300,С-400,… - 1650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  <charset val="204"/>
          </rPr>
          <t>rinum rinum:</t>
        </r>
        <r>
          <rPr>
            <sz val="9"/>
            <color indexed="81"/>
            <rFont val="Tahoma"/>
            <family val="2"/>
            <charset val="204"/>
          </rPr>
          <t xml:space="preserve">
в живых 0,6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  <charset val="204"/>
          </rPr>
          <t>rinum rinum:</t>
        </r>
        <r>
          <rPr>
            <sz val="9"/>
            <color indexed="81"/>
            <rFont val="Tahoma"/>
            <family val="2"/>
            <charset val="204"/>
          </rPr>
          <t xml:space="preserve">
гугл 0,3
МО РФ 0,152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  <charset val="204"/>
          </rPr>
          <t>rinum rinum:</t>
        </r>
        <r>
          <rPr>
            <sz val="9"/>
            <color indexed="81"/>
            <rFont val="Tahoma"/>
            <family val="2"/>
            <charset val="204"/>
          </rPr>
          <t xml:space="preserve">
было 0,133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  <charset val="204"/>
          </rPr>
          <t>rinum rinum:</t>
        </r>
        <r>
          <rPr>
            <sz val="9"/>
            <color indexed="81"/>
            <rFont val="Tahoma"/>
            <family val="2"/>
            <charset val="204"/>
          </rPr>
          <t xml:space="preserve">
было 0,182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  <charset val="204"/>
          </rPr>
          <t>rinum rinum:</t>
        </r>
        <r>
          <rPr>
            <sz val="9"/>
            <color indexed="81"/>
            <rFont val="Tahoma"/>
            <family val="2"/>
            <charset val="204"/>
          </rPr>
          <t xml:space="preserve">
гугл 0,112
МО РФ 0,149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  <charset val="204"/>
          </rPr>
          <t>rinum rinum:</t>
        </r>
        <r>
          <rPr>
            <sz val="9"/>
            <color indexed="81"/>
            <rFont val="Tahoma"/>
            <family val="2"/>
            <charset val="204"/>
          </rPr>
          <t xml:space="preserve">
БАЛ 40, Бастион 52 , РУБЕЖ 64</t>
        </r>
      </text>
    </comment>
  </commentList>
</comments>
</file>

<file path=xl/sharedStrings.xml><?xml version="1.0" encoding="utf-8"?>
<sst xmlns="http://schemas.openxmlformats.org/spreadsheetml/2006/main" count="171" uniqueCount="141">
  <si>
    <t>коплексов береговой охраны</t>
  </si>
  <si>
    <t>Фрегатах и крейсерах</t>
  </si>
  <si>
    <t>Ракетных катеров</t>
  </si>
  <si>
    <t>НАТО</t>
  </si>
  <si>
    <t>РФ</t>
  </si>
  <si>
    <t>ВВП стран , Трлн долл</t>
  </si>
  <si>
    <t>доход на человека , тыс долл</t>
  </si>
  <si>
    <t>Оборонный бюджет  , Трлн долл</t>
  </si>
  <si>
    <t xml:space="preserve">Стратегич бомберы  </t>
  </si>
  <si>
    <t xml:space="preserve">подводный флот  </t>
  </si>
  <si>
    <t>Танков, тыс</t>
  </si>
  <si>
    <t>Артиллерия, тыс</t>
  </si>
  <si>
    <t>Истребителей , тыс</t>
  </si>
  <si>
    <t>реактивных бомбардировщиков , тыс</t>
  </si>
  <si>
    <t>ТРЕНИРОВОЧНЫЕ самолеты, тыс</t>
  </si>
  <si>
    <t>ударные вертолеты, тыс</t>
  </si>
  <si>
    <t>коплексов ПВО, тыс</t>
  </si>
  <si>
    <t>/3</t>
  </si>
  <si>
    <t>соотношение</t>
  </si>
  <si>
    <t>БУ</t>
  </si>
  <si>
    <t>БТР</t>
  </si>
  <si>
    <t xml:space="preserve">систем РСЗО, тыс  </t>
  </si>
  <si>
    <t>БЛА</t>
  </si>
  <si>
    <t>Крылатые ракеты</t>
  </si>
  <si>
    <t>-</t>
  </si>
  <si>
    <t>Действ армия</t>
  </si>
  <si>
    <t>РФ в БУ</t>
  </si>
  <si>
    <t>по данным ЦРУ</t>
  </si>
  <si>
    <t>потери БУ, %</t>
  </si>
  <si>
    <t>Потери</t>
  </si>
  <si>
    <t>армия</t>
  </si>
  <si>
    <t>чвк</t>
  </si>
  <si>
    <t>силы вторжения</t>
  </si>
  <si>
    <t>Ирак</t>
  </si>
  <si>
    <t>потери</t>
  </si>
  <si>
    <t>танки</t>
  </si>
  <si>
    <t>реакт бомб</t>
  </si>
  <si>
    <t>вертолеты</t>
  </si>
  <si>
    <t>числ-ть</t>
  </si>
  <si>
    <t>повстанцы</t>
  </si>
  <si>
    <t>ремонт</t>
  </si>
  <si>
    <t>КСИР</t>
  </si>
  <si>
    <t>арт</t>
  </si>
  <si>
    <t>крыл ракеты</t>
  </si>
  <si>
    <t>всего вертолеты</t>
  </si>
  <si>
    <t>от снарядов</t>
  </si>
  <si>
    <t>в %</t>
  </si>
  <si>
    <t>от пуль</t>
  </si>
  <si>
    <t>из них снайпера</t>
  </si>
  <si>
    <t>мины и прочее</t>
  </si>
  <si>
    <t>из них самолеты</t>
  </si>
  <si>
    <t>сам</t>
  </si>
  <si>
    <t>верт</t>
  </si>
  <si>
    <t>ПВО</t>
  </si>
  <si>
    <t>РЗСО</t>
  </si>
  <si>
    <t>Артил</t>
  </si>
  <si>
    <t>23+</t>
  </si>
  <si>
    <t>по данным БУ 18д</t>
  </si>
  <si>
    <t>по данным БУ 22д</t>
  </si>
  <si>
    <t>потери БУ 18д</t>
  </si>
  <si>
    <t>потери БУ 22д</t>
  </si>
  <si>
    <t>люди</t>
  </si>
  <si>
    <t>самолеты</t>
  </si>
  <si>
    <t xml:space="preserve">танки </t>
  </si>
  <si>
    <t>бмп + бтр</t>
  </si>
  <si>
    <t>Ядерных боеголовок тактич</t>
  </si>
  <si>
    <t>Ядерных боеголовок незаряж</t>
  </si>
  <si>
    <t>Ядерных боеголовок межконт</t>
  </si>
  <si>
    <t>Китай</t>
  </si>
  <si>
    <t>Израиль</t>
  </si>
  <si>
    <t>Пакистан</t>
  </si>
  <si>
    <t>Индия</t>
  </si>
  <si>
    <t>С Корея</t>
  </si>
  <si>
    <t xml:space="preserve">всего боевая авиация, тыс  </t>
  </si>
  <si>
    <t>С-300 и БУК</t>
  </si>
  <si>
    <t>Байрактары</t>
  </si>
  <si>
    <t>по данным МО</t>
  </si>
  <si>
    <t>по данным БУ 30д</t>
  </si>
  <si>
    <t>30+</t>
  </si>
  <si>
    <t>потери БУ 30д МО</t>
  </si>
  <si>
    <t>потери БУ 31д Рыбарь</t>
  </si>
  <si>
    <t>∑ (Фев 2021-Янв 2022)</t>
  </si>
  <si>
    <t>Доля</t>
  </si>
  <si>
    <t>Машины, оборудование и аппаратура</t>
  </si>
  <si>
    <t>Продукция химической промышленности</t>
  </si>
  <si>
    <t>Транспорт</t>
  </si>
  <si>
    <t>Металлы и изделия из них</t>
  </si>
  <si>
    <t>Пластмассы, каучук и резина</t>
  </si>
  <si>
    <t>Текстиль</t>
  </si>
  <si>
    <t>Продукты растительного происхождения</t>
  </si>
  <si>
    <t>Пищевые продукты, напитки, табак</t>
  </si>
  <si>
    <t>Скрытый раздел</t>
  </si>
  <si>
    <t>Инструменты и аппараты, часы</t>
  </si>
  <si>
    <t>Германия</t>
  </si>
  <si>
    <t>США</t>
  </si>
  <si>
    <t>Беларусь</t>
  </si>
  <si>
    <t>Южная Корея</t>
  </si>
  <si>
    <t>Франция</t>
  </si>
  <si>
    <t>Италия</t>
  </si>
  <si>
    <t>Япония</t>
  </si>
  <si>
    <t>Казахстан</t>
  </si>
  <si>
    <t>2.4%</t>
  </si>
  <si>
    <t>Турция</t>
  </si>
  <si>
    <t>Польша</t>
  </si>
  <si>
    <t>Вьетнам</t>
  </si>
  <si>
    <t>Англия</t>
  </si>
  <si>
    <t>Нидерланды</t>
  </si>
  <si>
    <t>75,4 </t>
  </si>
  <si>
    <t>27,6 </t>
  </si>
  <si>
    <t>17,7 </t>
  </si>
  <si>
    <t>15,5 </t>
  </si>
  <si>
    <t>13,1 </t>
  </si>
  <si>
    <t>12,4 </t>
  </si>
  <si>
    <t>12,2 </t>
  </si>
  <si>
    <t>9,33 </t>
  </si>
  <si>
    <t>7,22 </t>
  </si>
  <si>
    <t>6,74 </t>
  </si>
  <si>
    <t>5,87 </t>
  </si>
  <si>
    <t>4,91 </t>
  </si>
  <si>
    <t>4,54 </t>
  </si>
  <si>
    <t>4,53 </t>
  </si>
  <si>
    <t>4,33 </t>
  </si>
  <si>
    <t>Газ</t>
  </si>
  <si>
    <t>Минеральные продукты</t>
  </si>
  <si>
    <t>43.7%</t>
  </si>
  <si>
    <t>11.7%</t>
  </si>
  <si>
    <t>7.8%</t>
  </si>
  <si>
    <t>Прочие товары</t>
  </si>
  <si>
    <t>7.6%</t>
  </si>
  <si>
    <t>Драгоценности</t>
  </si>
  <si>
    <t>6.1%</t>
  </si>
  <si>
    <t>5.4%</t>
  </si>
  <si>
    <t>3.4%</t>
  </si>
  <si>
    <t>Древесина и изделия из нее</t>
  </si>
  <si>
    <t>2.3%</t>
  </si>
  <si>
    <t>1.9%</t>
  </si>
  <si>
    <t>потери БУ 37д МО</t>
  </si>
  <si>
    <t>1/10</t>
  </si>
  <si>
    <t>по расчетным данным МО 37д</t>
  </si>
  <si>
    <t>по данным БУ 37д</t>
  </si>
  <si>
    <t>300-330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</si>
</sst>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%"/>
  </numFmts>
  <fonts count="9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4D5156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DEDE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164" fontId="0" fillId="0" borderId="0" xfId="0" applyNumberFormat="1"/>
    <xf numFmtId="9" fontId="0" fillId="0" borderId="1" xfId="1" applyFont="1" applyBorder="1"/>
    <xf numFmtId="2" fontId="0" fillId="0" borderId="1" xfId="0" applyNumberFormat="1" applyBorder="1" applyAlignment="1">
      <alignment horizontal="center"/>
    </xf>
    <xf numFmtId="165" fontId="0" fillId="0" borderId="1" xfId="0" applyNumberFormat="1" applyBorder="1"/>
    <xf numFmtId="1" fontId="0" fillId="0" borderId="1" xfId="0" applyNumberFormat="1" applyBorder="1"/>
    <xf numFmtId="9" fontId="0" fillId="0" borderId="0" xfId="1" applyFont="1"/>
    <xf numFmtId="1" fontId="0" fillId="0" borderId="0" xfId="0" applyNumberFormat="1"/>
    <xf numFmtId="16" fontId="0" fillId="0" borderId="0" xfId="0" quotePrefix="1" applyNumberFormat="1"/>
    <xf numFmtId="14" fontId="0" fillId="0" borderId="0" xfId="0" applyNumberFormat="1"/>
    <xf numFmtId="166" fontId="0" fillId="0" borderId="1" xfId="1" applyNumberFormat="1" applyFont="1" applyBorder="1"/>
    <xf numFmtId="0" fontId="4" fillId="0" borderId="0" xfId="0" applyFont="1"/>
    <xf numFmtId="16" fontId="0" fillId="0" borderId="0" xfId="0" applyNumberFormat="1"/>
    <xf numFmtId="9" fontId="4" fillId="0" borderId="1" xfId="1" applyFont="1" applyBorder="1"/>
    <xf numFmtId="0" fontId="5" fillId="3" borderId="2" xfId="0" applyFont="1" applyFill="1" applyBorder="1" applyAlignment="1">
      <alignment horizontal="left" wrapText="1"/>
    </xf>
    <xf numFmtId="0" fontId="7" fillId="2" borderId="3" xfId="2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9" fontId="6" fillId="2" borderId="3" xfId="0" applyNumberFormat="1" applyFont="1" applyFill="1" applyBorder="1" applyAlignment="1">
      <alignment vertical="top" wrapText="1"/>
    </xf>
    <xf numFmtId="10" fontId="6" fillId="2" borderId="3" xfId="0" applyNumberFormat="1" applyFont="1" applyFill="1" applyBorder="1" applyAlignment="1">
      <alignment vertical="top" wrapText="1"/>
    </xf>
    <xf numFmtId="10" fontId="0" fillId="0" borderId="0" xfId="0" applyNumberFormat="1"/>
    <xf numFmtId="0" fontId="8" fillId="0" borderId="0" xfId="0" applyFont="1"/>
    <xf numFmtId="0" fontId="5" fillId="4" borderId="2" xfId="0" applyFont="1" applyFill="1" applyBorder="1" applyAlignment="1">
      <alignment horizontal="left" wrapText="1"/>
    </xf>
    <xf numFmtId="0" fontId="0" fillId="5" borderId="0" xfId="0" applyFill="1"/>
    <xf numFmtId="1" fontId="0" fillId="5" borderId="0" xfId="0" applyNumberFormat="1" applyFill="1"/>
    <xf numFmtId="0" fontId="4" fillId="5" borderId="0" xfId="0" applyFont="1" applyFill="1"/>
    <xf numFmtId="9" fontId="0" fillId="5" borderId="0" xfId="1" applyFont="1" applyFill="1"/>
    <xf numFmtId="165" fontId="0" fillId="0" borderId="1" xfId="0" applyNumberFormat="1" applyBorder="1" applyAlignment="1">
      <alignment horizontal="center"/>
    </xf>
    <xf numFmtId="9" fontId="0" fillId="0" borderId="1" xfId="1" applyNumberFormat="1" applyFont="1" applyBorder="1"/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сухоп-е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дин!$M$18:$AQ$18</c:f>
              <c:numCache>
                <c:formatCode>General</c:formatCode>
                <c:ptCount val="31"/>
                <c:pt idx="0">
                  <c:v>81</c:v>
                </c:pt>
                <c:pt idx="1">
                  <c:v>59</c:v>
                </c:pt>
                <c:pt idx="2">
                  <c:v>163</c:v>
                </c:pt>
                <c:pt idx="3">
                  <c:v>53</c:v>
                </c:pt>
                <c:pt idx="4">
                  <c:v>103</c:v>
                </c:pt>
                <c:pt idx="5">
                  <c:v>120</c:v>
                </c:pt>
                <c:pt idx="6">
                  <c:v>45</c:v>
                </c:pt>
                <c:pt idx="7">
                  <c:v>90</c:v>
                </c:pt>
                <c:pt idx="8">
                  <c:v>56</c:v>
                </c:pt>
                <c:pt idx="9">
                  <c:v>71</c:v>
                </c:pt>
                <c:pt idx="10">
                  <c:v>51</c:v>
                </c:pt>
                <c:pt idx="11">
                  <c:v>53</c:v>
                </c:pt>
                <c:pt idx="12">
                  <c:v>75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16</c:v>
                </c:pt>
                <c:pt idx="17">
                  <c:v>21</c:v>
                </c:pt>
                <c:pt idx="18">
                  <c:v>77</c:v>
                </c:pt>
                <c:pt idx="19">
                  <c:v>46</c:v>
                </c:pt>
                <c:pt idx="20">
                  <c:v>105</c:v>
                </c:pt>
                <c:pt idx="21">
                  <c:v>56</c:v>
                </c:pt>
                <c:pt idx="22">
                  <c:v>102</c:v>
                </c:pt>
                <c:pt idx="23">
                  <c:v>42</c:v>
                </c:pt>
                <c:pt idx="24">
                  <c:v>57</c:v>
                </c:pt>
                <c:pt idx="25">
                  <c:v>44</c:v>
                </c:pt>
                <c:pt idx="26">
                  <c:v>65</c:v>
                </c:pt>
                <c:pt idx="27">
                  <c:v>55</c:v>
                </c:pt>
                <c:pt idx="28">
                  <c:v>15</c:v>
                </c:pt>
                <c:pt idx="29">
                  <c:v>21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4-4415-A48E-085666AC3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260288"/>
        <c:axId val="699262784"/>
      </c:lineChart>
      <c:catAx>
        <c:axId val="69926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262784"/>
        <c:crosses val="autoZero"/>
        <c:auto val="1"/>
        <c:lblAlgn val="ctr"/>
        <c:lblOffset val="100"/>
        <c:noMultiLvlLbl val="0"/>
      </c:catAx>
      <c:valAx>
        <c:axId val="6992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2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19</xdr:row>
      <xdr:rowOff>9525</xdr:rowOff>
    </xdr:from>
    <xdr:to>
      <xdr:col>29</xdr:col>
      <xdr:colOff>476250</xdr:colOff>
      <xdr:row>36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ru-stat.com/date-M202102-202201/RU/import/US" TargetMode="External"/><Relationship Id="rId18" Type="http://schemas.openxmlformats.org/officeDocument/2006/relationships/hyperlink" Target="https://ru-stat.com/date-M202102-202201/RU/import/JP" TargetMode="External"/><Relationship Id="rId26" Type="http://schemas.openxmlformats.org/officeDocument/2006/relationships/hyperlink" Target="https://ru-stat.com/date-M202102-202201/RU/export/world/05" TargetMode="External"/><Relationship Id="rId3" Type="http://schemas.openxmlformats.org/officeDocument/2006/relationships/hyperlink" Target="https://ru-stat.com/date-M202102-202201/RU/import/world/17" TargetMode="External"/><Relationship Id="rId21" Type="http://schemas.openxmlformats.org/officeDocument/2006/relationships/hyperlink" Target="https://ru-stat.com/date-M202102-202201/RU/import/PL" TargetMode="External"/><Relationship Id="rId34" Type="http://schemas.openxmlformats.org/officeDocument/2006/relationships/hyperlink" Target="https://ru-stat.com/date-M202102-202201/RU/export/world/02" TargetMode="External"/><Relationship Id="rId7" Type="http://schemas.openxmlformats.org/officeDocument/2006/relationships/hyperlink" Target="https://ru-stat.com/date-M202102-202201/RU/import/world/02" TargetMode="External"/><Relationship Id="rId12" Type="http://schemas.openxmlformats.org/officeDocument/2006/relationships/hyperlink" Target="https://ru-stat.com/date-M202102-202201/RU/import/DE" TargetMode="External"/><Relationship Id="rId17" Type="http://schemas.openxmlformats.org/officeDocument/2006/relationships/hyperlink" Target="https://ru-stat.com/date-M202102-202201/RU/import/IT" TargetMode="External"/><Relationship Id="rId25" Type="http://schemas.openxmlformats.org/officeDocument/2006/relationships/hyperlink" Target="https://ru-stat.com/date-M202102-202201/RU/import/NL" TargetMode="External"/><Relationship Id="rId33" Type="http://schemas.openxmlformats.org/officeDocument/2006/relationships/hyperlink" Target="https://ru-stat.com/date-M202102-202201/RU/export/world/09" TargetMode="External"/><Relationship Id="rId2" Type="http://schemas.openxmlformats.org/officeDocument/2006/relationships/hyperlink" Target="https://ru-stat.com/date-M202102-202201/RU/import/world/06" TargetMode="External"/><Relationship Id="rId16" Type="http://schemas.openxmlformats.org/officeDocument/2006/relationships/hyperlink" Target="https://ru-stat.com/date-M202102-202201/RU/import/FR" TargetMode="External"/><Relationship Id="rId20" Type="http://schemas.openxmlformats.org/officeDocument/2006/relationships/hyperlink" Target="https://ru-stat.com/date-M202102-202201/RU/import/TR" TargetMode="External"/><Relationship Id="rId29" Type="http://schemas.openxmlformats.org/officeDocument/2006/relationships/hyperlink" Target="https://ru-stat.com/date-M202102-202201/RU/export/world/23" TargetMode="External"/><Relationship Id="rId1" Type="http://schemas.openxmlformats.org/officeDocument/2006/relationships/hyperlink" Target="https://ru-stat.com/date-M202102-202201/RU/import/world/16" TargetMode="External"/><Relationship Id="rId6" Type="http://schemas.openxmlformats.org/officeDocument/2006/relationships/hyperlink" Target="https://ru-stat.com/date-M202102-202201/RU/import/world/11" TargetMode="External"/><Relationship Id="rId11" Type="http://schemas.openxmlformats.org/officeDocument/2006/relationships/hyperlink" Target="https://ru-stat.com/date-M202102-202201/RU/import/CN" TargetMode="External"/><Relationship Id="rId24" Type="http://schemas.openxmlformats.org/officeDocument/2006/relationships/hyperlink" Target="https://ru-stat.com/date-M202102-202201/RU/import/IN" TargetMode="External"/><Relationship Id="rId32" Type="http://schemas.openxmlformats.org/officeDocument/2006/relationships/hyperlink" Target="https://ru-stat.com/date-M202102-202201/RU/export/world/16" TargetMode="External"/><Relationship Id="rId5" Type="http://schemas.openxmlformats.org/officeDocument/2006/relationships/hyperlink" Target="https://ru-stat.com/date-M202102-202201/RU/import/world/07" TargetMode="External"/><Relationship Id="rId15" Type="http://schemas.openxmlformats.org/officeDocument/2006/relationships/hyperlink" Target="https://ru-stat.com/date-M202102-202201/RU/import/KR" TargetMode="External"/><Relationship Id="rId23" Type="http://schemas.openxmlformats.org/officeDocument/2006/relationships/hyperlink" Target="https://ru-stat.com/date-M202102-202201/RU/import/GB" TargetMode="External"/><Relationship Id="rId28" Type="http://schemas.openxmlformats.org/officeDocument/2006/relationships/hyperlink" Target="https://ru-stat.com/date-M202102-202201/RU/export/world/22" TargetMode="External"/><Relationship Id="rId10" Type="http://schemas.openxmlformats.org/officeDocument/2006/relationships/hyperlink" Target="https://ru-stat.com/date-M202102-202201/RU/import/world/18" TargetMode="External"/><Relationship Id="rId19" Type="http://schemas.openxmlformats.org/officeDocument/2006/relationships/hyperlink" Target="https://ru-stat.com/date-M202102-202201/RU/import/KZ" TargetMode="External"/><Relationship Id="rId31" Type="http://schemas.openxmlformats.org/officeDocument/2006/relationships/hyperlink" Target="https://ru-stat.com/date-M202102-202201/RU/export/world/06" TargetMode="External"/><Relationship Id="rId4" Type="http://schemas.openxmlformats.org/officeDocument/2006/relationships/hyperlink" Target="https://ru-stat.com/date-M202102-202201/RU/import/world/15" TargetMode="External"/><Relationship Id="rId9" Type="http://schemas.openxmlformats.org/officeDocument/2006/relationships/hyperlink" Target="https://ru-stat.com/date-M202102-202201/RU/import/world/22" TargetMode="External"/><Relationship Id="rId14" Type="http://schemas.openxmlformats.org/officeDocument/2006/relationships/hyperlink" Target="https://ru-stat.com/date-M202102-202201/RU/import/BY" TargetMode="External"/><Relationship Id="rId22" Type="http://schemas.openxmlformats.org/officeDocument/2006/relationships/hyperlink" Target="https://ru-stat.com/date-M202102-202201/RU/import/VN" TargetMode="External"/><Relationship Id="rId27" Type="http://schemas.openxmlformats.org/officeDocument/2006/relationships/hyperlink" Target="https://ru-stat.com/date-M202102-202201/RU/export/world/15" TargetMode="External"/><Relationship Id="rId30" Type="http://schemas.openxmlformats.org/officeDocument/2006/relationships/hyperlink" Target="https://ru-stat.com/date-M202102-202201/RU/export/world/14" TargetMode="External"/><Relationship Id="rId35" Type="http://schemas.openxmlformats.org/officeDocument/2006/relationships/hyperlink" Target="https://ru-stat.com/date-M202102-202201/RU/export/world/07" TargetMode="External"/><Relationship Id="rId8" Type="http://schemas.openxmlformats.org/officeDocument/2006/relationships/hyperlink" Target="https://ru-stat.com/date-M202102-202201/RU/import/world/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33"/>
  <sheetViews>
    <sheetView tabSelected="1" topLeftCell="B1" zoomScale="130" zoomScaleNormal="130" workbookViewId="0">
      <pane xSplit="1" ySplit="1" topLeftCell="M2" activePane="bottomRight" state="frozen"/>
      <selection activeCell="B1" sqref="B1"/>
      <selection pane="topRight" activeCell="C1" sqref="C1"/>
      <selection pane="bottomLeft" activeCell="B2" sqref="B2"/>
      <selection pane="bottomRight" activeCell="X11" sqref="X11"/>
    </sheetView>
  </sheetViews>
  <sheetFormatPr defaultRowHeight="15" x14ac:dyDescent="0.25"/>
  <cols>
    <col min="2" max="2" width="46.28515625" bestFit="1" customWidth="1"/>
    <col min="3" max="3" width="9.85546875" customWidth="1"/>
    <col min="4" max="4" width="8.42578125" customWidth="1"/>
    <col min="16" max="16" width="8.85546875" customWidth="1"/>
    <col min="17" max="17" width="9.42578125" customWidth="1"/>
    <col min="21" max="21" width="0" hidden="1" customWidth="1"/>
    <col min="27" max="27" width="9.140625" customWidth="1"/>
    <col min="28" max="28" width="11.140625" customWidth="1"/>
    <col min="29" max="29" width="10.85546875" bestFit="1" customWidth="1"/>
    <col min="30" max="30" width="11" customWidth="1"/>
  </cols>
  <sheetData>
    <row r="1" spans="2:30" x14ac:dyDescent="0.25">
      <c r="B1" s="1"/>
      <c r="C1" s="2" t="s">
        <v>3</v>
      </c>
      <c r="D1" s="3" t="s">
        <v>17</v>
      </c>
      <c r="E1" s="2" t="s">
        <v>4</v>
      </c>
      <c r="F1" s="2" t="s">
        <v>26</v>
      </c>
      <c r="G1" s="2" t="s">
        <v>57</v>
      </c>
      <c r="H1" s="2" t="s">
        <v>58</v>
      </c>
      <c r="I1" s="2" t="s">
        <v>77</v>
      </c>
      <c r="J1" s="2" t="s">
        <v>139</v>
      </c>
      <c r="K1" s="2"/>
      <c r="L1" s="2" t="s">
        <v>27</v>
      </c>
      <c r="M1" s="2" t="s">
        <v>76</v>
      </c>
      <c r="N1" s="2" t="s">
        <v>138</v>
      </c>
      <c r="O1" s="2"/>
      <c r="P1" s="1" t="s">
        <v>18</v>
      </c>
      <c r="Q1" s="1" t="s">
        <v>19</v>
      </c>
      <c r="R1" s="1" t="s">
        <v>59</v>
      </c>
      <c r="S1" s="1" t="s">
        <v>60</v>
      </c>
      <c r="T1" s="1" t="s">
        <v>79</v>
      </c>
      <c r="U1" s="1" t="s">
        <v>80</v>
      </c>
      <c r="V1" s="1" t="s">
        <v>136</v>
      </c>
      <c r="W1" s="1" t="s">
        <v>28</v>
      </c>
      <c r="X1" s="1"/>
      <c r="Z1" s="16" t="s">
        <v>137</v>
      </c>
      <c r="AA1" s="16"/>
      <c r="AB1" s="17">
        <f ca="1">TODAY()</f>
        <v>44658</v>
      </c>
      <c r="AC1" s="17">
        <f ca="1">AB1+AC2</f>
        <v>44690.858965428706</v>
      </c>
      <c r="AD1" s="17">
        <f ca="1">AC1+20</f>
        <v>44710.858965428706</v>
      </c>
    </row>
    <row r="2" spans="2:30" x14ac:dyDescent="0.25">
      <c r="B2" s="1" t="s">
        <v>5</v>
      </c>
      <c r="C2" s="4">
        <v>49</v>
      </c>
      <c r="D2" s="4"/>
      <c r="E2" s="4">
        <v>1.7</v>
      </c>
      <c r="F2" s="4"/>
      <c r="G2" s="4"/>
      <c r="H2" s="4"/>
      <c r="I2" s="4"/>
      <c r="J2" s="4"/>
      <c r="K2" s="4"/>
      <c r="L2" s="4"/>
      <c r="M2" s="4"/>
      <c r="N2" s="4"/>
      <c r="O2" s="4"/>
      <c r="P2" s="6">
        <f>C2/E2</f>
        <v>28.823529411764707</v>
      </c>
      <c r="Q2" s="1"/>
      <c r="R2" s="1"/>
      <c r="S2" s="1"/>
      <c r="T2" s="1"/>
      <c r="U2" s="1"/>
      <c r="V2" s="1"/>
      <c r="W2" s="1"/>
      <c r="X2" s="1"/>
      <c r="AC2" s="9">
        <f>AVERAGE(AC10:AC13)</f>
        <v>32.858965428709674</v>
      </c>
    </row>
    <row r="3" spans="2:30" x14ac:dyDescent="0.25">
      <c r="B3" s="1" t="s">
        <v>6</v>
      </c>
      <c r="C3" s="4">
        <v>52</v>
      </c>
      <c r="D3" s="4"/>
      <c r="E3" s="4">
        <v>11.6</v>
      </c>
      <c r="F3" s="4"/>
      <c r="G3" s="4"/>
      <c r="H3" s="4"/>
      <c r="I3" s="4"/>
      <c r="J3" s="4"/>
      <c r="K3" s="4"/>
      <c r="L3" s="4"/>
      <c r="M3" s="4"/>
      <c r="N3" s="4"/>
      <c r="O3" s="4"/>
      <c r="P3" s="6">
        <f>C3/E3</f>
        <v>4.4827586206896557</v>
      </c>
      <c r="Q3" s="1"/>
      <c r="R3" s="1"/>
      <c r="S3" s="1"/>
      <c r="T3" s="1"/>
      <c r="U3" s="1"/>
      <c r="V3" s="1"/>
      <c r="W3" s="1"/>
      <c r="X3" s="1"/>
    </row>
    <row r="4" spans="2:30" x14ac:dyDescent="0.25">
      <c r="B4" s="1" t="s">
        <v>7</v>
      </c>
      <c r="C4" s="4">
        <v>1</v>
      </c>
      <c r="D4" s="4"/>
      <c r="E4" s="4">
        <v>0.154</v>
      </c>
      <c r="F4" s="4"/>
      <c r="G4" s="4"/>
      <c r="H4" s="4"/>
      <c r="I4" s="4"/>
      <c r="J4" s="4"/>
      <c r="K4" s="4"/>
      <c r="L4" s="4"/>
      <c r="M4" s="4"/>
      <c r="N4" s="4"/>
      <c r="O4" s="4"/>
      <c r="P4" s="6">
        <f>C4/E4</f>
        <v>6.4935064935064934</v>
      </c>
      <c r="Q4" s="1"/>
      <c r="R4" s="1"/>
      <c r="S4" s="1"/>
      <c r="T4" s="1"/>
      <c r="U4" s="1"/>
      <c r="V4" s="1"/>
      <c r="W4" s="1"/>
      <c r="X4" s="1"/>
    </row>
    <row r="5" spans="2:30" x14ac:dyDescent="0.25">
      <c r="B5" s="1" t="s">
        <v>25</v>
      </c>
      <c r="C5" s="4"/>
      <c r="D5" s="4"/>
      <c r="E5" s="4">
        <v>850</v>
      </c>
      <c r="F5" s="4">
        <v>200</v>
      </c>
      <c r="G5" s="4">
        <v>11</v>
      </c>
      <c r="H5" s="4">
        <v>14.4</v>
      </c>
      <c r="I5" s="4">
        <v>16.100000000000001</v>
      </c>
      <c r="J5" s="4">
        <v>18.5</v>
      </c>
      <c r="K5" s="10">
        <f>J5/F5</f>
        <v>9.2499999999999999E-2</v>
      </c>
      <c r="L5" s="4">
        <v>3.5</v>
      </c>
      <c r="M5" s="4">
        <f>1.351+0.045</f>
        <v>1.3959999999999999</v>
      </c>
      <c r="N5" s="4">
        <f>85*26/1000*0.9</f>
        <v>1.9890000000000001</v>
      </c>
      <c r="O5" s="35">
        <f>N5/F5</f>
        <v>9.9450000000000007E-3</v>
      </c>
      <c r="P5" s="6"/>
      <c r="Q5" s="1">
        <v>250</v>
      </c>
      <c r="R5" s="1">
        <v>9</v>
      </c>
      <c r="S5" s="13">
        <v>12</v>
      </c>
      <c r="T5" s="13">
        <v>14</v>
      </c>
      <c r="U5" s="13">
        <f>13.6+2.1+0.4</f>
        <v>16.099999999999998</v>
      </c>
      <c r="V5" s="13">
        <f>T5/30*37*0.9</f>
        <v>15.54</v>
      </c>
      <c r="W5" s="10">
        <f>V5/Q5</f>
        <v>6.216E-2</v>
      </c>
      <c r="X5" s="13">
        <f>V5/N5</f>
        <v>7.812971342383106</v>
      </c>
      <c r="Y5" s="15">
        <f>Q5-T5</f>
        <v>236</v>
      </c>
      <c r="Z5">
        <f>Q5*2/3</f>
        <v>166.66666666666666</v>
      </c>
      <c r="AA5" s="15">
        <f>Y5-Z5</f>
        <v>69.333333333333343</v>
      </c>
      <c r="AB5">
        <f>T5/30*3</f>
        <v>1.4</v>
      </c>
      <c r="AC5" s="9">
        <f>AA5/AB5</f>
        <v>49.523809523809533</v>
      </c>
    </row>
    <row r="6" spans="2:30" x14ac:dyDescent="0.25">
      <c r="B6" s="1" t="s">
        <v>67</v>
      </c>
      <c r="C6" s="4">
        <f>2200+300+185</f>
        <v>2685</v>
      </c>
      <c r="D6" s="4"/>
      <c r="E6" s="4">
        <v>2790</v>
      </c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 t="s">
        <v>24</v>
      </c>
      <c r="R6" s="1" t="s">
        <v>24</v>
      </c>
      <c r="S6" s="1"/>
      <c r="T6" s="1"/>
      <c r="U6" s="1"/>
      <c r="V6" s="1"/>
      <c r="W6" s="1"/>
      <c r="X6" s="1"/>
      <c r="Y6" s="15"/>
    </row>
    <row r="7" spans="2:30" x14ac:dyDescent="0.25">
      <c r="B7" s="1" t="s">
        <v>65</v>
      </c>
      <c r="C7" s="4">
        <v>500</v>
      </c>
      <c r="D7" s="4"/>
      <c r="E7" s="4">
        <v>2050</v>
      </c>
      <c r="F7" s="4"/>
      <c r="G7" s="4"/>
      <c r="H7" s="4"/>
      <c r="I7" s="4"/>
      <c r="J7" s="4"/>
      <c r="K7" s="4"/>
      <c r="L7" s="4"/>
      <c r="M7" s="4"/>
      <c r="N7" s="4"/>
      <c r="O7" s="4"/>
      <c r="P7" s="1"/>
      <c r="Q7" s="1"/>
      <c r="R7" s="1"/>
      <c r="S7" s="1"/>
      <c r="T7" s="1"/>
      <c r="U7" s="1"/>
      <c r="V7" s="1"/>
      <c r="W7" s="1"/>
      <c r="X7" s="1"/>
      <c r="Y7" s="15"/>
    </row>
    <row r="8" spans="2:30" x14ac:dyDescent="0.25">
      <c r="B8" s="1" t="s">
        <v>66</v>
      </c>
      <c r="C8" s="4">
        <v>6700</v>
      </c>
      <c r="D8" s="4"/>
      <c r="E8" s="4">
        <v>8160</v>
      </c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  <c r="T8" s="1"/>
      <c r="U8" s="1"/>
      <c r="V8" s="1"/>
      <c r="W8" s="1"/>
      <c r="X8" s="1"/>
      <c r="Y8" s="15"/>
    </row>
    <row r="9" spans="2:30" x14ac:dyDescent="0.25">
      <c r="B9" s="1" t="s">
        <v>23</v>
      </c>
      <c r="C9" s="4"/>
      <c r="D9" s="4"/>
      <c r="E9" s="4"/>
      <c r="F9" s="4"/>
      <c r="G9" s="4">
        <f>55*18</f>
        <v>990</v>
      </c>
      <c r="H9" s="4">
        <v>1080</v>
      </c>
      <c r="I9" s="4">
        <f>45*30</f>
        <v>1350</v>
      </c>
      <c r="J9" s="4">
        <f>40*37</f>
        <v>1480</v>
      </c>
      <c r="K9" s="4"/>
      <c r="L9" s="4"/>
      <c r="M9" s="4"/>
      <c r="N9" s="4"/>
      <c r="O9" s="4"/>
      <c r="P9" s="1"/>
      <c r="Q9" s="1"/>
      <c r="R9" s="1"/>
      <c r="S9" s="1"/>
      <c r="T9" s="1"/>
      <c r="U9" s="1"/>
      <c r="V9" s="1"/>
      <c r="W9" s="1"/>
      <c r="X9" s="1"/>
      <c r="Y9" s="15"/>
    </row>
    <row r="10" spans="2:30" x14ac:dyDescent="0.25">
      <c r="B10" s="1" t="s">
        <v>10</v>
      </c>
      <c r="C10" s="4">
        <v>14.6</v>
      </c>
      <c r="D10" s="5">
        <f>C10/3</f>
        <v>4.8666666666666663</v>
      </c>
      <c r="E10" s="4">
        <v>12.4</v>
      </c>
      <c r="F10" s="5">
        <f>E10*$F$5/$E$5*1.4</f>
        <v>4.0847058823529405</v>
      </c>
      <c r="G10" s="5">
        <v>0.28499999999999998</v>
      </c>
      <c r="H10" s="5">
        <v>0.46600000000000003</v>
      </c>
      <c r="I10" s="5">
        <v>0.56100000000000005</v>
      </c>
      <c r="J10" s="5">
        <v>0.68600000000000005</v>
      </c>
      <c r="K10" s="10">
        <f t="shared" ref="K10:K17" si="0">J10/F10</f>
        <v>0.16794354838709682</v>
      </c>
      <c r="L10" s="5">
        <f>G10*$L$5/$G$5</f>
        <v>9.0681818181818183E-2</v>
      </c>
      <c r="M10" s="5">
        <f>G10*$M$5/$G$5</f>
        <v>3.6169090909090901E-2</v>
      </c>
      <c r="N10" s="34">
        <f>J10*$N$5/$J$5</f>
        <v>7.3754270270270289E-2</v>
      </c>
      <c r="O10" s="10">
        <f>N10/F10</f>
        <v>1.8056200959023546E-2</v>
      </c>
      <c r="P10" s="6">
        <f>D10/E10</f>
        <v>0.39247311827956982</v>
      </c>
      <c r="Q10" s="1">
        <v>0.68</v>
      </c>
      <c r="R10" s="1">
        <v>0.38900000000000001</v>
      </c>
      <c r="S10" s="1">
        <f>0.46</f>
        <v>0.46</v>
      </c>
      <c r="T10" s="1">
        <f>0.46</f>
        <v>0.46</v>
      </c>
      <c r="U10" s="1">
        <v>0.53100000000000003</v>
      </c>
      <c r="V10" s="1">
        <v>0.54900000000000004</v>
      </c>
      <c r="W10" s="10">
        <f t="shared" ref="W10:W20" si="1">V10/Q10</f>
        <v>0.80735294117647061</v>
      </c>
      <c r="X10" s="13">
        <f>V10/N10</f>
        <v>7.4436367953774907</v>
      </c>
      <c r="Y10" s="9">
        <f>Q10-V10</f>
        <v>0.13100000000000001</v>
      </c>
      <c r="Z10">
        <f>Q10*1/10</f>
        <v>6.8000000000000005E-2</v>
      </c>
      <c r="AA10" s="9">
        <f>Y10-Z10</f>
        <v>6.3E-2</v>
      </c>
      <c r="AB10">
        <f>дин!AS11/1000*Q10/Q11</f>
        <v>4.8310291858678963E-3</v>
      </c>
      <c r="AC10" s="9">
        <f>AA10/AB10</f>
        <v>13.040699523052462</v>
      </c>
    </row>
    <row r="11" spans="2:30" x14ac:dyDescent="0.25">
      <c r="B11" s="1" t="s">
        <v>20</v>
      </c>
      <c r="C11" s="4"/>
      <c r="D11" s="5"/>
      <c r="E11" s="4">
        <v>30.1</v>
      </c>
      <c r="F11" s="5">
        <f t="shared" ref="F11:F16" si="2">E11*$F$5/$E$5*1.4</f>
        <v>9.9152941176470577</v>
      </c>
      <c r="G11" s="5">
        <v>0.98499999999999999</v>
      </c>
      <c r="H11" s="5">
        <v>1.47</v>
      </c>
      <c r="I11" s="5">
        <v>1.625</v>
      </c>
      <c r="J11" s="5">
        <v>1.8580000000000001</v>
      </c>
      <c r="K11" s="10">
        <f t="shared" si="0"/>
        <v>0.18738728049359282</v>
      </c>
      <c r="L11" s="5">
        <f>G11*$L$5/$G$5</f>
        <v>0.31340909090909091</v>
      </c>
      <c r="M11" s="5">
        <f>G11*$M$5/$G$5</f>
        <v>0.12500545454545453</v>
      </c>
      <c r="N11" s="11">
        <f t="shared" ref="N11:N17" si="3">J11*$N$5/$J$5</f>
        <v>0.19976010810810813</v>
      </c>
      <c r="O11" s="10">
        <f t="shared" ref="O11:O17" si="4">N11/F11</f>
        <v>2.0146664913608441E-2</v>
      </c>
      <c r="P11" s="6"/>
      <c r="Q11" s="1">
        <v>1.736</v>
      </c>
      <c r="R11" s="1">
        <f>0.77+1.286*0</f>
        <v>0.77</v>
      </c>
      <c r="S11" s="1">
        <f>0.976+0.041+0.012+1.492*0</f>
        <v>1.0289999999999999</v>
      </c>
      <c r="T11" s="1">
        <f>0.976+0.041+0.012+1.492*0+0.098</f>
        <v>1.127</v>
      </c>
      <c r="U11" s="1">
        <f>1.177+0.044+0.012</f>
        <v>1.2330000000000001</v>
      </c>
      <c r="V11" s="1">
        <v>1.387</v>
      </c>
      <c r="W11" s="10">
        <f t="shared" si="1"/>
        <v>0.79896313364055305</v>
      </c>
      <c r="X11" s="13">
        <f>V11/N11</f>
        <v>6.9433282407384853</v>
      </c>
      <c r="Y11" s="9">
        <f t="shared" ref="Y11:Y18" si="5">Q11-V11</f>
        <v>0.34899999999999998</v>
      </c>
      <c r="Z11">
        <f t="shared" ref="Z11:Z18" si="6">Q11*1/10</f>
        <v>0.1736</v>
      </c>
      <c r="AA11">
        <f t="shared" ref="AA11:AA16" si="7">Y11-Z11</f>
        <v>0.17539999999999997</v>
      </c>
      <c r="AB11">
        <f>дин!AS11/1000*Q10/Q11</f>
        <v>4.8310291858678963E-3</v>
      </c>
      <c r="AC11" s="9">
        <f>AA11/AB11</f>
        <v>36.306963434022244</v>
      </c>
    </row>
    <row r="12" spans="2:30" x14ac:dyDescent="0.25">
      <c r="B12" s="1" t="s">
        <v>11</v>
      </c>
      <c r="C12" s="4">
        <v>9.1</v>
      </c>
      <c r="D12" s="5">
        <f t="shared" ref="D12:D28" si="8">C12/3</f>
        <v>3.0333333333333332</v>
      </c>
      <c r="E12" s="4">
        <v>14.1</v>
      </c>
      <c r="F12" s="5">
        <f t="shared" si="2"/>
        <v>4.644705882352941</v>
      </c>
      <c r="G12" s="5">
        <v>0.11</v>
      </c>
      <c r="H12" s="5">
        <v>0.21299999999999999</v>
      </c>
      <c r="I12" s="5">
        <v>0.29099999999999998</v>
      </c>
      <c r="J12" s="5">
        <v>0.33200000000000002</v>
      </c>
      <c r="K12" s="10">
        <f t="shared" si="0"/>
        <v>7.147922998986829E-2</v>
      </c>
      <c r="L12" s="5">
        <f>G12*$L$5/$G$5</f>
        <v>3.5000000000000003E-2</v>
      </c>
      <c r="M12" s="11">
        <f>G12*$M$5/$G$5</f>
        <v>1.396E-2</v>
      </c>
      <c r="N12" s="11">
        <f t="shared" si="3"/>
        <v>3.5694486486486487E-2</v>
      </c>
      <c r="O12" s="10">
        <f t="shared" si="4"/>
        <v>7.684983159451245E-3</v>
      </c>
      <c r="P12" s="6">
        <f t="shared" ref="P12:P28" si="9">D12/E12</f>
        <v>0.21513002364066194</v>
      </c>
      <c r="Q12" s="1">
        <v>1.4850000000000001</v>
      </c>
      <c r="R12" s="1">
        <v>0.436</v>
      </c>
      <c r="S12" s="1">
        <f>0.541+0.017+0.009</f>
        <v>0.56700000000000006</v>
      </c>
      <c r="T12" s="1">
        <f>0.541+0.017+0.009</f>
        <v>0.56700000000000006</v>
      </c>
      <c r="U12" s="1">
        <f>0.684+0.019+0.009</f>
        <v>0.71200000000000008</v>
      </c>
      <c r="V12" s="1">
        <v>0.83299999999999996</v>
      </c>
      <c r="W12" s="10">
        <f t="shared" si="1"/>
        <v>0.56094276094276085</v>
      </c>
      <c r="X12" s="13">
        <f>V12/N12</f>
        <v>23.336937493563997</v>
      </c>
      <c r="Y12" s="9">
        <f t="shared" si="5"/>
        <v>0.65200000000000014</v>
      </c>
      <c r="Z12">
        <f t="shared" si="6"/>
        <v>0.14850000000000002</v>
      </c>
      <c r="AA12">
        <f t="shared" si="7"/>
        <v>0.50350000000000006</v>
      </c>
      <c r="AB12">
        <f>дин!AS15/1000</f>
        <v>7.6666666666666671E-3</v>
      </c>
      <c r="AC12" s="9">
        <f>AA12/AB12</f>
        <v>65.673913043478265</v>
      </c>
    </row>
    <row r="13" spans="2:30" x14ac:dyDescent="0.25">
      <c r="B13" s="1" t="s">
        <v>21</v>
      </c>
      <c r="C13" s="4">
        <v>2.8</v>
      </c>
      <c r="D13" s="5">
        <f t="shared" si="8"/>
        <v>0.93333333333333324</v>
      </c>
      <c r="E13" s="4">
        <v>3.4</v>
      </c>
      <c r="F13" s="5">
        <f t="shared" si="2"/>
        <v>1.1199999999999999</v>
      </c>
      <c r="G13" s="5">
        <v>0.05</v>
      </c>
      <c r="H13" s="5">
        <v>7.1999999999999995E-2</v>
      </c>
      <c r="I13" s="5">
        <v>0.09</v>
      </c>
      <c r="J13" s="5">
        <v>0.107</v>
      </c>
      <c r="K13" s="10">
        <f t="shared" si="0"/>
        <v>9.5535714285714293E-2</v>
      </c>
      <c r="L13" s="5">
        <f>G13*$L$5/$G$5</f>
        <v>1.5909090909090911E-2</v>
      </c>
      <c r="M13" s="11">
        <f>G13*$M$5/$G$5</f>
        <v>6.3454545454545456E-3</v>
      </c>
      <c r="N13" s="11">
        <f t="shared" si="3"/>
        <v>1.1503945945945946E-2</v>
      </c>
      <c r="O13" s="10">
        <f t="shared" si="4"/>
        <v>1.027138030888031E-2</v>
      </c>
      <c r="P13" s="6">
        <f t="shared" si="9"/>
        <v>0.2745098039215686</v>
      </c>
      <c r="Q13" s="1">
        <v>0.27700000000000002</v>
      </c>
      <c r="R13" s="1">
        <v>0.11799999999999999</v>
      </c>
      <c r="S13" s="1">
        <v>0.13800000000000001</v>
      </c>
      <c r="T13" s="1">
        <v>0.13800000000000001</v>
      </c>
      <c r="U13" s="1">
        <v>0.16900000000000001</v>
      </c>
      <c r="V13" s="1">
        <v>0.21099999999999999</v>
      </c>
      <c r="W13" s="10">
        <f t="shared" si="1"/>
        <v>0.76173285198555951</v>
      </c>
      <c r="X13" s="13">
        <f>V13/N13</f>
        <v>18.341532635100528</v>
      </c>
      <c r="Y13" s="9">
        <f t="shared" si="5"/>
        <v>6.6000000000000031E-2</v>
      </c>
      <c r="Z13">
        <f t="shared" si="6"/>
        <v>2.7700000000000002E-2</v>
      </c>
      <c r="AA13">
        <f t="shared" si="7"/>
        <v>3.8300000000000028E-2</v>
      </c>
      <c r="AB13">
        <f>дин!AS13/1000</f>
        <v>2.3333333333333335E-3</v>
      </c>
      <c r="AC13" s="9">
        <f>AA13/AB13</f>
        <v>16.414285714285725</v>
      </c>
    </row>
    <row r="14" spans="2:30" x14ac:dyDescent="0.25">
      <c r="B14" s="1" t="s">
        <v>16</v>
      </c>
      <c r="C14" s="4">
        <v>2</v>
      </c>
      <c r="D14" s="5">
        <f>C14/3</f>
        <v>0.66666666666666663</v>
      </c>
      <c r="E14" s="4">
        <v>6.5</v>
      </c>
      <c r="F14" s="5">
        <f>E14*$F$5/$E$5</f>
        <v>1.5294117647058822</v>
      </c>
      <c r="G14" s="5">
        <v>0.01</v>
      </c>
      <c r="H14" s="5">
        <v>4.3999999999999997E-2</v>
      </c>
      <c r="I14" s="5">
        <v>4.9000000000000002E-2</v>
      </c>
      <c r="J14" s="5">
        <v>5.5E-2</v>
      </c>
      <c r="K14" s="10">
        <f t="shared" si="0"/>
        <v>3.5961538461538461E-2</v>
      </c>
      <c r="L14" s="5">
        <f>G14*$L$5/$G$5</f>
        <v>3.1818181818181819E-3</v>
      </c>
      <c r="M14" s="5">
        <f>G14*$M$5/$G$5</f>
        <v>1.2690909090909092E-3</v>
      </c>
      <c r="N14" s="11">
        <f t="shared" si="3"/>
        <v>5.9132432432432436E-3</v>
      </c>
      <c r="O14" s="10">
        <f t="shared" si="4"/>
        <v>3.8663513513513517E-3</v>
      </c>
      <c r="P14" s="6">
        <f>D14/E14</f>
        <v>0.10256410256410256</v>
      </c>
      <c r="Q14" s="12">
        <f>0.384*0.6</f>
        <v>0.23039999999999999</v>
      </c>
      <c r="R14" s="1">
        <f>R15+0.03</f>
        <v>0.16</v>
      </c>
      <c r="S14" s="1">
        <f>0.125+0.022+0.123*0+0.044</f>
        <v>0.191</v>
      </c>
      <c r="T14" s="1">
        <f>0.125+0.022+0.123*0*0.045</f>
        <v>0.14699999999999999</v>
      </c>
      <c r="U14" s="1">
        <f>U15+0.045</f>
        <v>0.20800000000000002</v>
      </c>
      <c r="V14" s="1">
        <v>0.22600000000000001</v>
      </c>
      <c r="W14" s="10">
        <f t="shared" si="1"/>
        <v>0.98090277777777779</v>
      </c>
      <c r="X14" s="13">
        <f>V14/N14</f>
        <v>38.219297042826454</v>
      </c>
      <c r="Y14" s="9">
        <f t="shared" si="5"/>
        <v>4.3999999999999873E-3</v>
      </c>
      <c r="Z14">
        <f>Q14*1/10*0</f>
        <v>0</v>
      </c>
      <c r="AA14">
        <f t="shared" si="7"/>
        <v>4.3999999999999873E-3</v>
      </c>
      <c r="AB14">
        <f>U14/30</f>
        <v>6.9333333333333339E-3</v>
      </c>
      <c r="AC14" s="9">
        <f t="shared" ref="AC14:AC16" si="10">AA14/AB14</f>
        <v>0.63461538461538269</v>
      </c>
    </row>
    <row r="15" spans="2:30" x14ac:dyDescent="0.25">
      <c r="B15" s="1" t="s">
        <v>74</v>
      </c>
      <c r="C15" s="4"/>
      <c r="D15" s="5"/>
      <c r="E15" s="4"/>
      <c r="F15" s="5"/>
      <c r="G15" s="5"/>
      <c r="H15" s="5"/>
      <c r="I15" s="5"/>
      <c r="J15" s="5"/>
      <c r="K15" s="10"/>
      <c r="L15" s="5"/>
      <c r="M15" s="5"/>
      <c r="N15" s="5"/>
      <c r="O15" s="10"/>
      <c r="P15" s="6"/>
      <c r="Q15" s="1">
        <v>0.18</v>
      </c>
      <c r="R15" s="1">
        <v>0.13</v>
      </c>
      <c r="S15" s="1">
        <v>0.14000000000000001</v>
      </c>
      <c r="T15" s="1">
        <v>0.14799999999999999</v>
      </c>
      <c r="U15" s="1">
        <v>0.16300000000000001</v>
      </c>
      <c r="V15" s="1">
        <v>0.17599999999999999</v>
      </c>
      <c r="W15" s="10">
        <f t="shared" si="1"/>
        <v>0.97777777777777775</v>
      </c>
      <c r="X15" s="13"/>
      <c r="Y15" s="9">
        <f t="shared" si="5"/>
        <v>4.0000000000000036E-3</v>
      </c>
      <c r="Z15">
        <f>Q15*1/10*0</f>
        <v>0</v>
      </c>
      <c r="AA15">
        <f t="shared" si="7"/>
        <v>4.0000000000000036E-3</v>
      </c>
      <c r="AB15">
        <f>U15/30</f>
        <v>5.4333333333333334E-3</v>
      </c>
      <c r="AC15" s="9">
        <f t="shared" si="10"/>
        <v>0.73619631901840554</v>
      </c>
    </row>
    <row r="16" spans="2:30" x14ac:dyDescent="0.25">
      <c r="B16" s="1" t="s">
        <v>73</v>
      </c>
      <c r="C16" s="4">
        <v>20.7</v>
      </c>
      <c r="D16" s="5">
        <f t="shared" si="8"/>
        <v>6.8999999999999995</v>
      </c>
      <c r="E16" s="4">
        <v>4.0999999999999996</v>
      </c>
      <c r="F16" s="5">
        <f t="shared" si="2"/>
        <v>1.3505882352941174</v>
      </c>
      <c r="G16" s="5">
        <v>9.1999999999999998E-2</v>
      </c>
      <c r="H16" s="5">
        <v>9.5000000000000001E-2</v>
      </c>
      <c r="I16" s="5">
        <v>0.115</v>
      </c>
      <c r="J16" s="5">
        <v>0.15</v>
      </c>
      <c r="K16" s="10">
        <f t="shared" si="0"/>
        <v>0.11106271777003486</v>
      </c>
      <c r="L16" s="5">
        <f>G16*$L$5/$G$5</f>
        <v>2.9272727272727273E-2</v>
      </c>
      <c r="M16" s="11">
        <f>G16*$M$5/$G$5</f>
        <v>1.1675636363636362E-2</v>
      </c>
      <c r="N16" s="34">
        <f t="shared" si="3"/>
        <v>1.6127027027027029E-2</v>
      </c>
      <c r="O16" s="10">
        <f t="shared" si="4"/>
        <v>1.1940743007816182E-2</v>
      </c>
      <c r="P16" s="6">
        <f t="shared" si="9"/>
        <v>1.6829268292682926</v>
      </c>
      <c r="Q16" s="1">
        <v>0.152</v>
      </c>
      <c r="R16" s="1">
        <v>9.9000000000000005E-2</v>
      </c>
      <c r="S16" s="1">
        <v>0.105</v>
      </c>
      <c r="T16" s="1">
        <v>0.112</v>
      </c>
      <c r="U16" s="1">
        <v>0.115</v>
      </c>
      <c r="V16" s="1">
        <v>0.125</v>
      </c>
      <c r="W16" s="10">
        <f t="shared" si="1"/>
        <v>0.82236842105263164</v>
      </c>
      <c r="X16" s="13">
        <f>V16/N16</f>
        <v>7.7509636333165739</v>
      </c>
      <c r="Y16" s="9">
        <f t="shared" si="5"/>
        <v>2.6999999999999996E-2</v>
      </c>
      <c r="Z16">
        <f t="shared" si="6"/>
        <v>1.52E-2</v>
      </c>
      <c r="AA16">
        <f t="shared" si="7"/>
        <v>1.1799999999999996E-2</v>
      </c>
      <c r="AB16">
        <f>U16/30</f>
        <v>3.8333333333333336E-3</v>
      </c>
      <c r="AC16" s="9">
        <f t="shared" si="10"/>
        <v>3.0782608695652161</v>
      </c>
    </row>
    <row r="17" spans="2:29" x14ac:dyDescent="0.25">
      <c r="B17" s="1" t="s">
        <v>12</v>
      </c>
      <c r="C17" s="4">
        <v>1</v>
      </c>
      <c r="D17" s="5">
        <f t="shared" si="8"/>
        <v>0.33333333333333331</v>
      </c>
      <c r="E17" s="4">
        <v>0.77</v>
      </c>
      <c r="F17" s="5">
        <f>E17*$F$5/$E$5</f>
        <v>0.1811764705882353</v>
      </c>
      <c r="G17" s="11">
        <v>4.0000000000000001E-3</v>
      </c>
      <c r="H17" s="11">
        <v>4.0000000000000001E-3</v>
      </c>
      <c r="I17" s="11">
        <v>5.0000000000000001E-3</v>
      </c>
      <c r="J17" s="11">
        <v>0.02</v>
      </c>
      <c r="K17" s="10">
        <f t="shared" si="0"/>
        <v>0.11038961038961038</v>
      </c>
      <c r="L17" s="5">
        <f>G17*$L$5/$G$5</f>
        <v>1.2727272727272728E-3</v>
      </c>
      <c r="M17" s="11">
        <f>G17*$M$5/$G$5</f>
        <v>5.0763636363636365E-4</v>
      </c>
      <c r="N17" s="34">
        <f t="shared" si="3"/>
        <v>2.1502702702702703E-3</v>
      </c>
      <c r="O17" s="10">
        <f t="shared" si="4"/>
        <v>1.1868374868374868E-2</v>
      </c>
      <c r="P17" s="6">
        <f t="shared" si="9"/>
        <v>0.43290043290043284</v>
      </c>
      <c r="Q17" s="1">
        <v>7.0000000000000007E-2</v>
      </c>
      <c r="R17" s="12">
        <f>Q17*0.62</f>
        <v>4.3400000000000001E-2</v>
      </c>
      <c r="S17" s="12">
        <f>Q17*0.7</f>
        <v>4.9000000000000002E-2</v>
      </c>
      <c r="T17" s="12">
        <f>Q17*0.7</f>
        <v>4.9000000000000002E-2</v>
      </c>
      <c r="U17" s="12">
        <f>T17</f>
        <v>4.9000000000000002E-2</v>
      </c>
      <c r="V17" s="12">
        <v>5.7000000000000002E-2</v>
      </c>
      <c r="W17" s="10">
        <f t="shared" si="1"/>
        <v>0.81428571428571428</v>
      </c>
      <c r="X17" s="13">
        <f>V17/N17</f>
        <v>26.508295625942687</v>
      </c>
      <c r="Y17" s="9">
        <f t="shared" si="5"/>
        <v>1.3000000000000005E-2</v>
      </c>
    </row>
    <row r="18" spans="2:29" x14ac:dyDescent="0.25">
      <c r="B18" s="1" t="s">
        <v>22</v>
      </c>
      <c r="C18" s="4"/>
      <c r="D18" s="5"/>
      <c r="E18" s="4"/>
      <c r="F18" s="5">
        <f t="shared" ref="F18:F24" si="11">E18*$F$5/$E$5</f>
        <v>0</v>
      </c>
      <c r="G18" s="11">
        <v>4.0000000000000001E-3</v>
      </c>
      <c r="H18" s="11">
        <v>1.7000000000000001E-2</v>
      </c>
      <c r="I18" s="11">
        <v>5.2999999999999999E-2</v>
      </c>
      <c r="J18" s="11">
        <v>9.4E-2</v>
      </c>
      <c r="K18" s="10"/>
      <c r="L18" s="5"/>
      <c r="M18" s="5"/>
      <c r="N18" s="5"/>
      <c r="O18" s="10"/>
      <c r="P18" s="6"/>
      <c r="Q18" s="12">
        <f>0.35*1.4</f>
        <v>0.48999999999999994</v>
      </c>
      <c r="R18" s="1">
        <v>0.126</v>
      </c>
      <c r="S18" s="1">
        <v>0.183</v>
      </c>
      <c r="T18" s="1">
        <v>0.183</v>
      </c>
      <c r="U18" s="1">
        <v>0.28899999999999998</v>
      </c>
      <c r="V18" s="1">
        <v>0.39200000000000002</v>
      </c>
      <c r="W18" s="10">
        <f t="shared" si="1"/>
        <v>0.80000000000000016</v>
      </c>
      <c r="X18" s="13"/>
      <c r="Y18" s="9">
        <f t="shared" si="5"/>
        <v>9.7999999999999921E-2</v>
      </c>
      <c r="Z18">
        <f t="shared" si="6"/>
        <v>4.8999999999999995E-2</v>
      </c>
      <c r="AA18">
        <f t="shared" ref="AA18" si="12">Y18-Z18</f>
        <v>4.8999999999999926E-2</v>
      </c>
      <c r="AB18">
        <f>U18/30</f>
        <v>9.6333333333333323E-3</v>
      </c>
      <c r="AC18" s="9">
        <f t="shared" ref="AC18" si="13">AA18/AB18</f>
        <v>5.0865051903114118</v>
      </c>
    </row>
    <row r="19" spans="2:29" x14ac:dyDescent="0.25">
      <c r="B19" s="1" t="s">
        <v>75</v>
      </c>
      <c r="C19" s="4"/>
      <c r="D19" s="5"/>
      <c r="E19" s="4"/>
      <c r="F19" s="5"/>
      <c r="G19" s="11"/>
      <c r="H19" s="11"/>
      <c r="I19" s="11"/>
      <c r="J19" s="11"/>
      <c r="K19" s="10"/>
      <c r="L19" s="5"/>
      <c r="M19" s="5"/>
      <c r="N19" s="5"/>
      <c r="O19" s="10"/>
      <c r="P19" s="6"/>
      <c r="Q19" s="1">
        <f>0.04+0.012</f>
        <v>5.2000000000000005E-2</v>
      </c>
      <c r="R19" s="1">
        <v>0.02</v>
      </c>
      <c r="S19" s="12">
        <v>0.03</v>
      </c>
      <c r="T19" s="1">
        <v>3.5000000000000003E-2</v>
      </c>
      <c r="U19" s="1">
        <v>3.5999999999999997E-2</v>
      </c>
      <c r="V19" s="1">
        <v>4.2999999999999997E-2</v>
      </c>
      <c r="W19" s="10">
        <f t="shared" si="1"/>
        <v>0.82692307692307676</v>
      </c>
      <c r="X19" s="13"/>
      <c r="AB19">
        <f>U19/30</f>
        <v>1.1999999999999999E-3</v>
      </c>
    </row>
    <row r="20" spans="2:29" x14ac:dyDescent="0.25">
      <c r="B20" s="1" t="s">
        <v>13</v>
      </c>
      <c r="C20" s="4">
        <v>3.5</v>
      </c>
      <c r="D20" s="5">
        <f t="shared" si="8"/>
        <v>1.1666666666666667</v>
      </c>
      <c r="E20" s="4">
        <v>0.77</v>
      </c>
      <c r="F20" s="5">
        <f t="shared" si="11"/>
        <v>0.1811764705882353</v>
      </c>
      <c r="G20" s="11">
        <v>0.04</v>
      </c>
      <c r="H20" s="11">
        <v>0.04</v>
      </c>
      <c r="I20" s="11">
        <v>0.11</v>
      </c>
      <c r="J20" s="11">
        <v>0.13</v>
      </c>
      <c r="K20" s="10">
        <f t="shared" ref="K20" si="14">J20/F20</f>
        <v>0.71753246753246758</v>
      </c>
      <c r="L20" s="5">
        <f>G20*$L$5/$G$5</f>
        <v>1.2727272727272728E-2</v>
      </c>
      <c r="M20" s="11">
        <f>G20*$M$5/$G$5</f>
        <v>5.0763636363636367E-3</v>
      </c>
      <c r="N20" s="34">
        <f t="shared" ref="N20" si="15">J20*$N$5/$J$5</f>
        <v>1.3976756756756758E-2</v>
      </c>
      <c r="O20" s="10">
        <f t="shared" ref="O20" si="16">N20/F20</f>
        <v>7.7144436644436654E-2</v>
      </c>
      <c r="P20" s="6">
        <f t="shared" si="9"/>
        <v>1.5151515151515151</v>
      </c>
      <c r="Q20" s="1">
        <v>0.03</v>
      </c>
      <c r="R20" s="12">
        <f>Q20*0.62</f>
        <v>1.8599999999999998E-2</v>
      </c>
      <c r="S20" s="12">
        <f>Q20*0.7</f>
        <v>2.0999999999999998E-2</v>
      </c>
      <c r="T20" s="12">
        <f>Q20*0.7</f>
        <v>2.0999999999999998E-2</v>
      </c>
      <c r="U20" s="12">
        <f>T20+0.003</f>
        <v>2.3999999999999997E-2</v>
      </c>
      <c r="V20" s="12">
        <v>2.5000000000000001E-2</v>
      </c>
      <c r="W20" s="10">
        <f t="shared" si="1"/>
        <v>0.83333333333333337</v>
      </c>
      <c r="X20" s="13">
        <f>V20/N20</f>
        <v>1.7886839153807479</v>
      </c>
    </row>
    <row r="21" spans="2:29" x14ac:dyDescent="0.25">
      <c r="B21" s="1" t="s">
        <v>8</v>
      </c>
      <c r="C21" s="4">
        <v>158</v>
      </c>
      <c r="D21" s="5">
        <f t="shared" si="8"/>
        <v>52.666666666666664</v>
      </c>
      <c r="E21" s="4">
        <v>135</v>
      </c>
      <c r="F21" s="5">
        <v>25</v>
      </c>
      <c r="G21" s="5"/>
      <c r="H21" s="5"/>
      <c r="I21" s="5"/>
      <c r="J21" s="5"/>
      <c r="K21" s="10"/>
      <c r="L21" s="5"/>
      <c r="M21" s="5"/>
      <c r="N21" s="11"/>
      <c r="O21" s="10"/>
      <c r="P21" s="6">
        <f t="shared" si="9"/>
        <v>0.39012345679012345</v>
      </c>
      <c r="Q21" s="1" t="s">
        <v>24</v>
      </c>
      <c r="R21" s="1" t="s">
        <v>24</v>
      </c>
      <c r="S21" s="1" t="s">
        <v>24</v>
      </c>
      <c r="T21" s="1" t="s">
        <v>24</v>
      </c>
      <c r="U21" s="1"/>
      <c r="V21" s="1"/>
      <c r="W21" s="10"/>
      <c r="X21" s="13"/>
    </row>
    <row r="22" spans="2:29" x14ac:dyDescent="0.25">
      <c r="B22" s="1" t="s">
        <v>14</v>
      </c>
      <c r="C22" s="4">
        <v>4.0999999999999996</v>
      </c>
      <c r="D22" s="5">
        <f t="shared" si="8"/>
        <v>1.3666666666666665</v>
      </c>
      <c r="E22" s="4">
        <v>0.52</v>
      </c>
      <c r="F22" s="5"/>
      <c r="G22" s="5"/>
      <c r="H22" s="5"/>
      <c r="I22" s="5"/>
      <c r="J22" s="5"/>
      <c r="K22" s="10"/>
      <c r="L22" s="5"/>
      <c r="M22" s="5"/>
      <c r="N22" s="5"/>
      <c r="O22" s="10"/>
      <c r="P22" s="6">
        <f t="shared" si="9"/>
        <v>2.6282051282051277</v>
      </c>
      <c r="Q22" s="1">
        <v>7.0000000000000007E-2</v>
      </c>
      <c r="R22" s="1">
        <v>0</v>
      </c>
      <c r="S22" s="1">
        <v>7.0000000000000007E-2</v>
      </c>
      <c r="T22" s="1">
        <v>7.0000000000000007E-2</v>
      </c>
      <c r="U22" s="1"/>
      <c r="V22" s="1"/>
      <c r="W22" s="10">
        <f>V22/Q22</f>
        <v>0</v>
      </c>
      <c r="X22" s="13"/>
    </row>
    <row r="23" spans="2:29" x14ac:dyDescent="0.25">
      <c r="B23" s="1" t="s">
        <v>44</v>
      </c>
      <c r="C23" s="4"/>
      <c r="D23" s="5"/>
      <c r="E23" s="4"/>
      <c r="F23" s="5"/>
      <c r="G23" s="5"/>
      <c r="H23" s="5"/>
      <c r="I23" s="5"/>
      <c r="J23" s="5"/>
      <c r="K23" s="10"/>
      <c r="L23" s="5"/>
      <c r="M23" s="5"/>
      <c r="N23" s="5"/>
      <c r="O23" s="10"/>
      <c r="P23" s="6"/>
      <c r="Q23" s="1">
        <v>0.14899999999999999</v>
      </c>
      <c r="R23" s="1">
        <v>6.2E-2</v>
      </c>
      <c r="S23" s="1">
        <v>7.5999999999999998E-2</v>
      </c>
      <c r="T23" s="1">
        <v>7.5999999999999998E-2</v>
      </c>
      <c r="U23" s="1">
        <v>7.6999999999999999E-2</v>
      </c>
      <c r="V23" s="1">
        <v>9.0999999999999998E-2</v>
      </c>
      <c r="W23" s="10">
        <f>V23/Q23</f>
        <v>0.61073825503355705</v>
      </c>
      <c r="X23" s="13"/>
      <c r="Y23" s="9">
        <f t="shared" ref="Y23" si="17">Q23-U23</f>
        <v>7.1999999999999995E-2</v>
      </c>
      <c r="Z23">
        <f>Q23*1/5*1</f>
        <v>2.98E-2</v>
      </c>
      <c r="AA23">
        <f t="shared" ref="AA23" si="18">Y23-Z23</f>
        <v>4.2199999999999994E-2</v>
      </c>
      <c r="AB23">
        <f>U23/30</f>
        <v>2.5666666666666667E-3</v>
      </c>
      <c r="AC23" s="9">
        <f t="shared" ref="AC23" si="19">AA23/AB23</f>
        <v>16.441558441558438</v>
      </c>
    </row>
    <row r="24" spans="2:29" x14ac:dyDescent="0.25">
      <c r="B24" s="1" t="s">
        <v>15</v>
      </c>
      <c r="C24" s="4">
        <v>1.3</v>
      </c>
      <c r="D24" s="5">
        <f t="shared" si="8"/>
        <v>0.43333333333333335</v>
      </c>
      <c r="E24" s="4">
        <v>0.54</v>
      </c>
      <c r="F24" s="5">
        <f t="shared" si="11"/>
        <v>0.12705882352941175</v>
      </c>
      <c r="G24" s="11">
        <v>4.8000000000000001E-2</v>
      </c>
      <c r="H24" s="11">
        <v>0.115</v>
      </c>
      <c r="I24" s="11">
        <v>0.125</v>
      </c>
      <c r="J24" s="11">
        <v>0.13400000000000001</v>
      </c>
      <c r="K24" s="21">
        <f t="shared" ref="K24" si="20">J24/F24</f>
        <v>1.0546296296296298</v>
      </c>
      <c r="L24" s="5">
        <f>G24*$L$5/$G$5</f>
        <v>1.5272727272727273E-2</v>
      </c>
      <c r="M24" s="11">
        <f>G24*$M$5/$G$5</f>
        <v>6.0916363636363633E-3</v>
      </c>
      <c r="N24" s="34">
        <f t="shared" ref="N24" si="21">J24*$N$5/$J$5</f>
        <v>1.4406810810810813E-2</v>
      </c>
      <c r="O24" s="10">
        <f>N24/F24</f>
        <v>0.11338693693693697</v>
      </c>
      <c r="P24" s="6">
        <f t="shared" si="9"/>
        <v>0.80246913580246915</v>
      </c>
      <c r="Q24" s="1">
        <v>0.03</v>
      </c>
      <c r="R24" s="1">
        <f>Q24*0.8</f>
        <v>2.4E-2</v>
      </c>
      <c r="S24" s="12">
        <f>Q24*0.7</f>
        <v>2.0999999999999998E-2</v>
      </c>
      <c r="T24" s="12">
        <f>Q24*0.7</f>
        <v>2.0999999999999998E-2</v>
      </c>
      <c r="U24" s="12">
        <v>2.1999999999999999E-2</v>
      </c>
      <c r="V24" s="12">
        <v>2.4E-2</v>
      </c>
      <c r="W24" s="10">
        <f>V24/Q24</f>
        <v>0.8</v>
      </c>
      <c r="X24" s="13">
        <f>V24/N24</f>
        <v>1.6658787510411739</v>
      </c>
    </row>
    <row r="25" spans="2:29" x14ac:dyDescent="0.25">
      <c r="B25" s="1" t="s">
        <v>1</v>
      </c>
      <c r="C25" s="4">
        <v>269</v>
      </c>
      <c r="D25" s="5">
        <f t="shared" si="8"/>
        <v>89.666666666666671</v>
      </c>
      <c r="E25" s="4">
        <v>26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6">
        <f t="shared" si="9"/>
        <v>3.4487179487179489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0">
        <f t="shared" ref="W25:W27" si="22">R25/Q25</f>
        <v>1</v>
      </c>
      <c r="X25" s="1"/>
    </row>
    <row r="26" spans="2:29" x14ac:dyDescent="0.25">
      <c r="B26" s="1" t="s">
        <v>0</v>
      </c>
      <c r="C26" s="4"/>
      <c r="D26" s="5">
        <f>C26/3</f>
        <v>0</v>
      </c>
      <c r="E26" s="4">
        <v>150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6">
        <f t="shared" si="9"/>
        <v>0</v>
      </c>
      <c r="Q26" s="1" t="s">
        <v>24</v>
      </c>
      <c r="R26" s="1" t="s">
        <v>24</v>
      </c>
      <c r="S26" s="1" t="s">
        <v>24</v>
      </c>
      <c r="T26" s="1" t="s">
        <v>24</v>
      </c>
      <c r="U26" s="1"/>
      <c r="V26" s="1"/>
      <c r="W26" s="10"/>
      <c r="X26" s="1"/>
    </row>
    <row r="27" spans="2:29" x14ac:dyDescent="0.25">
      <c r="B27" s="1" t="s">
        <v>2</v>
      </c>
      <c r="C27" s="4"/>
      <c r="D27" s="5">
        <f t="shared" si="8"/>
        <v>0</v>
      </c>
      <c r="E27" s="4">
        <f>38+65</f>
        <v>103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6">
        <f t="shared" si="9"/>
        <v>0</v>
      </c>
      <c r="Q27" s="1">
        <v>12</v>
      </c>
      <c r="R27" s="1">
        <v>12</v>
      </c>
      <c r="S27" s="1">
        <v>12</v>
      </c>
      <c r="T27" s="1">
        <v>12</v>
      </c>
      <c r="U27" s="1">
        <v>12</v>
      </c>
      <c r="V27" s="1">
        <v>12</v>
      </c>
      <c r="W27" s="10">
        <f t="shared" si="22"/>
        <v>1</v>
      </c>
      <c r="X27" s="1"/>
    </row>
    <row r="28" spans="2:29" x14ac:dyDescent="0.25">
      <c r="B28" s="1" t="s">
        <v>9</v>
      </c>
      <c r="C28" s="4">
        <v>149</v>
      </c>
      <c r="D28" s="5">
        <f t="shared" si="8"/>
        <v>49.666666666666664</v>
      </c>
      <c r="E28" s="4">
        <v>70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6">
        <f t="shared" si="9"/>
        <v>0.70952380952380945</v>
      </c>
      <c r="Q28" s="1" t="s">
        <v>24</v>
      </c>
      <c r="R28" s="1" t="s">
        <v>24</v>
      </c>
      <c r="S28" s="1" t="s">
        <v>24</v>
      </c>
      <c r="T28" s="1" t="s">
        <v>24</v>
      </c>
      <c r="U28" s="1"/>
      <c r="V28" s="1"/>
      <c r="W28" s="10"/>
      <c r="X28" s="1"/>
    </row>
    <row r="30" spans="2:29" x14ac:dyDescent="0.25">
      <c r="D30">
        <v>25</v>
      </c>
      <c r="E30" s="7">
        <v>12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</row>
    <row r="31" spans="2:29" x14ac:dyDescent="0.25">
      <c r="D31">
        <v>1</v>
      </c>
      <c r="E31" s="7">
        <v>24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8"/>
    </row>
    <row r="32" spans="2:29" x14ac:dyDescent="0.25">
      <c r="D32">
        <v>10</v>
      </c>
      <c r="E32" s="7">
        <v>6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8">
        <f t="shared" ref="P32" si="23">D32*E32</f>
        <v>60</v>
      </c>
    </row>
    <row r="33" spans="5:16" x14ac:dyDescent="0.25"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9">
        <f>P30+P31+P32</f>
        <v>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18"/>
  <sheetViews>
    <sheetView workbookViewId="0">
      <pane xSplit="12" ySplit="5" topLeftCell="R12" activePane="bottomRight" state="frozen"/>
      <selection pane="topRight" activeCell="M1" sqref="M1"/>
      <selection pane="bottomLeft" activeCell="A6" sqref="A6"/>
      <selection pane="bottomRight" activeCell="AR20" sqref="AR20"/>
    </sheetView>
  </sheetViews>
  <sheetFormatPr defaultRowHeight="15" x14ac:dyDescent="0.25"/>
  <cols>
    <col min="3" max="12" width="7.28515625" hidden="1" customWidth="1"/>
    <col min="13" max="44" width="7.28515625" customWidth="1"/>
    <col min="48" max="48" width="7.28515625" style="19" customWidth="1"/>
  </cols>
  <sheetData>
    <row r="1" spans="2:50" x14ac:dyDescent="0.25">
      <c r="C1" s="20">
        <v>44617</v>
      </c>
      <c r="D1" s="20">
        <v>44618</v>
      </c>
      <c r="E1" s="20">
        <v>44619</v>
      </c>
      <c r="F1" s="20">
        <v>44620</v>
      </c>
      <c r="G1" s="20">
        <v>44621</v>
      </c>
      <c r="H1" s="20">
        <v>44622</v>
      </c>
      <c r="I1" s="20">
        <v>44623</v>
      </c>
      <c r="J1" s="20">
        <v>44624</v>
      </c>
      <c r="K1" s="20">
        <v>44625</v>
      </c>
      <c r="L1" s="20">
        <v>44626</v>
      </c>
      <c r="M1" s="20">
        <v>44627</v>
      </c>
      <c r="N1" s="20">
        <v>44628</v>
      </c>
      <c r="O1" s="20">
        <v>44629</v>
      </c>
      <c r="P1" s="20">
        <v>44630</v>
      </c>
      <c r="Q1" s="20">
        <v>44631</v>
      </c>
      <c r="R1" s="20">
        <v>44632</v>
      </c>
      <c r="S1" s="20">
        <v>44633</v>
      </c>
      <c r="T1" s="20">
        <v>44634</v>
      </c>
      <c r="U1" s="20">
        <v>44635</v>
      </c>
      <c r="V1" s="20">
        <v>44636</v>
      </c>
      <c r="W1" s="20">
        <v>44637</v>
      </c>
      <c r="X1" s="20">
        <v>44638</v>
      </c>
      <c r="Y1" s="20">
        <v>44639</v>
      </c>
      <c r="Z1" s="20">
        <v>44640</v>
      </c>
      <c r="AA1" s="20">
        <v>44641</v>
      </c>
      <c r="AB1" s="20">
        <v>44642</v>
      </c>
      <c r="AC1" s="20">
        <v>44643</v>
      </c>
      <c r="AD1" s="20">
        <v>44644</v>
      </c>
      <c r="AE1" s="20">
        <v>44645</v>
      </c>
      <c r="AF1" s="20">
        <v>44646</v>
      </c>
      <c r="AG1" s="20">
        <v>44647</v>
      </c>
      <c r="AH1" s="20">
        <v>44648</v>
      </c>
      <c r="AI1" s="20">
        <v>44649</v>
      </c>
      <c r="AJ1" s="20">
        <v>44650</v>
      </c>
      <c r="AK1" s="20">
        <v>44651</v>
      </c>
      <c r="AL1" s="20">
        <v>44652</v>
      </c>
      <c r="AM1" s="20">
        <v>44653</v>
      </c>
      <c r="AN1" s="20">
        <v>44654</v>
      </c>
      <c r="AO1" s="20">
        <v>44655</v>
      </c>
      <c r="AP1" s="20">
        <v>44656</v>
      </c>
      <c r="AQ1" s="20">
        <v>44657</v>
      </c>
      <c r="AR1" s="20">
        <v>44658</v>
      </c>
    </row>
    <row r="2" spans="2:50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V2" s="19" t="s">
        <v>56</v>
      </c>
      <c r="AW2" t="s">
        <v>78</v>
      </c>
    </row>
    <row r="3" spans="2:50" x14ac:dyDescent="0.25">
      <c r="AV3" s="19">
        <f>10052+1690+730</f>
        <v>12472</v>
      </c>
    </row>
    <row r="4" spans="2:50" x14ac:dyDescent="0.25">
      <c r="C4">
        <f t="shared" ref="C4:Q4" si="0">D5-C5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2203</v>
      </c>
      <c r="M4">
        <f t="shared" si="0"/>
        <v>193</v>
      </c>
      <c r="N4">
        <f t="shared" si="0"/>
        <v>86</v>
      </c>
      <c r="O4">
        <f t="shared" si="0"/>
        <v>332</v>
      </c>
      <c r="P4">
        <f t="shared" si="0"/>
        <v>184</v>
      </c>
      <c r="Q4">
        <f t="shared" si="0"/>
        <v>348</v>
      </c>
      <c r="R4">
        <f>S5-R5</f>
        <v>247</v>
      </c>
      <c r="S4">
        <f>T5-S5</f>
        <v>94</v>
      </c>
      <c r="T4">
        <f>U5-T5</f>
        <v>233</v>
      </c>
      <c r="U4">
        <f>V5-U5</f>
        <v>136</v>
      </c>
      <c r="AS4">
        <f>AVERAGE(M4:S4)</f>
        <v>212</v>
      </c>
    </row>
    <row r="5" spans="2:50" x14ac:dyDescent="0.25">
      <c r="M5">
        <v>2203</v>
      </c>
      <c r="N5">
        <v>2396</v>
      </c>
      <c r="O5">
        <v>2482</v>
      </c>
      <c r="P5">
        <v>2814</v>
      </c>
      <c r="Q5">
        <v>2998</v>
      </c>
      <c r="R5">
        <v>3346</v>
      </c>
      <c r="S5">
        <v>3593</v>
      </c>
      <c r="T5">
        <v>3687</v>
      </c>
      <c r="U5">
        <v>3920</v>
      </c>
      <c r="V5">
        <f>U5+136</f>
        <v>4056</v>
      </c>
    </row>
    <row r="6" spans="2:50" x14ac:dyDescent="0.25">
      <c r="B6" t="s">
        <v>51</v>
      </c>
      <c r="M6">
        <f>69+24</f>
        <v>93</v>
      </c>
      <c r="Q6">
        <v>98</v>
      </c>
      <c r="T6">
        <v>99</v>
      </c>
      <c r="V6">
        <f>T6+4</f>
        <v>103</v>
      </c>
      <c r="W6">
        <v>111</v>
      </c>
      <c r="X6">
        <v>111</v>
      </c>
      <c r="AA6">
        <v>111</v>
      </c>
      <c r="AC6">
        <v>112</v>
      </c>
      <c r="AF6">
        <v>113</v>
      </c>
      <c r="AG6">
        <v>115</v>
      </c>
      <c r="AH6">
        <v>123</v>
      </c>
      <c r="AL6">
        <v>124</v>
      </c>
      <c r="AO6">
        <v>125</v>
      </c>
      <c r="AV6" s="19">
        <v>106</v>
      </c>
      <c r="AW6">
        <v>120</v>
      </c>
    </row>
    <row r="7" spans="2:50" x14ac:dyDescent="0.25">
      <c r="B7" t="s">
        <v>52</v>
      </c>
      <c r="S7">
        <v>61</v>
      </c>
      <c r="V7">
        <f>S7+6</f>
        <v>67</v>
      </c>
      <c r="W7">
        <v>68</v>
      </c>
      <c r="X7">
        <v>70</v>
      </c>
      <c r="AA7">
        <v>71</v>
      </c>
      <c r="AC7">
        <v>72</v>
      </c>
      <c r="AG7">
        <v>73</v>
      </c>
      <c r="AH7">
        <v>74</v>
      </c>
      <c r="AI7">
        <v>77</v>
      </c>
      <c r="AJ7">
        <v>77</v>
      </c>
      <c r="AK7">
        <v>81</v>
      </c>
      <c r="AL7">
        <v>84</v>
      </c>
      <c r="AM7">
        <v>88</v>
      </c>
      <c r="AN7">
        <v>91</v>
      </c>
      <c r="AO7">
        <v>91</v>
      </c>
      <c r="AP7">
        <v>93</v>
      </c>
      <c r="AR7">
        <v>95</v>
      </c>
      <c r="AV7" s="19">
        <v>76</v>
      </c>
      <c r="AW7">
        <v>77</v>
      </c>
    </row>
    <row r="8" spans="2:50" s="30" customFormat="1" x14ac:dyDescent="0.25">
      <c r="M8" s="30">
        <f t="shared" ref="M8:S8" si="1">N9-M9</f>
        <v>13</v>
      </c>
      <c r="N8" s="30">
        <f t="shared" si="1"/>
        <v>10</v>
      </c>
      <c r="O8" s="30">
        <f t="shared" si="1"/>
        <v>13</v>
      </c>
      <c r="P8" s="30">
        <f t="shared" si="1"/>
        <v>12</v>
      </c>
      <c r="Q8" s="30">
        <f t="shared" si="1"/>
        <v>11</v>
      </c>
      <c r="R8" s="30">
        <f t="shared" si="1"/>
        <v>5</v>
      </c>
      <c r="S8" s="30">
        <f t="shared" si="1"/>
        <v>2</v>
      </c>
      <c r="T8" s="30">
        <f t="shared" ref="T8" si="2">U9-T9</f>
        <v>15</v>
      </c>
      <c r="U8" s="30">
        <f t="shared" ref="U8:AG8" si="3">V9-U9</f>
        <v>13</v>
      </c>
      <c r="V8" s="30">
        <f t="shared" si="3"/>
        <v>4</v>
      </c>
      <c r="W8" s="30">
        <f t="shared" si="3"/>
        <v>12</v>
      </c>
      <c r="X8" s="30">
        <f t="shared" si="3"/>
        <v>11</v>
      </c>
      <c r="Y8" s="30">
        <f t="shared" si="3"/>
        <v>18</v>
      </c>
      <c r="Z8" s="30">
        <f t="shared" si="3"/>
        <v>15</v>
      </c>
      <c r="AA8" s="30">
        <f t="shared" si="3"/>
        <v>14</v>
      </c>
      <c r="AB8" s="30">
        <f t="shared" si="3"/>
        <v>25</v>
      </c>
      <c r="AC8" s="30">
        <f t="shared" si="3"/>
        <v>2</v>
      </c>
      <c r="AD8" s="30">
        <f t="shared" si="3"/>
        <v>4</v>
      </c>
      <c r="AE8" s="30">
        <f t="shared" si="3"/>
        <v>10</v>
      </c>
      <c r="AF8" s="30">
        <f t="shared" si="3"/>
        <v>18</v>
      </c>
      <c r="AG8" s="30">
        <f t="shared" si="3"/>
        <v>20</v>
      </c>
      <c r="AH8" s="30">
        <f t="shared" ref="AH8:AQ8" si="4">AI9-AH9</f>
        <v>12</v>
      </c>
      <c r="AI8" s="30">
        <f t="shared" si="4"/>
        <v>20</v>
      </c>
      <c r="AJ8" s="30">
        <f t="shared" si="4"/>
        <v>12</v>
      </c>
      <c r="AK8" s="30">
        <f t="shared" si="4"/>
        <v>28</v>
      </c>
      <c r="AL8" s="30">
        <f t="shared" si="4"/>
        <v>2</v>
      </c>
      <c r="AM8" s="30">
        <f t="shared" si="4"/>
        <v>9</v>
      </c>
      <c r="AN8" s="30">
        <f t="shared" si="4"/>
        <v>6</v>
      </c>
      <c r="AO8" s="30">
        <f t="shared" si="4"/>
        <v>9</v>
      </c>
      <c r="AP8" s="30">
        <f t="shared" si="4"/>
        <v>6</v>
      </c>
      <c r="AQ8" s="30">
        <f>AR9-AQ9+3</f>
        <v>6</v>
      </c>
      <c r="AS8" s="31">
        <f>AVERAGE(AO8:AQ8)</f>
        <v>7</v>
      </c>
      <c r="AT8" s="31">
        <f>AVERAGE(M8:S8)</f>
        <v>9.4285714285714288</v>
      </c>
      <c r="AV8" s="32"/>
    </row>
    <row r="9" spans="2:50" x14ac:dyDescent="0.25">
      <c r="B9" t="s">
        <v>22</v>
      </c>
      <c r="M9">
        <v>62</v>
      </c>
      <c r="N9">
        <v>75</v>
      </c>
      <c r="O9">
        <v>85</v>
      </c>
      <c r="P9">
        <v>98</v>
      </c>
      <c r="Q9">
        <v>110</v>
      </c>
      <c r="R9">
        <v>121</v>
      </c>
      <c r="S9">
        <v>126</v>
      </c>
      <c r="T9">
        <v>128</v>
      </c>
      <c r="U9">
        <v>143</v>
      </c>
      <c r="V9">
        <v>156</v>
      </c>
      <c r="W9">
        <v>160</v>
      </c>
      <c r="X9">
        <v>172</v>
      </c>
      <c r="Y9">
        <v>183</v>
      </c>
      <c r="Z9">
        <v>201</v>
      </c>
      <c r="AA9">
        <v>216</v>
      </c>
      <c r="AB9">
        <v>230</v>
      </c>
      <c r="AC9">
        <v>255</v>
      </c>
      <c r="AD9">
        <v>257</v>
      </c>
      <c r="AE9">
        <v>261</v>
      </c>
      <c r="AF9">
        <v>271</v>
      </c>
      <c r="AG9">
        <v>289</v>
      </c>
      <c r="AH9">
        <v>309</v>
      </c>
      <c r="AI9">
        <v>321</v>
      </c>
      <c r="AJ9">
        <v>341</v>
      </c>
      <c r="AK9">
        <v>353</v>
      </c>
      <c r="AL9">
        <v>381</v>
      </c>
      <c r="AM9">
        <v>383</v>
      </c>
      <c r="AN9">
        <v>392</v>
      </c>
      <c r="AO9">
        <v>398</v>
      </c>
      <c r="AP9">
        <v>407</v>
      </c>
      <c r="AQ9">
        <v>413</v>
      </c>
      <c r="AR9">
        <v>416</v>
      </c>
      <c r="AV9" s="19">
        <v>183</v>
      </c>
      <c r="AW9">
        <v>289</v>
      </c>
      <c r="AX9">
        <f>AG9/AW9</f>
        <v>1</v>
      </c>
    </row>
    <row r="10" spans="2:50" x14ac:dyDescent="0.25">
      <c r="B10" t="s">
        <v>53</v>
      </c>
      <c r="M10">
        <v>111</v>
      </c>
      <c r="N10">
        <v>119</v>
      </c>
      <c r="O10">
        <v>124</v>
      </c>
      <c r="P10">
        <v>139</v>
      </c>
      <c r="Q10">
        <v>144</v>
      </c>
      <c r="U10">
        <v>145</v>
      </c>
      <c r="X10">
        <v>170</v>
      </c>
      <c r="AA10">
        <v>180</v>
      </c>
      <c r="AB10">
        <v>181</v>
      </c>
      <c r="AC10">
        <v>189</v>
      </c>
      <c r="AD10">
        <v>202</v>
      </c>
      <c r="AE10">
        <v>204</v>
      </c>
      <c r="AH10">
        <v>208</v>
      </c>
      <c r="AI10">
        <v>214</v>
      </c>
      <c r="AJ10">
        <v>216</v>
      </c>
      <c r="AK10">
        <v>217</v>
      </c>
      <c r="AM10">
        <v>221</v>
      </c>
      <c r="AN10">
        <v>226</v>
      </c>
      <c r="AP10">
        <v>227</v>
      </c>
      <c r="AV10" s="19">
        <f>125+22</f>
        <v>147</v>
      </c>
      <c r="AW10">
        <f>163+45</f>
        <v>208</v>
      </c>
      <c r="AX10">
        <f t="shared" ref="AX10:AX16" si="5">AG10/AW10</f>
        <v>0</v>
      </c>
    </row>
    <row r="11" spans="2:50" s="30" customFormat="1" x14ac:dyDescent="0.25">
      <c r="M11" s="30">
        <f t="shared" ref="M11:AB11" si="6">N12-M12</f>
        <v>49</v>
      </c>
      <c r="N11" s="30">
        <f t="shared" si="6"/>
        <v>39</v>
      </c>
      <c r="O11" s="30">
        <f t="shared" si="6"/>
        <v>108</v>
      </c>
      <c r="P11" s="30">
        <f t="shared" si="6"/>
        <v>33</v>
      </c>
      <c r="Q11" s="30">
        <f t="shared" si="6"/>
        <v>60</v>
      </c>
      <c r="R11" s="30">
        <f t="shared" si="6"/>
        <v>92</v>
      </c>
      <c r="S11" s="30">
        <f t="shared" si="6"/>
        <v>35</v>
      </c>
      <c r="T11" s="30">
        <f t="shared" si="6"/>
        <v>73</v>
      </c>
      <c r="U11" s="30">
        <f t="shared" si="6"/>
        <v>39</v>
      </c>
      <c r="V11" s="30">
        <f t="shared" si="6"/>
        <v>47</v>
      </c>
      <c r="W11" s="30">
        <f t="shared" si="6"/>
        <v>26</v>
      </c>
      <c r="X11" s="30">
        <f t="shared" si="6"/>
        <v>27</v>
      </c>
      <c r="Y11" s="30">
        <f t="shared" si="6"/>
        <v>37</v>
      </c>
      <c r="Z11" s="30">
        <f t="shared" si="6"/>
        <v>42</v>
      </c>
      <c r="AA11" s="30">
        <f t="shared" si="6"/>
        <v>43</v>
      </c>
      <c r="AB11" s="30">
        <f t="shared" si="6"/>
        <v>36</v>
      </c>
      <c r="AC11" s="30">
        <f t="shared" ref="AC11" si="7">AD12-AC12</f>
        <v>8</v>
      </c>
      <c r="AD11" s="30">
        <f t="shared" ref="AD11:AK11" si="8">AE12-AD12</f>
        <v>15</v>
      </c>
      <c r="AE11" s="30">
        <f t="shared" si="8"/>
        <v>40</v>
      </c>
      <c r="AF11" s="30">
        <f t="shared" si="8"/>
        <v>29</v>
      </c>
      <c r="AG11" s="30">
        <f t="shared" si="8"/>
        <v>65</v>
      </c>
      <c r="AH11" s="30">
        <f t="shared" si="8"/>
        <v>31</v>
      </c>
      <c r="AI11" s="30">
        <f t="shared" si="8"/>
        <v>63</v>
      </c>
      <c r="AJ11" s="30">
        <f t="shared" si="8"/>
        <v>24</v>
      </c>
      <c r="AK11" s="30">
        <f t="shared" si="8"/>
        <v>43</v>
      </c>
      <c r="AL11" s="30">
        <f>AM12-AL12</f>
        <v>21</v>
      </c>
      <c r="AM11" s="30">
        <f t="shared" ref="AM11:AO15" si="9">AN12-AM12</f>
        <v>33</v>
      </c>
      <c r="AN11" s="30">
        <f t="shared" si="9"/>
        <v>33</v>
      </c>
      <c r="AO11" s="30">
        <f t="shared" si="9"/>
        <v>12</v>
      </c>
      <c r="AP11" s="30">
        <f t="shared" ref="AP11:AQ11" si="10">AQ12-AP12</f>
        <v>6</v>
      </c>
      <c r="AQ11" s="30">
        <f>AR12-AQ12+3</f>
        <v>19</v>
      </c>
      <c r="AS11" s="31">
        <f>AVERAGE(AO11:AQ11)</f>
        <v>12.333333333333334</v>
      </c>
      <c r="AT11" s="31">
        <f>AVERAGE(M11:S11)</f>
        <v>59.428571428571431</v>
      </c>
      <c r="AU11" s="33">
        <f>1-AS11/AT11</f>
        <v>0.79246794871794868</v>
      </c>
      <c r="AV11" s="32"/>
    </row>
    <row r="12" spans="2:50" x14ac:dyDescent="0.25">
      <c r="B12" t="s">
        <v>35</v>
      </c>
      <c r="M12">
        <v>778</v>
      </c>
      <c r="N12">
        <v>827</v>
      </c>
      <c r="O12">
        <v>866</v>
      </c>
      <c r="P12">
        <v>974</v>
      </c>
      <c r="Q12">
        <v>1007</v>
      </c>
      <c r="R12">
        <v>1067</v>
      </c>
      <c r="S12">
        <v>1159</v>
      </c>
      <c r="T12">
        <v>1194</v>
      </c>
      <c r="U12">
        <v>1267</v>
      </c>
      <c r="V12">
        <v>1306</v>
      </c>
      <c r="W12">
        <v>1353</v>
      </c>
      <c r="X12">
        <v>1379</v>
      </c>
      <c r="Y12">
        <v>1406</v>
      </c>
      <c r="Z12">
        <v>1443</v>
      </c>
      <c r="AA12">
        <v>1485</v>
      </c>
      <c r="AB12">
        <v>1528</v>
      </c>
      <c r="AC12">
        <v>1564</v>
      </c>
      <c r="AD12">
        <v>1572</v>
      </c>
      <c r="AE12">
        <v>1587</v>
      </c>
      <c r="AF12">
        <v>1627</v>
      </c>
      <c r="AG12">
        <v>1656</v>
      </c>
      <c r="AH12">
        <v>1721</v>
      </c>
      <c r="AI12">
        <v>1752</v>
      </c>
      <c r="AJ12">
        <v>1815</v>
      </c>
      <c r="AK12">
        <v>1839</v>
      </c>
      <c r="AL12">
        <v>1882</v>
      </c>
      <c r="AM12">
        <v>1903</v>
      </c>
      <c r="AN12">
        <v>1936</v>
      </c>
      <c r="AO12">
        <v>1969</v>
      </c>
      <c r="AP12">
        <v>1981</v>
      </c>
      <c r="AQ12">
        <v>1987</v>
      </c>
      <c r="AR12">
        <v>2003</v>
      </c>
      <c r="AV12" s="19">
        <f>458+976+2*1+41*1+12*1</f>
        <v>1489</v>
      </c>
      <c r="AW12">
        <v>1764</v>
      </c>
      <c r="AX12">
        <f t="shared" si="5"/>
        <v>0.93877551020408168</v>
      </c>
    </row>
    <row r="13" spans="2:50" s="30" customFormat="1" x14ac:dyDescent="0.25">
      <c r="M13" s="30">
        <f t="shared" ref="M13:AB13" si="11">N14-M14</f>
        <v>7</v>
      </c>
      <c r="N13" s="30">
        <f t="shared" si="11"/>
        <v>7</v>
      </c>
      <c r="O13" s="30">
        <f t="shared" si="11"/>
        <v>13</v>
      </c>
      <c r="P13" s="30">
        <f t="shared" si="11"/>
        <v>5</v>
      </c>
      <c r="Q13" s="30">
        <f t="shared" si="11"/>
        <v>5</v>
      </c>
      <c r="R13" s="30">
        <f t="shared" si="11"/>
        <v>4</v>
      </c>
      <c r="S13" s="30">
        <f t="shared" si="11"/>
        <v>3</v>
      </c>
      <c r="T13" s="30">
        <f t="shared" si="11"/>
        <v>3</v>
      </c>
      <c r="U13" s="30">
        <f t="shared" si="11"/>
        <v>3</v>
      </c>
      <c r="V13" s="30">
        <f t="shared" si="11"/>
        <v>2</v>
      </c>
      <c r="W13" s="30">
        <f t="shared" si="11"/>
        <v>4</v>
      </c>
      <c r="X13" s="30">
        <f t="shared" si="11"/>
        <v>5</v>
      </c>
      <c r="Y13" s="30">
        <f t="shared" si="11"/>
        <v>9</v>
      </c>
      <c r="Z13" s="30">
        <f t="shared" si="11"/>
        <v>4</v>
      </c>
      <c r="AA13" s="30">
        <f t="shared" si="11"/>
        <v>3</v>
      </c>
      <c r="AB13" s="30">
        <f t="shared" si="11"/>
        <v>4</v>
      </c>
      <c r="AC13" s="30">
        <f t="shared" ref="AC13" si="12">AD14-AC14</f>
        <v>2</v>
      </c>
      <c r="AD13" s="30">
        <f t="shared" ref="AD13:AM13" si="13">AE14-AD14</f>
        <v>3</v>
      </c>
      <c r="AE13" s="30">
        <f t="shared" si="13"/>
        <v>4</v>
      </c>
      <c r="AF13" s="30">
        <f t="shared" si="13"/>
        <v>2</v>
      </c>
      <c r="AG13" s="30">
        <f t="shared" si="13"/>
        <v>3</v>
      </c>
      <c r="AH13" s="30">
        <f t="shared" si="13"/>
        <v>12</v>
      </c>
      <c r="AI13" s="30">
        <f t="shared" si="13"/>
        <v>11</v>
      </c>
      <c r="AJ13" s="30">
        <f t="shared" si="13"/>
        <v>7</v>
      </c>
      <c r="AK13" s="30">
        <f t="shared" si="13"/>
        <v>1</v>
      </c>
      <c r="AL13" s="30">
        <f t="shared" si="13"/>
        <v>4</v>
      </c>
      <c r="AM13" s="30">
        <f t="shared" si="13"/>
        <v>4</v>
      </c>
      <c r="AN13" s="30">
        <f t="shared" si="9"/>
        <v>3</v>
      </c>
      <c r="AO13" s="30">
        <f t="shared" si="9"/>
        <v>1</v>
      </c>
      <c r="AP13" s="30">
        <f t="shared" ref="AP13:AQ13" si="14">AQ14-AP14</f>
        <v>3</v>
      </c>
      <c r="AQ13" s="30">
        <f>AR14-AQ14+1</f>
        <v>3</v>
      </c>
      <c r="AS13" s="31">
        <f>AVERAGE(AO13:AQ13)</f>
        <v>2.3333333333333335</v>
      </c>
      <c r="AT13" s="31">
        <f>AVERAGE(M13:S13)</f>
        <v>6.2857142857142856</v>
      </c>
      <c r="AU13" s="33">
        <f>1-AS13/AT13</f>
        <v>0.62878787878787878</v>
      </c>
      <c r="AV13" s="32"/>
    </row>
    <row r="14" spans="2:50" x14ac:dyDescent="0.25">
      <c r="B14" t="s">
        <v>54</v>
      </c>
      <c r="M14">
        <v>77</v>
      </c>
      <c r="N14">
        <v>84</v>
      </c>
      <c r="O14">
        <v>91</v>
      </c>
      <c r="P14">
        <v>104</v>
      </c>
      <c r="Q14">
        <v>109</v>
      </c>
      <c r="R14">
        <v>114</v>
      </c>
      <c r="S14">
        <v>118</v>
      </c>
      <c r="T14">
        <v>121</v>
      </c>
      <c r="U14">
        <v>124</v>
      </c>
      <c r="V14">
        <v>127</v>
      </c>
      <c r="W14">
        <v>129</v>
      </c>
      <c r="X14">
        <v>133</v>
      </c>
      <c r="Y14">
        <v>138</v>
      </c>
      <c r="Z14">
        <v>147</v>
      </c>
      <c r="AA14">
        <v>151</v>
      </c>
      <c r="AB14">
        <v>154</v>
      </c>
      <c r="AC14">
        <v>158</v>
      </c>
      <c r="AD14">
        <v>160</v>
      </c>
      <c r="AE14">
        <v>163</v>
      </c>
      <c r="AF14">
        <v>167</v>
      </c>
      <c r="AG14">
        <v>169</v>
      </c>
      <c r="AH14">
        <v>172</v>
      </c>
      <c r="AI14">
        <v>184</v>
      </c>
      <c r="AJ14">
        <v>195</v>
      </c>
      <c r="AK14">
        <v>202</v>
      </c>
      <c r="AL14">
        <v>203</v>
      </c>
      <c r="AM14">
        <v>207</v>
      </c>
      <c r="AN14">
        <v>211</v>
      </c>
      <c r="AO14">
        <v>214</v>
      </c>
      <c r="AP14">
        <v>215</v>
      </c>
      <c r="AQ14">
        <v>218</v>
      </c>
      <c r="AR14">
        <v>220</v>
      </c>
      <c r="AV14" s="19">
        <v>138</v>
      </c>
      <c r="AW14">
        <v>169</v>
      </c>
      <c r="AX14">
        <f t="shared" si="5"/>
        <v>1</v>
      </c>
    </row>
    <row r="15" spans="2:50" s="30" customFormat="1" x14ac:dyDescent="0.25">
      <c r="M15" s="30">
        <f t="shared" ref="M15:AB15" si="15">N16-M16</f>
        <v>25</v>
      </c>
      <c r="N15" s="30">
        <f t="shared" si="15"/>
        <v>13</v>
      </c>
      <c r="O15" s="30">
        <f t="shared" si="15"/>
        <v>42</v>
      </c>
      <c r="P15" s="30">
        <f t="shared" si="15"/>
        <v>15</v>
      </c>
      <c r="Q15" s="30">
        <f t="shared" si="15"/>
        <v>38</v>
      </c>
      <c r="R15" s="30">
        <f t="shared" si="15"/>
        <v>24</v>
      </c>
      <c r="S15" s="30">
        <f t="shared" si="15"/>
        <v>7</v>
      </c>
      <c r="T15" s="30">
        <f t="shared" si="15"/>
        <v>14</v>
      </c>
      <c r="U15" s="30">
        <f t="shared" si="15"/>
        <v>14</v>
      </c>
      <c r="V15" s="30">
        <f t="shared" si="15"/>
        <v>22</v>
      </c>
      <c r="W15" s="30">
        <f t="shared" si="15"/>
        <v>21</v>
      </c>
      <c r="X15" s="30">
        <f t="shared" si="15"/>
        <v>21</v>
      </c>
      <c r="Y15" s="30">
        <f t="shared" si="15"/>
        <v>29</v>
      </c>
      <c r="Z15" s="30">
        <f t="shared" si="15"/>
        <v>19</v>
      </c>
      <c r="AA15" s="30">
        <f t="shared" si="15"/>
        <v>19</v>
      </c>
      <c r="AB15" s="30">
        <f t="shared" si="15"/>
        <v>25</v>
      </c>
      <c r="AC15" s="30">
        <f t="shared" ref="AC15" si="16">AD16-AC16</f>
        <v>6</v>
      </c>
      <c r="AD15" s="30">
        <f t="shared" ref="AD15:AM15" si="17">AE16-AD16</f>
        <v>3</v>
      </c>
      <c r="AE15" s="30">
        <f t="shared" si="17"/>
        <v>33</v>
      </c>
      <c r="AF15" s="30">
        <f t="shared" si="17"/>
        <v>15</v>
      </c>
      <c r="AG15" s="30">
        <f t="shared" si="17"/>
        <v>37</v>
      </c>
      <c r="AH15" s="30">
        <f t="shared" si="17"/>
        <v>13</v>
      </c>
      <c r="AI15" s="30">
        <f t="shared" si="17"/>
        <v>28</v>
      </c>
      <c r="AJ15" s="30">
        <f t="shared" si="17"/>
        <v>11</v>
      </c>
      <c r="AK15" s="30">
        <f t="shared" si="17"/>
        <v>13</v>
      </c>
      <c r="AL15" s="30">
        <f t="shared" si="17"/>
        <v>19</v>
      </c>
      <c r="AM15" s="30">
        <f t="shared" si="17"/>
        <v>28</v>
      </c>
      <c r="AN15" s="30">
        <f t="shared" si="9"/>
        <v>19</v>
      </c>
      <c r="AO15" s="30">
        <f t="shared" si="9"/>
        <v>2</v>
      </c>
      <c r="AP15" s="30">
        <f t="shared" ref="AP15:AQ15" si="18">AQ16-AP16</f>
        <v>12</v>
      </c>
      <c r="AQ15" s="30">
        <f>AR16-AQ16+6</f>
        <v>9</v>
      </c>
      <c r="AS15" s="31">
        <f>AVERAGE(AO15:AQ15)</f>
        <v>7.666666666666667</v>
      </c>
      <c r="AT15" s="31">
        <f>AVERAGE(M15:S15)</f>
        <v>23.428571428571427</v>
      </c>
      <c r="AU15" s="33">
        <f>1-AS15/AT15</f>
        <v>0.67276422764227639</v>
      </c>
      <c r="AV15" s="32"/>
    </row>
    <row r="16" spans="2:50" x14ac:dyDescent="0.25">
      <c r="B16" t="s">
        <v>55</v>
      </c>
      <c r="M16">
        <v>279</v>
      </c>
      <c r="N16">
        <v>304</v>
      </c>
      <c r="O16">
        <v>317</v>
      </c>
      <c r="P16">
        <v>359</v>
      </c>
      <c r="Q16">
        <v>374</v>
      </c>
      <c r="R16">
        <v>412</v>
      </c>
      <c r="S16">
        <v>436</v>
      </c>
      <c r="T16">
        <v>443</v>
      </c>
      <c r="U16">
        <v>457</v>
      </c>
      <c r="V16">
        <v>471</v>
      </c>
      <c r="W16">
        <v>493</v>
      </c>
      <c r="X16">
        <v>514</v>
      </c>
      <c r="Y16">
        <v>535</v>
      </c>
      <c r="Z16">
        <v>564</v>
      </c>
      <c r="AA16">
        <v>583</v>
      </c>
      <c r="AB16">
        <v>602</v>
      </c>
      <c r="AC16">
        <v>627</v>
      </c>
      <c r="AD16">
        <v>633</v>
      </c>
      <c r="AE16">
        <v>636</v>
      </c>
      <c r="AF16">
        <v>669</v>
      </c>
      <c r="AG16">
        <v>684</v>
      </c>
      <c r="AH16">
        <v>721</v>
      </c>
      <c r="AI16">
        <v>734</v>
      </c>
      <c r="AJ16">
        <v>762</v>
      </c>
      <c r="AK16">
        <v>773</v>
      </c>
      <c r="AL16">
        <v>786</v>
      </c>
      <c r="AM16">
        <v>805</v>
      </c>
      <c r="AN16">
        <v>833</v>
      </c>
      <c r="AO16">
        <v>852</v>
      </c>
      <c r="AP16">
        <v>854</v>
      </c>
      <c r="AQ16">
        <v>866</v>
      </c>
      <c r="AR16">
        <v>869</v>
      </c>
      <c r="AV16" s="19">
        <f>541+17*1+9*1</f>
        <v>567</v>
      </c>
      <c r="AW16">
        <v>712</v>
      </c>
      <c r="AX16">
        <f t="shared" si="5"/>
        <v>0.9606741573033708</v>
      </c>
    </row>
    <row r="18" spans="13:46" x14ac:dyDescent="0.25">
      <c r="M18">
        <f>M11+M13+M15</f>
        <v>81</v>
      </c>
      <c r="N18">
        <f t="shared" ref="N18:AQ18" si="19">N11+N13+N15</f>
        <v>59</v>
      </c>
      <c r="O18">
        <f t="shared" si="19"/>
        <v>163</v>
      </c>
      <c r="P18">
        <f t="shared" si="19"/>
        <v>53</v>
      </c>
      <c r="Q18">
        <f t="shared" si="19"/>
        <v>103</v>
      </c>
      <c r="R18">
        <f t="shared" si="19"/>
        <v>120</v>
      </c>
      <c r="S18">
        <f t="shared" si="19"/>
        <v>45</v>
      </c>
      <c r="T18">
        <f t="shared" si="19"/>
        <v>90</v>
      </c>
      <c r="U18">
        <f t="shared" si="19"/>
        <v>56</v>
      </c>
      <c r="V18">
        <f t="shared" si="19"/>
        <v>71</v>
      </c>
      <c r="W18">
        <f t="shared" si="19"/>
        <v>51</v>
      </c>
      <c r="X18">
        <f t="shared" si="19"/>
        <v>53</v>
      </c>
      <c r="Y18">
        <f t="shared" si="19"/>
        <v>75</v>
      </c>
      <c r="Z18">
        <f t="shared" si="19"/>
        <v>65</v>
      </c>
      <c r="AA18">
        <f t="shared" si="19"/>
        <v>65</v>
      </c>
      <c r="AB18">
        <f t="shared" si="19"/>
        <v>65</v>
      </c>
      <c r="AC18">
        <f t="shared" si="19"/>
        <v>16</v>
      </c>
      <c r="AD18">
        <f t="shared" si="19"/>
        <v>21</v>
      </c>
      <c r="AE18">
        <f t="shared" si="19"/>
        <v>77</v>
      </c>
      <c r="AF18">
        <f t="shared" si="19"/>
        <v>46</v>
      </c>
      <c r="AG18">
        <f t="shared" si="19"/>
        <v>105</v>
      </c>
      <c r="AH18">
        <f t="shared" si="19"/>
        <v>56</v>
      </c>
      <c r="AI18">
        <f t="shared" si="19"/>
        <v>102</v>
      </c>
      <c r="AJ18">
        <f t="shared" si="19"/>
        <v>42</v>
      </c>
      <c r="AK18">
        <f t="shared" si="19"/>
        <v>57</v>
      </c>
      <c r="AL18">
        <f t="shared" si="19"/>
        <v>44</v>
      </c>
      <c r="AM18">
        <f t="shared" si="19"/>
        <v>65</v>
      </c>
      <c r="AN18">
        <f t="shared" si="19"/>
        <v>55</v>
      </c>
      <c r="AO18">
        <f t="shared" si="19"/>
        <v>15</v>
      </c>
      <c r="AP18">
        <f t="shared" si="19"/>
        <v>21</v>
      </c>
      <c r="AQ18">
        <f t="shared" si="19"/>
        <v>31</v>
      </c>
      <c r="AS18" s="31">
        <f>AVERAGE(AO18:AQ18)</f>
        <v>22.333333333333332</v>
      </c>
      <c r="AT18" s="31">
        <f>AVERAGE(M18:S18)</f>
        <v>89.142857142857139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7" sqref="C7"/>
    </sheetView>
  </sheetViews>
  <sheetFormatPr defaultRowHeight="15" x14ac:dyDescent="0.25"/>
  <sheetData>
    <row r="2" spans="2:3" x14ac:dyDescent="0.25">
      <c r="B2" t="s">
        <v>68</v>
      </c>
      <c r="C2">
        <v>240</v>
      </c>
    </row>
    <row r="3" spans="2:3" x14ac:dyDescent="0.25">
      <c r="B3" t="s">
        <v>69</v>
      </c>
      <c r="C3">
        <v>80</v>
      </c>
    </row>
    <row r="4" spans="2:3" x14ac:dyDescent="0.25">
      <c r="B4" t="s">
        <v>70</v>
      </c>
      <c r="C4">
        <v>60</v>
      </c>
    </row>
    <row r="5" spans="2:3" x14ac:dyDescent="0.25">
      <c r="B5" t="s">
        <v>71</v>
      </c>
      <c r="C5">
        <v>60</v>
      </c>
    </row>
    <row r="6" spans="2:3" x14ac:dyDescent="0.25">
      <c r="B6" t="s">
        <v>72</v>
      </c>
      <c r="C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"/>
  <sheetViews>
    <sheetView workbookViewId="0">
      <selection activeCell="E2" sqref="E2:F2"/>
    </sheetView>
  </sheetViews>
  <sheetFormatPr defaultRowHeight="15" x14ac:dyDescent="0.25"/>
  <cols>
    <col min="3" max="3" width="0" hidden="1" customWidth="1"/>
  </cols>
  <sheetData>
    <row r="1" spans="2:13" x14ac:dyDescent="0.25"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</row>
    <row r="2" spans="2:13" x14ac:dyDescent="0.25">
      <c r="B2" t="s">
        <v>61</v>
      </c>
      <c r="C2">
        <v>4572</v>
      </c>
      <c r="D2">
        <f>SUM(E2:M2)</f>
        <v>3462</v>
      </c>
      <c r="E2">
        <v>547</v>
      </c>
      <c r="F2">
        <v>1297</v>
      </c>
      <c r="G2">
        <v>502</v>
      </c>
      <c r="H2">
        <v>463</v>
      </c>
      <c r="I2">
        <v>263</v>
      </c>
      <c r="J2">
        <v>174</v>
      </c>
      <c r="K2">
        <v>105</v>
      </c>
      <c r="L2">
        <v>57</v>
      </c>
      <c r="M2">
        <v>54</v>
      </c>
    </row>
    <row r="3" spans="2:13" x14ac:dyDescent="0.25">
      <c r="B3" t="s">
        <v>62</v>
      </c>
      <c r="D3">
        <v>11</v>
      </c>
    </row>
    <row r="4" spans="2:13" x14ac:dyDescent="0.25">
      <c r="B4" t="s">
        <v>37</v>
      </c>
      <c r="D4">
        <v>51</v>
      </c>
    </row>
    <row r="5" spans="2:13" x14ac:dyDescent="0.25">
      <c r="B5" t="s">
        <v>63</v>
      </c>
      <c r="D5">
        <v>6</v>
      </c>
    </row>
    <row r="6" spans="2:13" x14ac:dyDescent="0.25">
      <c r="B6" t="s">
        <v>64</v>
      </c>
      <c r="D6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zoomScale="145" zoomScaleNormal="145" workbookViewId="0">
      <selection activeCell="C4" sqref="C4"/>
    </sheetView>
  </sheetViews>
  <sheetFormatPr defaultRowHeight="15" x14ac:dyDescent="0.25"/>
  <cols>
    <col min="2" max="2" width="15.85546875" bestFit="1" customWidth="1"/>
  </cols>
  <sheetData>
    <row r="1" spans="2:4" x14ac:dyDescent="0.25">
      <c r="C1" t="s">
        <v>46</v>
      </c>
    </row>
    <row r="2" spans="2:4" x14ac:dyDescent="0.25">
      <c r="B2" s="1" t="s">
        <v>45</v>
      </c>
      <c r="C2" s="1">
        <v>65</v>
      </c>
    </row>
    <row r="3" spans="2:4" x14ac:dyDescent="0.25">
      <c r="B3" s="1" t="s">
        <v>50</v>
      </c>
      <c r="C3" s="1">
        <v>15</v>
      </c>
    </row>
    <row r="4" spans="2:4" x14ac:dyDescent="0.25">
      <c r="B4" s="1" t="s">
        <v>47</v>
      </c>
      <c r="C4" s="1">
        <v>25</v>
      </c>
    </row>
    <row r="5" spans="2:4" x14ac:dyDescent="0.25">
      <c r="B5" s="1" t="s">
        <v>48</v>
      </c>
      <c r="C5" s="1">
        <v>15</v>
      </c>
      <c r="D5" s="14">
        <f>C5/C4</f>
        <v>0.6</v>
      </c>
    </row>
    <row r="6" spans="2:4" x14ac:dyDescent="0.25">
      <c r="B6" s="1" t="s">
        <v>49</v>
      </c>
      <c r="C6" s="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workbookViewId="0">
      <selection activeCell="I7" sqref="I7"/>
    </sheetView>
  </sheetViews>
  <sheetFormatPr defaultRowHeight="15" x14ac:dyDescent="0.25"/>
  <cols>
    <col min="2" max="2" width="16.140625" bestFit="1" customWidth="1"/>
    <col min="3" max="3" width="16.140625" customWidth="1"/>
    <col min="4" max="4" width="16.140625" bestFit="1" customWidth="1"/>
    <col min="5" max="6" width="16.140625" customWidth="1"/>
  </cols>
  <sheetData>
    <row r="2" spans="2:13" x14ac:dyDescent="0.25">
      <c r="D2" t="s">
        <v>29</v>
      </c>
    </row>
    <row r="3" spans="2:13" x14ac:dyDescent="0.25">
      <c r="D3">
        <v>2003</v>
      </c>
      <c r="E3">
        <v>2004</v>
      </c>
      <c r="F3">
        <v>2005</v>
      </c>
      <c r="G3">
        <v>2006</v>
      </c>
      <c r="H3">
        <v>2007</v>
      </c>
      <c r="I3">
        <v>2008</v>
      </c>
      <c r="J3">
        <v>2009</v>
      </c>
      <c r="M3" t="s">
        <v>41</v>
      </c>
    </row>
    <row r="4" spans="2:13" x14ac:dyDescent="0.25">
      <c r="B4" t="s">
        <v>30</v>
      </c>
      <c r="D4">
        <v>486</v>
      </c>
      <c r="E4">
        <v>849</v>
      </c>
      <c r="F4">
        <v>846</v>
      </c>
      <c r="G4">
        <v>823</v>
      </c>
      <c r="H4">
        <v>904</v>
      </c>
      <c r="I4">
        <v>314</v>
      </c>
      <c r="L4">
        <f>SUM(D4:K4)</f>
        <v>4222</v>
      </c>
      <c r="M4">
        <f>L4*2.5</f>
        <v>10555</v>
      </c>
    </row>
    <row r="5" spans="2:13" x14ac:dyDescent="0.25">
      <c r="B5" t="s">
        <v>31</v>
      </c>
      <c r="G5">
        <f>G6-F6</f>
        <v>119</v>
      </c>
      <c r="H5">
        <f>H6-G6</f>
        <v>148</v>
      </c>
    </row>
    <row r="6" spans="2:13" x14ac:dyDescent="0.25">
      <c r="F6">
        <v>650</v>
      </c>
      <c r="G6">
        <v>769</v>
      </c>
      <c r="H6">
        <v>917</v>
      </c>
    </row>
    <row r="8" spans="2:13" x14ac:dyDescent="0.25">
      <c r="C8" s="1" t="s">
        <v>32</v>
      </c>
      <c r="D8" s="1" t="s">
        <v>34</v>
      </c>
      <c r="E8" s="1"/>
      <c r="F8" s="1" t="s">
        <v>33</v>
      </c>
      <c r="G8" s="1" t="s">
        <v>34</v>
      </c>
      <c r="H8" s="1"/>
      <c r="J8" s="1" t="s">
        <v>39</v>
      </c>
      <c r="K8" s="1" t="s">
        <v>40</v>
      </c>
    </row>
    <row r="9" spans="2:13" x14ac:dyDescent="0.25">
      <c r="B9" t="s">
        <v>38</v>
      </c>
      <c r="C9" s="1">
        <v>250</v>
      </c>
      <c r="D9" s="1">
        <v>0.17199999999999999</v>
      </c>
      <c r="E9" s="18">
        <f>D9/C9</f>
        <v>6.8799999999999992E-4</v>
      </c>
      <c r="F9" s="1">
        <v>350</v>
      </c>
      <c r="G9" s="1">
        <v>9.1999999999999993</v>
      </c>
      <c r="H9" s="18">
        <f>G9/F9</f>
        <v>2.6285714285714284E-2</v>
      </c>
      <c r="I9">
        <f>G9/D9</f>
        <v>53.488372093023258</v>
      </c>
      <c r="J9" s="1"/>
      <c r="K9" s="1"/>
    </row>
    <row r="10" spans="2:13" x14ac:dyDescent="0.25">
      <c r="C10" s="1"/>
      <c r="D10" s="1"/>
      <c r="E10" s="1"/>
      <c r="F10" s="1"/>
      <c r="G10" s="1"/>
      <c r="H10" s="1"/>
      <c r="J10" s="1"/>
      <c r="K10" s="1"/>
    </row>
    <row r="11" spans="2:13" x14ac:dyDescent="0.25">
      <c r="B11" t="s">
        <v>43</v>
      </c>
      <c r="C11" s="1"/>
      <c r="D11" s="1">
        <f>802+153</f>
        <v>955</v>
      </c>
      <c r="E11" s="1"/>
      <c r="F11" s="1"/>
      <c r="G11" s="1"/>
      <c r="H11" s="1"/>
      <c r="J11" s="1"/>
      <c r="K11" s="1"/>
    </row>
    <row r="12" spans="2:13" x14ac:dyDescent="0.25">
      <c r="B12" t="s">
        <v>35</v>
      </c>
      <c r="C12" s="1">
        <v>760</v>
      </c>
      <c r="D12" s="1">
        <v>74</v>
      </c>
      <c r="E12" s="10">
        <f>D12/C12</f>
        <v>9.7368421052631576E-2</v>
      </c>
      <c r="F12" s="1">
        <v>2200</v>
      </c>
      <c r="G12" s="1">
        <v>847</v>
      </c>
      <c r="H12" s="10">
        <f>G12/F12</f>
        <v>0.38500000000000001</v>
      </c>
      <c r="I12">
        <f>G12/D12</f>
        <v>11.445945945945946</v>
      </c>
      <c r="J12" s="1">
        <v>20</v>
      </c>
      <c r="K12" s="1">
        <v>530</v>
      </c>
    </row>
    <row r="13" spans="2:13" x14ac:dyDescent="0.25">
      <c r="B13" t="s">
        <v>20</v>
      </c>
      <c r="C13" s="1">
        <v>1200</v>
      </c>
      <c r="D13" s="1">
        <v>168</v>
      </c>
      <c r="E13" s="10">
        <f t="shared" ref="E13:E16" si="0">D13/C13</f>
        <v>0.14000000000000001</v>
      </c>
      <c r="F13" s="1">
        <v>2400</v>
      </c>
      <c r="G13" s="1">
        <v>777</v>
      </c>
      <c r="H13" s="10">
        <f>G13/F13</f>
        <v>0.32374999999999998</v>
      </c>
      <c r="I13">
        <f t="shared" ref="I13:I14" si="1">G13/D13</f>
        <v>4.625</v>
      </c>
      <c r="J13" s="1">
        <v>190</v>
      </c>
      <c r="K13" s="1">
        <f>700+160+220</f>
        <v>1080</v>
      </c>
    </row>
    <row r="14" spans="2:13" x14ac:dyDescent="0.25">
      <c r="B14" t="s">
        <v>42</v>
      </c>
      <c r="C14" s="1">
        <v>900</v>
      </c>
      <c r="D14" s="1">
        <f>C14*0.13</f>
        <v>117</v>
      </c>
      <c r="E14" s="10">
        <f t="shared" si="0"/>
        <v>0.13</v>
      </c>
      <c r="F14" s="1">
        <v>4000</v>
      </c>
      <c r="G14" s="1">
        <f>F14*0.35</f>
        <v>1400</v>
      </c>
      <c r="H14" s="10">
        <f>G14/F14</f>
        <v>0.35</v>
      </c>
      <c r="I14">
        <f t="shared" si="1"/>
        <v>11.965811965811966</v>
      </c>
      <c r="J14" s="1"/>
      <c r="K14" s="1"/>
    </row>
    <row r="15" spans="2:13" x14ac:dyDescent="0.25">
      <c r="B15" t="s">
        <v>36</v>
      </c>
      <c r="C15" s="1">
        <v>786</v>
      </c>
      <c r="D15" s="1">
        <v>15</v>
      </c>
      <c r="E15" s="10">
        <f t="shared" si="0"/>
        <v>1.9083969465648856E-2</v>
      </c>
      <c r="F15" s="1"/>
      <c r="G15" s="1"/>
      <c r="H15" s="1"/>
      <c r="J15" s="1"/>
      <c r="K15" s="1"/>
    </row>
    <row r="16" spans="2:13" x14ac:dyDescent="0.25">
      <c r="B16" t="s">
        <v>37</v>
      </c>
      <c r="C16" s="1">
        <v>900</v>
      </c>
      <c r="D16" s="1">
        <v>22</v>
      </c>
      <c r="E16" s="10">
        <f t="shared" si="0"/>
        <v>2.4444444444444446E-2</v>
      </c>
      <c r="F16" s="1"/>
      <c r="G16" s="1"/>
      <c r="H16" s="1"/>
      <c r="J16" s="1">
        <v>85</v>
      </c>
      <c r="K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32"/>
  <sheetViews>
    <sheetView topLeftCell="A7" workbookViewId="0">
      <selection activeCell="H31" sqref="H31"/>
    </sheetView>
  </sheetViews>
  <sheetFormatPr defaultRowHeight="15" x14ac:dyDescent="0.25"/>
  <cols>
    <col min="5" max="5" width="50.5703125" customWidth="1"/>
    <col min="6" max="6" width="18.140625" customWidth="1"/>
    <col min="10" max="10" width="36" customWidth="1"/>
    <col min="11" max="11" width="13.140625" customWidth="1"/>
    <col min="12" max="12" width="16.85546875" customWidth="1"/>
  </cols>
  <sheetData>
    <row r="2" spans="4:14" ht="45.75" thickBot="1" x14ac:dyDescent="0.3">
      <c r="E2" s="22"/>
      <c r="F2" s="22" t="s">
        <v>81</v>
      </c>
      <c r="G2" s="22" t="s">
        <v>82</v>
      </c>
      <c r="J2" s="22"/>
      <c r="K2" s="22" t="s">
        <v>81</v>
      </c>
      <c r="L2" s="22" t="s">
        <v>82</v>
      </c>
    </row>
    <row r="3" spans="4:14" ht="16.5" thickTop="1" thickBot="1" x14ac:dyDescent="0.3">
      <c r="E3" s="23" t="s">
        <v>83</v>
      </c>
      <c r="F3" s="24">
        <v>93.1</v>
      </c>
      <c r="G3" s="26">
        <v>0.311</v>
      </c>
      <c r="H3">
        <f>F3*$N$4</f>
        <v>49.06369999999999</v>
      </c>
      <c r="J3" s="23" t="s">
        <v>68</v>
      </c>
      <c r="K3" s="24" t="s">
        <v>107</v>
      </c>
      <c r="L3" s="26">
        <v>0.252</v>
      </c>
    </row>
    <row r="4" spans="4:14" ht="15.75" thickBot="1" x14ac:dyDescent="0.3">
      <c r="E4" s="23" t="s">
        <v>84</v>
      </c>
      <c r="F4" s="24">
        <v>36.5</v>
      </c>
      <c r="G4" s="26">
        <v>0.122</v>
      </c>
      <c r="H4">
        <f t="shared" ref="H4:H7" si="0">F4*$N$4</f>
        <v>19.235499999999998</v>
      </c>
      <c r="J4" s="23" t="s">
        <v>93</v>
      </c>
      <c r="K4" s="24" t="s">
        <v>108</v>
      </c>
      <c r="L4" s="26">
        <v>9.1999999999999998E-2</v>
      </c>
      <c r="N4" s="27">
        <f>L4+L5+L6*0.75+L7+L8+L9+L10+L13+L15+L17+M18/2</f>
        <v>0.52699999999999991</v>
      </c>
    </row>
    <row r="5" spans="4:14" ht="15.75" thickBot="1" x14ac:dyDescent="0.3">
      <c r="E5" s="23" t="s">
        <v>85</v>
      </c>
      <c r="F5" s="24">
        <v>33.4</v>
      </c>
      <c r="G5" s="26">
        <v>0.111</v>
      </c>
      <c r="H5">
        <f t="shared" si="0"/>
        <v>17.601799999999997</v>
      </c>
      <c r="J5" s="23" t="s">
        <v>94</v>
      </c>
      <c r="K5" s="24" t="s">
        <v>109</v>
      </c>
      <c r="L5" s="26">
        <v>5.8999999999999997E-2</v>
      </c>
    </row>
    <row r="6" spans="4:14" ht="15.75" thickBot="1" x14ac:dyDescent="0.3">
      <c r="E6" s="23" t="s">
        <v>86</v>
      </c>
      <c r="F6" s="24">
        <v>20.9</v>
      </c>
      <c r="G6" s="25">
        <v>7.0000000000000007E-2</v>
      </c>
      <c r="H6">
        <f t="shared" si="0"/>
        <v>11.014299999999997</v>
      </c>
      <c r="J6" s="23" t="s">
        <v>95</v>
      </c>
      <c r="K6" s="24" t="s">
        <v>110</v>
      </c>
      <c r="L6" s="26">
        <v>5.1999999999999998E-2</v>
      </c>
    </row>
    <row r="7" spans="4:14" ht="15.75" thickBot="1" x14ac:dyDescent="0.3">
      <c r="E7" s="23" t="s">
        <v>87</v>
      </c>
      <c r="F7" s="24">
        <v>18</v>
      </c>
      <c r="G7" s="25">
        <v>0.06</v>
      </c>
      <c r="H7">
        <f t="shared" si="0"/>
        <v>9.4859999999999989</v>
      </c>
      <c r="J7" s="23" t="s">
        <v>96</v>
      </c>
      <c r="K7" s="24" t="s">
        <v>111</v>
      </c>
      <c r="L7" s="26">
        <v>4.3999999999999997E-2</v>
      </c>
    </row>
    <row r="8" spans="4:14" ht="15.75" thickBot="1" x14ac:dyDescent="0.3">
      <c r="E8" s="23" t="s">
        <v>88</v>
      </c>
      <c r="F8" s="24">
        <v>13.3</v>
      </c>
      <c r="G8" s="26">
        <v>4.3999999999999997E-2</v>
      </c>
      <c r="H8">
        <f>F8</f>
        <v>13.3</v>
      </c>
      <c r="J8" s="23" t="s">
        <v>97</v>
      </c>
      <c r="K8" s="24" t="s">
        <v>112</v>
      </c>
      <c r="L8" s="26">
        <v>4.1000000000000002E-2</v>
      </c>
    </row>
    <row r="9" spans="4:14" ht="15.75" thickBot="1" x14ac:dyDescent="0.3">
      <c r="E9" s="23" t="s">
        <v>89</v>
      </c>
      <c r="F9" s="24">
        <v>12.2</v>
      </c>
      <c r="G9" s="26">
        <v>4.1000000000000002E-2</v>
      </c>
      <c r="H9">
        <f t="shared" ref="H9:H10" si="1">F9</f>
        <v>12.2</v>
      </c>
      <c r="J9" s="23" t="s">
        <v>98</v>
      </c>
      <c r="K9" s="24" t="s">
        <v>113</v>
      </c>
      <c r="L9" s="26">
        <v>4.1000000000000002E-2</v>
      </c>
    </row>
    <row r="10" spans="4:14" ht="15.75" thickBot="1" x14ac:dyDescent="0.3">
      <c r="E10" s="23" t="s">
        <v>90</v>
      </c>
      <c r="F10" s="24">
        <v>12.2</v>
      </c>
      <c r="G10" s="26">
        <v>4.1000000000000002E-2</v>
      </c>
      <c r="H10">
        <f t="shared" si="1"/>
        <v>12.2</v>
      </c>
      <c r="J10" s="23" t="s">
        <v>99</v>
      </c>
      <c r="K10" s="24" t="s">
        <v>114</v>
      </c>
      <c r="L10" s="26">
        <v>3.1E-2</v>
      </c>
    </row>
    <row r="11" spans="4:14" ht="15.75" thickBot="1" x14ac:dyDescent="0.3">
      <c r="E11" s="23" t="s">
        <v>91</v>
      </c>
      <c r="F11" s="24">
        <v>10.3</v>
      </c>
      <c r="G11" s="26">
        <v>3.5000000000000003E-2</v>
      </c>
      <c r="J11" s="23" t="s">
        <v>100</v>
      </c>
      <c r="K11" s="24" t="s">
        <v>115</v>
      </c>
      <c r="L11" s="26">
        <v>2.4E-2</v>
      </c>
    </row>
    <row r="12" spans="4:14" ht="15.75" thickBot="1" x14ac:dyDescent="0.3">
      <c r="E12" s="23" t="s">
        <v>92</v>
      </c>
      <c r="F12" s="24">
        <v>9.2799999999999994</v>
      </c>
      <c r="G12" s="26">
        <v>3.1E-2</v>
      </c>
      <c r="H12">
        <f t="shared" ref="H12" si="2">F12*$N$4</f>
        <v>4.8905599999999989</v>
      </c>
      <c r="J12" s="23" t="s">
        <v>102</v>
      </c>
      <c r="K12" s="24" t="s">
        <v>116</v>
      </c>
      <c r="L12" s="26">
        <v>2.1999999999999999E-2</v>
      </c>
    </row>
    <row r="13" spans="4:14" ht="15.75" thickBot="1" x14ac:dyDescent="0.3">
      <c r="F13">
        <f>SUM(F3:F12)</f>
        <v>259.18</v>
      </c>
      <c r="G13">
        <f>SUM(G3:G12)</f>
        <v>0.86600000000000033</v>
      </c>
      <c r="H13">
        <f>SUM(H3:H12)</f>
        <v>148.99185999999995</v>
      </c>
      <c r="J13" s="23" t="s">
        <v>103</v>
      </c>
      <c r="K13" s="24" t="s">
        <v>117</v>
      </c>
      <c r="L13" s="25">
        <v>0.02</v>
      </c>
    </row>
    <row r="14" spans="4:14" ht="15.75" thickBot="1" x14ac:dyDescent="0.3">
      <c r="J14" s="23" t="s">
        <v>104</v>
      </c>
      <c r="K14" s="24" t="s">
        <v>118</v>
      </c>
      <c r="L14" s="26">
        <v>1.6E-2</v>
      </c>
    </row>
    <row r="15" spans="4:14" ht="15.75" thickBot="1" x14ac:dyDescent="0.3">
      <c r="D15" t="s">
        <v>122</v>
      </c>
      <c r="E15" s="28">
        <v>185</v>
      </c>
      <c r="J15" s="23" t="s">
        <v>105</v>
      </c>
      <c r="K15" s="24" t="s">
        <v>119</v>
      </c>
      <c r="L15" s="26">
        <v>1.4999999999999999E-2</v>
      </c>
    </row>
    <row r="16" spans="4:14" ht="15.75" thickBot="1" x14ac:dyDescent="0.3">
      <c r="E16">
        <f>E15*2/3</f>
        <v>123.33333333333333</v>
      </c>
      <c r="J16" s="23" t="s">
        <v>71</v>
      </c>
      <c r="K16" s="24" t="s">
        <v>120</v>
      </c>
      <c r="L16" s="26">
        <v>1.4999999999999999E-2</v>
      </c>
    </row>
    <row r="17" spans="5:13" x14ac:dyDescent="0.25">
      <c r="J17" s="23" t="s">
        <v>106</v>
      </c>
      <c r="K17" s="24" t="s">
        <v>121</v>
      </c>
      <c r="L17" s="26">
        <v>1.4E-2</v>
      </c>
    </row>
    <row r="18" spans="5:13" x14ac:dyDescent="0.25">
      <c r="L18">
        <f>SUM(L3:L17)</f>
        <v>0.7380000000000001</v>
      </c>
      <c r="M18">
        <f>1-L18</f>
        <v>0.2619999999999999</v>
      </c>
    </row>
    <row r="20" spans="5:13" ht="30.75" thickBot="1" x14ac:dyDescent="0.3">
      <c r="E20" s="29"/>
      <c r="F20" s="29" t="s">
        <v>81</v>
      </c>
      <c r="G20" s="29" t="s">
        <v>82</v>
      </c>
    </row>
    <row r="21" spans="5:13" ht="16.5" thickTop="1" thickBot="1" x14ac:dyDescent="0.3">
      <c r="E21" s="23" t="s">
        <v>123</v>
      </c>
      <c r="F21" s="24">
        <v>223</v>
      </c>
      <c r="G21" s="24" t="s">
        <v>124</v>
      </c>
      <c r="H21" t="s">
        <v>140</v>
      </c>
    </row>
    <row r="22" spans="5:13" ht="15.75" thickBot="1" x14ac:dyDescent="0.3">
      <c r="E22" s="23" t="s">
        <v>86</v>
      </c>
      <c r="F22" s="24">
        <v>59.9</v>
      </c>
      <c r="G22" s="24" t="s">
        <v>125</v>
      </c>
    </row>
    <row r="23" spans="5:13" ht="15.75" thickBot="1" x14ac:dyDescent="0.3">
      <c r="E23" s="23" t="s">
        <v>91</v>
      </c>
      <c r="F23" s="24">
        <v>39.6</v>
      </c>
      <c r="G23" s="24" t="s">
        <v>126</v>
      </c>
    </row>
    <row r="24" spans="5:13" ht="15.75" thickBot="1" x14ac:dyDescent="0.3">
      <c r="E24" s="23" t="s">
        <v>127</v>
      </c>
      <c r="F24" s="24">
        <v>38.799999999999997</v>
      </c>
      <c r="G24" s="24" t="s">
        <v>128</v>
      </c>
    </row>
    <row r="25" spans="5:13" ht="15.75" thickBot="1" x14ac:dyDescent="0.3">
      <c r="E25" s="23" t="s">
        <v>129</v>
      </c>
      <c r="F25" s="24">
        <v>31.2</v>
      </c>
      <c r="G25" s="24" t="s">
        <v>130</v>
      </c>
    </row>
    <row r="26" spans="5:13" ht="15.75" thickBot="1" x14ac:dyDescent="0.3">
      <c r="E26" s="23" t="s">
        <v>84</v>
      </c>
      <c r="F26" s="24">
        <v>27.4</v>
      </c>
      <c r="G26" s="24" t="s">
        <v>131</v>
      </c>
    </row>
    <row r="27" spans="5:13" ht="15.75" thickBot="1" x14ac:dyDescent="0.3">
      <c r="E27" s="23" t="s">
        <v>83</v>
      </c>
      <c r="F27" s="24">
        <v>17.100000000000001</v>
      </c>
      <c r="G27" s="24" t="s">
        <v>132</v>
      </c>
    </row>
    <row r="28" spans="5:13" ht="15.75" thickBot="1" x14ac:dyDescent="0.3">
      <c r="E28" s="23" t="s">
        <v>133</v>
      </c>
      <c r="F28" s="24">
        <v>12.2</v>
      </c>
      <c r="G28" s="24" t="s">
        <v>101</v>
      </c>
    </row>
    <row r="29" spans="5:13" ht="15.75" thickBot="1" x14ac:dyDescent="0.3">
      <c r="E29" s="23" t="s">
        <v>89</v>
      </c>
      <c r="F29" s="24">
        <v>11.6</v>
      </c>
      <c r="G29" s="24" t="s">
        <v>134</v>
      </c>
    </row>
    <row r="30" spans="5:13" x14ac:dyDescent="0.25">
      <c r="E30" s="23" t="s">
        <v>87</v>
      </c>
      <c r="F30" s="24">
        <v>9.93</v>
      </c>
      <c r="G30" s="24" t="s">
        <v>135</v>
      </c>
    </row>
    <row r="31" spans="5:13" x14ac:dyDescent="0.25">
      <c r="F31">
        <f>SUM(F21:F30)</f>
        <v>470.73</v>
      </c>
    </row>
    <row r="32" spans="5:13" x14ac:dyDescent="0.25">
      <c r="F32">
        <f>F31*0.8</f>
        <v>376.58400000000006</v>
      </c>
    </row>
  </sheetData>
  <hyperlinks>
    <hyperlink ref="E3" r:id="rId1" display="https://ru-stat.com/date-M202102-202201/RU/import/world/16"/>
    <hyperlink ref="E4" r:id="rId2" display="https://ru-stat.com/date-M202102-202201/RU/import/world/06"/>
    <hyperlink ref="E5" r:id="rId3" display="https://ru-stat.com/date-M202102-202201/RU/import/world/17"/>
    <hyperlink ref="E6" r:id="rId4" display="https://ru-stat.com/date-M202102-202201/RU/import/world/15"/>
    <hyperlink ref="E7" r:id="rId5" display="https://ru-stat.com/date-M202102-202201/RU/import/world/07"/>
    <hyperlink ref="E8" r:id="rId6" display="https://ru-stat.com/date-M202102-202201/RU/import/world/11"/>
    <hyperlink ref="E9" r:id="rId7" display="https://ru-stat.com/date-M202102-202201/RU/import/world/02"/>
    <hyperlink ref="E10" r:id="rId8" display="https://ru-stat.com/date-M202102-202201/RU/import/world/04"/>
    <hyperlink ref="E11" r:id="rId9" display="https://ru-stat.com/date-M202102-202201/RU/import/world/22"/>
    <hyperlink ref="E12" r:id="rId10" display="https://ru-stat.com/date-M202102-202201/RU/import/world/18"/>
    <hyperlink ref="J3" r:id="rId11" display="https://ru-stat.com/date-M202102-202201/RU/import/CN"/>
    <hyperlink ref="J4" r:id="rId12" display="https://ru-stat.com/date-M202102-202201/RU/import/DE"/>
    <hyperlink ref="J5" r:id="rId13" display="https://ru-stat.com/date-M202102-202201/RU/import/US"/>
    <hyperlink ref="J6" r:id="rId14" display="https://ru-stat.com/date-M202102-202201/RU/import/BY"/>
    <hyperlink ref="J7" r:id="rId15" display="https://ru-stat.com/date-M202102-202201/RU/import/KR"/>
    <hyperlink ref="J8" r:id="rId16" display="https://ru-stat.com/date-M202102-202201/RU/import/FR"/>
    <hyperlink ref="J9" r:id="rId17" display="https://ru-stat.com/date-M202102-202201/RU/import/IT"/>
    <hyperlink ref="J10" r:id="rId18" display="https://ru-stat.com/date-M202102-202201/RU/import/JP"/>
    <hyperlink ref="J11" r:id="rId19" display="https://ru-stat.com/date-M202102-202201/RU/import/KZ"/>
    <hyperlink ref="J12" r:id="rId20" display="https://ru-stat.com/date-M202102-202201/RU/import/TR"/>
    <hyperlink ref="J13" r:id="rId21" display="https://ru-stat.com/date-M202102-202201/RU/import/PL"/>
    <hyperlink ref="J14" r:id="rId22" display="https://ru-stat.com/date-M202102-202201/RU/import/VN"/>
    <hyperlink ref="J15" r:id="rId23" display="https://ru-stat.com/date-M202102-202201/RU/import/GB"/>
    <hyperlink ref="J16" r:id="rId24" display="https://ru-stat.com/date-M202102-202201/RU/import/IN"/>
    <hyperlink ref="J17" r:id="rId25" display="https://ru-stat.com/date-M202102-202201/RU/import/NL"/>
    <hyperlink ref="E21" r:id="rId26" display="https://ru-stat.com/date-M202102-202201/RU/export/world/05"/>
    <hyperlink ref="E22" r:id="rId27" display="https://ru-stat.com/date-M202102-202201/RU/export/world/15"/>
    <hyperlink ref="E23" r:id="rId28" display="https://ru-stat.com/date-M202102-202201/RU/export/world/22"/>
    <hyperlink ref="E24" r:id="rId29" display="https://ru-stat.com/date-M202102-202201/RU/export/world/23"/>
    <hyperlink ref="E25" r:id="rId30" display="https://ru-stat.com/date-M202102-202201/RU/export/world/14"/>
    <hyperlink ref="E26" r:id="rId31" display="https://ru-stat.com/date-M202102-202201/RU/export/world/06"/>
    <hyperlink ref="E27" r:id="rId32" display="https://ru-stat.com/date-M202102-202201/RU/export/world/16"/>
    <hyperlink ref="E28" r:id="rId33" display="https://ru-stat.com/date-M202102-202201/RU/export/world/09"/>
    <hyperlink ref="E29" r:id="rId34" display="https://ru-stat.com/date-M202102-202201/RU/export/world/02"/>
    <hyperlink ref="E30" r:id="rId35" display="https://ru-stat.com/date-M202102-202201/RU/export/world/0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дин</vt:lpstr>
      <vt:lpstr>яо</vt:lpstr>
      <vt:lpstr>Чечня 2я</vt:lpstr>
      <vt:lpstr>потери</vt:lpstr>
      <vt:lpstr>Ирак</vt:lpstr>
      <vt:lpstr>эскпорт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rinum rinum</dc:creator>
  <cp:lastModifiedBy>rinum rinum</cp:lastModifiedBy>
  <dcterms:created xsi:type="dcterms:W3CDTF">2022-03-02T18:23:03Z</dcterms:created>
  <dcterms:modified xsi:type="dcterms:W3CDTF">2022-04-07T18:30:44Z</dcterms:modified>
</cp:coreProperties>
</file>