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intellijWorkSpace\freemarkerTest\FreeMakerTest\src\doc\"/>
    </mc:Choice>
  </mc:AlternateContent>
  <bookViews>
    <workbookView xWindow="0" yWindow="0" windowWidth="23895" windowHeight="10350" firstSheet="5" activeTab="9"/>
  </bookViews>
  <sheets>
    <sheet name="封面" sheetId="1" r:id="rId1"/>
    <sheet name="台帐使用说明" sheetId="2" r:id="rId2"/>
    <sheet name="Sheet1" sheetId="3" r:id="rId3"/>
    <sheet name="Chart1" sheetId="4" r:id="rId4"/>
    <sheet name="拨款台帐" sheetId="5" r:id="rId5"/>
    <sheet name="合同台帐" sheetId="6" r:id="rId6"/>
    <sheet name="简表" sheetId="7" r:id="rId7"/>
    <sheet name="销售价格测算" sheetId="8" r:id="rId8"/>
    <sheet name="给吕妍成本（2016年2月）" sheetId="9" r:id="rId9"/>
    <sheet name="动态成本" sheetId="10" r:id="rId10"/>
    <sheet name="成本明细" sheetId="11" r:id="rId11"/>
    <sheet name="往来款台账" sheetId="12" r:id="rId12"/>
    <sheet name="税金" sheetId="13" r:id="rId13"/>
  </sheets>
  <definedNames>
    <definedName name="_xlnm._FilterDatabase" localSheetId="4" hidden="1">拨款台帐!$A$1:$IU$257</definedName>
    <definedName name="_xlnm._FilterDatabase" localSheetId="10" hidden="1">成本明细!$D$535:$J$538</definedName>
    <definedName name="_xlnm._FilterDatabase" localSheetId="5" hidden="1">合同台帐!$A$3:$O$195</definedName>
    <definedName name="_xlnm.Print_Area" localSheetId="0">封面!$A$1:$M$4</definedName>
    <definedName name="_xlnm.Print_Titles" localSheetId="4">拨款台帐!$1:1</definedName>
    <definedName name="_xlnm.Print_Titles" localSheetId="10">成本明细!$1:2</definedName>
    <definedName name="_xlnm.Print_Titles" localSheetId="5">合同台帐!$1:3</definedName>
    <definedName name="_xlnm.Print_Titles" localSheetId="6">简表!$1:$3</definedName>
  </definedNames>
  <calcPr calcId="152511" concurrentCalc="0"/>
</workbook>
</file>

<file path=xl/calcChain.xml><?xml version="1.0" encoding="utf-8"?>
<calcChain xmlns="http://schemas.openxmlformats.org/spreadsheetml/2006/main">
  <c r="D11" i="13" l="1"/>
  <c r="D14" i="13"/>
  <c r="D16" i="13"/>
  <c r="E13" i="12"/>
  <c r="K13" i="12"/>
  <c r="K11" i="12"/>
  <c r="K10" i="12"/>
  <c r="K9" i="12"/>
  <c r="K8" i="12"/>
  <c r="K7" i="12"/>
  <c r="K6" i="12"/>
  <c r="K5" i="12"/>
  <c r="K4" i="12"/>
  <c r="K3" i="12"/>
  <c r="J646" i="11"/>
  <c r="H646" i="11"/>
  <c r="F609" i="11"/>
  <c r="F612" i="11"/>
  <c r="F615" i="11"/>
  <c r="F618" i="11"/>
  <c r="F608" i="11"/>
  <c r="F6" i="11"/>
  <c r="F5" i="11"/>
  <c r="F10" i="11"/>
  <c r="F11" i="11"/>
  <c r="F9" i="11"/>
  <c r="F14" i="11"/>
  <c r="F13" i="11"/>
  <c r="F17" i="11"/>
  <c r="F18" i="11"/>
  <c r="F16" i="11"/>
  <c r="F19" i="11"/>
  <c r="F23" i="11"/>
  <c r="F22" i="11"/>
  <c r="F26" i="11"/>
  <c r="F25" i="11"/>
  <c r="F4" i="11"/>
  <c r="G6" i="6"/>
  <c r="F31" i="11"/>
  <c r="G38" i="6"/>
  <c r="F32" i="11"/>
  <c r="F33" i="11"/>
  <c r="F30" i="11"/>
  <c r="G5" i="6"/>
  <c r="F35" i="11"/>
  <c r="G14" i="6"/>
  <c r="F36" i="11"/>
  <c r="G15" i="6"/>
  <c r="F37" i="11"/>
  <c r="G48" i="6"/>
  <c r="F38" i="11"/>
  <c r="G165" i="6"/>
  <c r="F39" i="11"/>
  <c r="F34" i="11"/>
  <c r="F42" i="11"/>
  <c r="F43" i="11"/>
  <c r="F44" i="11"/>
  <c r="F41" i="11"/>
  <c r="F29" i="11"/>
  <c r="G7" i="6"/>
  <c r="F47" i="11"/>
  <c r="G145" i="6"/>
  <c r="F48" i="11"/>
  <c r="F46" i="11"/>
  <c r="J104" i="6"/>
  <c r="G104" i="6"/>
  <c r="F50" i="11"/>
  <c r="F49" i="11"/>
  <c r="G41" i="6"/>
  <c r="F53" i="11"/>
  <c r="F52" i="11"/>
  <c r="G96" i="6"/>
  <c r="F56" i="11"/>
  <c r="G105" i="6"/>
  <c r="F57" i="11"/>
  <c r="F55" i="11"/>
  <c r="G40" i="6"/>
  <c r="F60" i="11"/>
  <c r="G98" i="6"/>
  <c r="F61" i="11"/>
  <c r="G99" i="6"/>
  <c r="F62" i="11"/>
  <c r="F59" i="11"/>
  <c r="G71" i="6"/>
  <c r="F65" i="11"/>
  <c r="G72" i="6"/>
  <c r="F66" i="11"/>
  <c r="G73" i="6"/>
  <c r="F67" i="11"/>
  <c r="G74" i="6"/>
  <c r="F68" i="11"/>
  <c r="G121" i="6"/>
  <c r="F69" i="11"/>
  <c r="F64" i="11"/>
  <c r="G17" i="6"/>
  <c r="F71" i="11"/>
  <c r="F72" i="11"/>
  <c r="G25" i="6"/>
  <c r="F73" i="11"/>
  <c r="G37" i="6"/>
  <c r="F74" i="11"/>
  <c r="F70" i="11"/>
  <c r="F45" i="11"/>
  <c r="G28" i="6"/>
  <c r="F99" i="11"/>
  <c r="G29" i="6"/>
  <c r="F100" i="11"/>
  <c r="F98" i="11"/>
  <c r="G92" i="6"/>
  <c r="F85" i="11"/>
  <c r="G100" i="6"/>
  <c r="F86" i="11"/>
  <c r="F84" i="11"/>
  <c r="F88" i="11"/>
  <c r="G50" i="6"/>
  <c r="F77" i="11"/>
  <c r="G54" i="6"/>
  <c r="F78" i="11"/>
  <c r="G57" i="6"/>
  <c r="F79" i="11"/>
  <c r="G58" i="6"/>
  <c r="F80" i="11"/>
  <c r="G62" i="6"/>
  <c r="F81" i="11"/>
  <c r="G59" i="6"/>
  <c r="F82" i="11"/>
  <c r="F76" i="11"/>
  <c r="F92" i="11"/>
  <c r="F91" i="11"/>
  <c r="F104" i="11"/>
  <c r="F105" i="11"/>
  <c r="F103" i="11"/>
  <c r="F95" i="11"/>
  <c r="F96" i="11"/>
  <c r="F94" i="11"/>
  <c r="F75" i="11"/>
  <c r="F110" i="11"/>
  <c r="F111" i="11"/>
  <c r="F112" i="11"/>
  <c r="F113" i="11"/>
  <c r="F109" i="11"/>
  <c r="F115" i="11"/>
  <c r="F116" i="11"/>
  <c r="F117" i="11"/>
  <c r="F118" i="11"/>
  <c r="F119" i="11"/>
  <c r="F120" i="11"/>
  <c r="F121" i="11"/>
  <c r="F122" i="11"/>
  <c r="F114" i="11"/>
  <c r="F125" i="11"/>
  <c r="F126" i="11"/>
  <c r="F127" i="11"/>
  <c r="F124" i="11"/>
  <c r="F130" i="11"/>
  <c r="F131" i="11"/>
  <c r="F129" i="11"/>
  <c r="F108" i="11"/>
  <c r="F135" i="11"/>
  <c r="F136" i="11"/>
  <c r="F134" i="11"/>
  <c r="F139" i="11"/>
  <c r="F138" i="11"/>
  <c r="F141" i="11"/>
  <c r="F145" i="11"/>
  <c r="F144" i="11"/>
  <c r="F133" i="11"/>
  <c r="F149" i="11"/>
  <c r="F150" i="11"/>
  <c r="F148" i="11"/>
  <c r="F153" i="11"/>
  <c r="F154" i="11"/>
  <c r="F152" i="11"/>
  <c r="F157" i="11"/>
  <c r="F156" i="11"/>
  <c r="F160" i="11"/>
  <c r="F159" i="11"/>
  <c r="F162" i="11"/>
  <c r="F165" i="11"/>
  <c r="F147" i="11"/>
  <c r="F169" i="11"/>
  <c r="F172" i="11"/>
  <c r="F175" i="11"/>
  <c r="F178" i="11"/>
  <c r="F182" i="11"/>
  <c r="F181" i="11"/>
  <c r="F185" i="11"/>
  <c r="F184" i="11"/>
  <c r="F168" i="11"/>
  <c r="G4" i="6"/>
  <c r="F189" i="11"/>
  <c r="G162" i="6"/>
  <c r="F190" i="11"/>
  <c r="F188" i="11"/>
  <c r="G134" i="6"/>
  <c r="F194" i="11"/>
  <c r="G147" i="6"/>
  <c r="F195" i="11"/>
  <c r="G160" i="6"/>
  <c r="F196" i="11"/>
  <c r="F193" i="11"/>
  <c r="G133" i="6"/>
  <c r="F199" i="11"/>
  <c r="G148" i="6"/>
  <c r="F200" i="11"/>
  <c r="G161" i="6"/>
  <c r="F201" i="11"/>
  <c r="F198" i="11"/>
  <c r="F203" i="11"/>
  <c r="F206" i="11"/>
  <c r="G103" i="6"/>
  <c r="F210" i="11"/>
  <c r="G125" i="6"/>
  <c r="F211" i="11"/>
  <c r="F209" i="11"/>
  <c r="G138" i="6"/>
  <c r="F214" i="11"/>
  <c r="G159" i="6"/>
  <c r="F215" i="11"/>
  <c r="G166" i="6"/>
  <c r="F216" i="11"/>
  <c r="F213" i="11"/>
  <c r="F187" i="11"/>
  <c r="F219" i="11"/>
  <c r="F220" i="11"/>
  <c r="G31" i="6"/>
  <c r="F221" i="11"/>
  <c r="G33" i="6"/>
  <c r="F222" i="11"/>
  <c r="F223" i="11"/>
  <c r="F224" i="11"/>
  <c r="F225" i="11"/>
  <c r="F226" i="11"/>
  <c r="F218" i="11"/>
  <c r="F28" i="11"/>
  <c r="G152" i="6"/>
  <c r="F230" i="11"/>
  <c r="F229" i="11"/>
  <c r="G163" i="6"/>
  <c r="F233" i="11"/>
  <c r="F232" i="11"/>
  <c r="F237" i="11"/>
  <c r="F236" i="11"/>
  <c r="G80" i="6"/>
  <c r="F240" i="11"/>
  <c r="G81" i="6"/>
  <c r="F241" i="11"/>
  <c r="G101" i="6"/>
  <c r="F242" i="11"/>
  <c r="G164" i="6"/>
  <c r="F243" i="11"/>
  <c r="F239" i="11"/>
  <c r="F246" i="11"/>
  <c r="F245" i="11"/>
  <c r="G107" i="6"/>
  <c r="F249" i="11"/>
  <c r="F248" i="11"/>
  <c r="G63" i="6"/>
  <c r="F253" i="11"/>
  <c r="G67" i="6"/>
  <c r="F254" i="11"/>
  <c r="G131" i="6"/>
  <c r="F255" i="11"/>
  <c r="F252" i="11"/>
  <c r="F228" i="11"/>
  <c r="G110" i="6"/>
  <c r="F259" i="11"/>
  <c r="G60" i="6"/>
  <c r="F260" i="11"/>
  <c r="G178" i="6"/>
  <c r="F261" i="11"/>
  <c r="G153" i="6"/>
  <c r="F262" i="11"/>
  <c r="G154" i="6"/>
  <c r="F263" i="11"/>
  <c r="G155" i="6"/>
  <c r="F264" i="11"/>
  <c r="F258" i="11"/>
  <c r="G140" i="6"/>
  <c r="F267" i="11"/>
  <c r="F266" i="11"/>
  <c r="G126" i="6"/>
  <c r="F271" i="11"/>
  <c r="G129" i="6"/>
  <c r="F272" i="11"/>
  <c r="G36" i="6"/>
  <c r="F273" i="11"/>
  <c r="F270" i="11"/>
  <c r="G118" i="6"/>
  <c r="F275" i="11"/>
  <c r="G124" i="6"/>
  <c r="F276" i="11"/>
  <c r="G139" i="6"/>
  <c r="F277" i="11"/>
  <c r="F274" i="11"/>
  <c r="G111" i="6"/>
  <c r="F280" i="11"/>
  <c r="F279" i="11"/>
  <c r="G144" i="6"/>
  <c r="F283" i="11"/>
  <c r="F282" i="11"/>
  <c r="G137" i="6"/>
  <c r="F286" i="11"/>
  <c r="G132" i="6"/>
  <c r="F287" i="11"/>
  <c r="G143" i="6"/>
  <c r="F288" i="11"/>
  <c r="F285" i="11"/>
  <c r="G106" i="6"/>
  <c r="F293" i="11"/>
  <c r="F292" i="11"/>
  <c r="F257" i="11"/>
  <c r="F298" i="11"/>
  <c r="F302" i="11"/>
  <c r="F301" i="11"/>
  <c r="F304" i="11"/>
  <c r="F307" i="11"/>
  <c r="F311" i="11"/>
  <c r="F312" i="11"/>
  <c r="F310" i="11"/>
  <c r="F313" i="11"/>
  <c r="F316" i="11"/>
  <c r="F319" i="11"/>
  <c r="F297" i="11"/>
  <c r="F324" i="11"/>
  <c r="F325" i="11"/>
  <c r="F326" i="11"/>
  <c r="F327" i="11"/>
  <c r="F323" i="11"/>
  <c r="G39" i="6"/>
  <c r="F329" i="11"/>
  <c r="G56" i="6"/>
  <c r="F330" i="11"/>
  <c r="F331" i="11"/>
  <c r="F328" i="11"/>
  <c r="G109" i="6"/>
  <c r="F334" i="11"/>
  <c r="F333" i="11"/>
  <c r="F322" i="11"/>
  <c r="F339" i="11"/>
  <c r="F338" i="11"/>
  <c r="F341" i="11"/>
  <c r="F340" i="11"/>
  <c r="F337" i="11"/>
  <c r="F344" i="11"/>
  <c r="F348" i="11"/>
  <c r="F347" i="11"/>
  <c r="F227" i="11"/>
  <c r="F352" i="11"/>
  <c r="F353" i="11"/>
  <c r="F351" i="11"/>
  <c r="F354" i="11"/>
  <c r="F357" i="11"/>
  <c r="F360" i="11"/>
  <c r="F363" i="11"/>
  <c r="F367" i="11"/>
  <c r="F368" i="11"/>
  <c r="F366" i="11"/>
  <c r="F370" i="11"/>
  <c r="F350" i="11"/>
  <c r="F375" i="11"/>
  <c r="F374" i="11"/>
  <c r="F378" i="11"/>
  <c r="F377" i="11"/>
  <c r="F380" i="11"/>
  <c r="F383" i="11"/>
  <c r="F400" i="11"/>
  <c r="F401" i="11"/>
  <c r="F399" i="11"/>
  <c r="F387" i="11"/>
  <c r="F386" i="11"/>
  <c r="F391" i="11"/>
  <c r="F390" i="11"/>
  <c r="F394" i="11"/>
  <c r="F393" i="11"/>
  <c r="F397" i="11"/>
  <c r="F396" i="11"/>
  <c r="F373" i="11"/>
  <c r="F405" i="11"/>
  <c r="F404" i="11"/>
  <c r="F408" i="11"/>
  <c r="F407" i="11"/>
  <c r="F410" i="11"/>
  <c r="F413" i="11"/>
  <c r="F403" i="11"/>
  <c r="F418" i="11"/>
  <c r="F419" i="11"/>
  <c r="F420" i="11"/>
  <c r="F417" i="11"/>
  <c r="F422" i="11"/>
  <c r="F416" i="11"/>
  <c r="F427" i="11"/>
  <c r="F426" i="11"/>
  <c r="F430" i="11"/>
  <c r="F431" i="11"/>
  <c r="F429" i="11"/>
  <c r="F433" i="11"/>
  <c r="F432" i="11"/>
  <c r="F425" i="11"/>
  <c r="F437" i="11"/>
  <c r="F438" i="11"/>
  <c r="F436" i="11"/>
  <c r="F441" i="11"/>
  <c r="F440" i="11"/>
  <c r="F443" i="11"/>
  <c r="F447" i="11"/>
  <c r="F446" i="11"/>
  <c r="F449" i="11"/>
  <c r="F452" i="11"/>
  <c r="F435" i="11"/>
  <c r="F457" i="11"/>
  <c r="F456" i="11"/>
  <c r="F459" i="11"/>
  <c r="F463" i="11"/>
  <c r="F464" i="11"/>
  <c r="F462" i="11"/>
  <c r="F455" i="11"/>
  <c r="F467" i="11"/>
  <c r="F470" i="11"/>
  <c r="F473" i="11"/>
  <c r="F466" i="11"/>
  <c r="F477" i="11"/>
  <c r="F480" i="11"/>
  <c r="F483" i="11"/>
  <c r="F476" i="11"/>
  <c r="F349" i="11"/>
  <c r="F487" i="11"/>
  <c r="F488" i="11"/>
  <c r="F486" i="11"/>
  <c r="F491" i="11"/>
  <c r="F494" i="11"/>
  <c r="F497" i="11"/>
  <c r="F500" i="11"/>
  <c r="F490" i="11"/>
  <c r="F507" i="11"/>
  <c r="F503" i="11"/>
  <c r="F485" i="11"/>
  <c r="G42" i="6"/>
  <c r="F511" i="11"/>
  <c r="G32" i="6"/>
  <c r="F512" i="11"/>
  <c r="F513" i="11"/>
  <c r="G151" i="6"/>
  <c r="F514" i="11"/>
  <c r="G156" i="6"/>
  <c r="F515" i="11"/>
  <c r="G157" i="6"/>
  <c r="F516" i="11"/>
  <c r="F510" i="11"/>
  <c r="F521" i="11"/>
  <c r="F526" i="11"/>
  <c r="F530" i="11"/>
  <c r="F529" i="11"/>
  <c r="F533" i="11"/>
  <c r="F532" i="11"/>
  <c r="F525" i="11"/>
  <c r="F524" i="11"/>
  <c r="F557" i="11"/>
  <c r="F565" i="11"/>
  <c r="F549" i="11"/>
  <c r="F571" i="11"/>
  <c r="F574" i="11"/>
  <c r="F582" i="11"/>
  <c r="F590" i="11"/>
  <c r="F548" i="11"/>
  <c r="F602" i="11"/>
  <c r="F605" i="11"/>
  <c r="F601" i="11"/>
  <c r="F523" i="11"/>
  <c r="F622" i="11"/>
  <c r="F625" i="11"/>
  <c r="F628" i="11"/>
  <c r="F632" i="11"/>
  <c r="F636" i="11"/>
  <c r="F635" i="11"/>
  <c r="F638" i="11"/>
  <c r="F621" i="11"/>
  <c r="F641" i="11"/>
  <c r="F644" i="11"/>
  <c r="F645" i="11"/>
  <c r="F646" i="11"/>
  <c r="G646" i="11"/>
  <c r="J645" i="11"/>
  <c r="H645" i="11"/>
  <c r="G645" i="11"/>
  <c r="E4" i="11"/>
  <c r="E29" i="11"/>
  <c r="E45" i="11"/>
  <c r="E75" i="11"/>
  <c r="E108" i="11"/>
  <c r="E133" i="11"/>
  <c r="E147" i="11"/>
  <c r="E168" i="11"/>
  <c r="E187" i="11"/>
  <c r="E28" i="11"/>
  <c r="E228" i="11"/>
  <c r="E257" i="11"/>
  <c r="E297" i="11"/>
  <c r="E322" i="11"/>
  <c r="E337" i="11"/>
  <c r="E227" i="11"/>
  <c r="E350" i="11"/>
  <c r="E373" i="11"/>
  <c r="E403" i="11"/>
  <c r="E416" i="11"/>
  <c r="E425" i="11"/>
  <c r="E435" i="11"/>
  <c r="E455" i="11"/>
  <c r="E466" i="11"/>
  <c r="E476" i="11"/>
  <c r="E349" i="11"/>
  <c r="E490" i="11"/>
  <c r="E485" i="11"/>
  <c r="E521" i="11"/>
  <c r="E645" i="11"/>
  <c r="D645" i="11"/>
  <c r="J644" i="11"/>
  <c r="H644" i="11"/>
  <c r="G644" i="11"/>
  <c r="D644" i="11"/>
  <c r="J643" i="11"/>
  <c r="F642" i="11"/>
  <c r="F643" i="11"/>
  <c r="H643" i="11"/>
  <c r="G643" i="11"/>
  <c r="D643" i="11"/>
  <c r="J642" i="11"/>
  <c r="H642" i="11"/>
  <c r="G642" i="11"/>
  <c r="D642" i="11"/>
  <c r="D641" i="11"/>
  <c r="J641" i="11"/>
  <c r="H641" i="11"/>
  <c r="K640" i="11"/>
  <c r="J640" i="11"/>
  <c r="I640" i="11"/>
  <c r="H640" i="11"/>
  <c r="G640" i="11"/>
  <c r="H639" i="11"/>
  <c r="G639" i="11"/>
  <c r="G638" i="11"/>
  <c r="D638" i="11"/>
  <c r="J638" i="11"/>
  <c r="H638" i="11"/>
  <c r="H636" i="11"/>
  <c r="G636" i="11"/>
  <c r="B636" i="11"/>
  <c r="G635" i="11"/>
  <c r="D635" i="11"/>
  <c r="J635" i="11"/>
  <c r="H635" i="11"/>
  <c r="G632" i="11"/>
  <c r="D632" i="11"/>
  <c r="J632" i="11"/>
  <c r="H632" i="11"/>
  <c r="G631" i="11"/>
  <c r="G630" i="11"/>
  <c r="H629" i="11"/>
  <c r="G629" i="11"/>
  <c r="K628" i="11"/>
  <c r="J628" i="11"/>
  <c r="I628" i="11"/>
  <c r="H628" i="11"/>
  <c r="G628" i="11"/>
  <c r="D628" i="11"/>
  <c r="G625" i="11"/>
  <c r="D625" i="11"/>
  <c r="J625" i="11"/>
  <c r="H625" i="11"/>
  <c r="G622" i="11"/>
  <c r="D622" i="11"/>
  <c r="J622" i="11"/>
  <c r="H622" i="11"/>
  <c r="G621" i="11"/>
  <c r="D621" i="11"/>
  <c r="J621" i="11"/>
  <c r="I621" i="11"/>
  <c r="H621" i="11"/>
  <c r="G618" i="11"/>
  <c r="D618" i="11"/>
  <c r="J618" i="11"/>
  <c r="H618" i="11"/>
  <c r="G615" i="11"/>
  <c r="D615" i="11"/>
  <c r="J615" i="11"/>
  <c r="H615" i="11"/>
  <c r="G612" i="11"/>
  <c r="D612" i="11"/>
  <c r="J612" i="11"/>
  <c r="H612" i="11"/>
  <c r="G609" i="11"/>
  <c r="D609" i="11"/>
  <c r="J609" i="11"/>
  <c r="H609" i="11"/>
  <c r="G608" i="11"/>
  <c r="D608" i="11"/>
  <c r="J608" i="11"/>
  <c r="I608" i="11"/>
  <c r="H608" i="11"/>
  <c r="G605" i="11"/>
  <c r="E605" i="11"/>
  <c r="D605" i="11"/>
  <c r="J605" i="11"/>
  <c r="I605" i="11"/>
  <c r="H605" i="11"/>
  <c r="G602" i="11"/>
  <c r="E602" i="11"/>
  <c r="D602" i="11"/>
  <c r="J602" i="11"/>
  <c r="I602" i="11"/>
  <c r="H602" i="11"/>
  <c r="I601" i="11"/>
  <c r="H601" i="11"/>
  <c r="G601" i="11"/>
  <c r="J598" i="11"/>
  <c r="I598" i="11"/>
  <c r="H598" i="11"/>
  <c r="G598" i="11"/>
  <c r="F598" i="11"/>
  <c r="G590" i="11"/>
  <c r="E590" i="11"/>
  <c r="D590" i="11"/>
  <c r="J590" i="11"/>
  <c r="I590" i="11"/>
  <c r="H590" i="11"/>
  <c r="G582" i="11"/>
  <c r="E582" i="11"/>
  <c r="D582" i="11"/>
  <c r="J582" i="11"/>
  <c r="I582" i="11"/>
  <c r="H582" i="11"/>
  <c r="G574" i="11"/>
  <c r="E574" i="11"/>
  <c r="D574" i="11"/>
  <c r="J574" i="11"/>
  <c r="I574" i="11"/>
  <c r="H574" i="11"/>
  <c r="G571" i="11"/>
  <c r="E571" i="11"/>
  <c r="D571" i="11"/>
  <c r="J571" i="11"/>
  <c r="I571" i="11"/>
  <c r="H571" i="11"/>
  <c r="G565" i="11"/>
  <c r="E565" i="11"/>
  <c r="D565" i="11"/>
  <c r="J565" i="11"/>
  <c r="I565" i="11"/>
  <c r="H565" i="11"/>
  <c r="G557" i="11"/>
  <c r="E557" i="11"/>
  <c r="D557" i="11"/>
  <c r="J557" i="11"/>
  <c r="I557" i="11"/>
  <c r="H557" i="11"/>
  <c r="G549" i="11"/>
  <c r="E549" i="11"/>
  <c r="D549" i="11"/>
  <c r="J549" i="11"/>
  <c r="I549" i="11"/>
  <c r="H549" i="11"/>
  <c r="G548" i="11"/>
  <c r="D548" i="11"/>
  <c r="J548" i="11"/>
  <c r="I548" i="11"/>
  <c r="H548" i="11"/>
  <c r="G542" i="11"/>
  <c r="D542" i="11"/>
  <c r="J542" i="11"/>
  <c r="H542" i="11"/>
  <c r="F542" i="11"/>
  <c r="G539" i="11"/>
  <c r="D539" i="11"/>
  <c r="J539" i="11"/>
  <c r="H539" i="11"/>
  <c r="F539" i="11"/>
  <c r="G536" i="11"/>
  <c r="D536" i="11"/>
  <c r="J536" i="11"/>
  <c r="H536" i="11"/>
  <c r="F536" i="11"/>
  <c r="G535" i="11"/>
  <c r="E535" i="11"/>
  <c r="D535" i="11"/>
  <c r="J535" i="11"/>
  <c r="F535" i="11"/>
  <c r="I535" i="11"/>
  <c r="H535" i="11"/>
  <c r="K216" i="6"/>
  <c r="K217" i="6"/>
  <c r="K36" i="6"/>
  <c r="H533" i="11"/>
  <c r="G533" i="11"/>
  <c r="B533" i="11"/>
  <c r="G532" i="11"/>
  <c r="D532" i="11"/>
  <c r="J532" i="11"/>
  <c r="H532" i="11"/>
  <c r="H530" i="11"/>
  <c r="G530" i="11"/>
  <c r="B530" i="11"/>
  <c r="G529" i="11"/>
  <c r="D529" i="11"/>
  <c r="J529" i="11"/>
  <c r="H529" i="11"/>
  <c r="G526" i="11"/>
  <c r="D526" i="11"/>
  <c r="J526" i="11"/>
  <c r="H526" i="11"/>
  <c r="G525" i="11"/>
  <c r="E525" i="11"/>
  <c r="D525" i="11"/>
  <c r="J525" i="11"/>
  <c r="I525" i="11"/>
  <c r="H525" i="11"/>
  <c r="I524" i="11"/>
  <c r="H524" i="11"/>
  <c r="G524" i="11"/>
  <c r="G523" i="11"/>
  <c r="D523" i="11"/>
  <c r="J523" i="11"/>
  <c r="I523" i="11"/>
  <c r="H523" i="11"/>
  <c r="H522" i="11"/>
  <c r="G522" i="11"/>
  <c r="D522" i="11"/>
  <c r="G6" i="11"/>
  <c r="G5" i="11"/>
  <c r="G10" i="11"/>
  <c r="G11" i="11"/>
  <c r="G9" i="11"/>
  <c r="G14" i="11"/>
  <c r="G13" i="11"/>
  <c r="G17" i="11"/>
  <c r="G18" i="11"/>
  <c r="G19" i="11"/>
  <c r="G23" i="11"/>
  <c r="G22" i="11"/>
  <c r="G16" i="11"/>
  <c r="G26" i="11"/>
  <c r="G25" i="11"/>
  <c r="G4" i="11"/>
  <c r="G31" i="11"/>
  <c r="G32" i="11"/>
  <c r="G33" i="11"/>
  <c r="G30" i="11"/>
  <c r="G35" i="11"/>
  <c r="G36" i="11"/>
  <c r="G37" i="11"/>
  <c r="G38" i="11"/>
  <c r="G39" i="11"/>
  <c r="G34" i="11"/>
  <c r="G42" i="11"/>
  <c r="G43" i="11"/>
  <c r="G44" i="11"/>
  <c r="G41" i="11"/>
  <c r="G29" i="11"/>
  <c r="G47" i="11"/>
  <c r="G48" i="11"/>
  <c r="G46" i="11"/>
  <c r="G50" i="11"/>
  <c r="G49" i="11"/>
  <c r="G53" i="11"/>
  <c r="G52" i="11"/>
  <c r="G56" i="11"/>
  <c r="G57" i="11"/>
  <c r="G55" i="11"/>
  <c r="G60" i="11"/>
  <c r="G61" i="11"/>
  <c r="G62" i="11"/>
  <c r="G59" i="11"/>
  <c r="G65" i="11"/>
  <c r="G66" i="11"/>
  <c r="G67" i="11"/>
  <c r="G68" i="11"/>
  <c r="G69" i="11"/>
  <c r="G64" i="11"/>
  <c r="G71" i="11"/>
  <c r="G72" i="11"/>
  <c r="G73" i="11"/>
  <c r="G74" i="11"/>
  <c r="G70" i="11"/>
  <c r="G45" i="11"/>
  <c r="G99" i="11"/>
  <c r="G100" i="11"/>
  <c r="G98" i="11"/>
  <c r="G85" i="11"/>
  <c r="G86" i="11"/>
  <c r="G84" i="11"/>
  <c r="G88" i="11"/>
  <c r="G77" i="11"/>
  <c r="G78" i="11"/>
  <c r="G79" i="11"/>
  <c r="G80" i="11"/>
  <c r="G81" i="11"/>
  <c r="G82" i="11"/>
  <c r="G76" i="11"/>
  <c r="G91" i="11"/>
  <c r="G103" i="11"/>
  <c r="G95" i="11"/>
  <c r="G96" i="11"/>
  <c r="G94" i="11"/>
  <c r="G75" i="11"/>
  <c r="G110" i="11"/>
  <c r="G111" i="11"/>
  <c r="G112" i="11"/>
  <c r="G109" i="11"/>
  <c r="G115" i="11"/>
  <c r="G116" i="11"/>
  <c r="G117" i="11"/>
  <c r="G118" i="11"/>
  <c r="G119" i="11"/>
  <c r="G120" i="11"/>
  <c r="G121" i="11"/>
  <c r="G122" i="11"/>
  <c r="G114" i="11"/>
  <c r="G125" i="11"/>
  <c r="G126" i="11"/>
  <c r="G127" i="11"/>
  <c r="G124" i="11"/>
  <c r="G130" i="11"/>
  <c r="G131" i="11"/>
  <c r="G129" i="11"/>
  <c r="G108" i="11"/>
  <c r="G135" i="11"/>
  <c r="G136" i="11"/>
  <c r="G134" i="11"/>
  <c r="G138" i="11"/>
  <c r="G141" i="11"/>
  <c r="G145" i="11"/>
  <c r="G144" i="11"/>
  <c r="G133" i="11"/>
  <c r="G149" i="11"/>
  <c r="G150" i="11"/>
  <c r="G148" i="11"/>
  <c r="G153" i="11"/>
  <c r="G154" i="11"/>
  <c r="G152" i="11"/>
  <c r="G157" i="11"/>
  <c r="G156" i="11"/>
  <c r="G160" i="11"/>
  <c r="G159" i="11"/>
  <c r="G162" i="11"/>
  <c r="G165" i="11"/>
  <c r="G147" i="11"/>
  <c r="G169" i="11"/>
  <c r="G172" i="11"/>
  <c r="G175" i="11"/>
  <c r="G178" i="11"/>
  <c r="G182" i="11"/>
  <c r="G181" i="11"/>
  <c r="G185" i="11"/>
  <c r="G184" i="11"/>
  <c r="G168" i="11"/>
  <c r="G189" i="11"/>
  <c r="G190" i="11"/>
  <c r="G188" i="11"/>
  <c r="G194" i="11"/>
  <c r="G195" i="11"/>
  <c r="G196" i="11"/>
  <c r="G193" i="11"/>
  <c r="G199" i="11"/>
  <c r="G200" i="11"/>
  <c r="G201" i="11"/>
  <c r="G198" i="11"/>
  <c r="G203" i="11"/>
  <c r="G206" i="11"/>
  <c r="G210" i="11"/>
  <c r="G211" i="11"/>
  <c r="G209" i="11"/>
  <c r="G214" i="11"/>
  <c r="G215" i="11"/>
  <c r="G216" i="11"/>
  <c r="G213" i="11"/>
  <c r="G187" i="11"/>
  <c r="G219" i="11"/>
  <c r="G220" i="11"/>
  <c r="G221" i="11"/>
  <c r="G222" i="11"/>
  <c r="G223" i="11"/>
  <c r="G224" i="11"/>
  <c r="G225" i="11"/>
  <c r="G226" i="11"/>
  <c r="G218" i="11"/>
  <c r="G28" i="11"/>
  <c r="G230" i="11"/>
  <c r="G229" i="11"/>
  <c r="G233" i="11"/>
  <c r="G232" i="11"/>
  <c r="G236" i="11"/>
  <c r="G240" i="11"/>
  <c r="G241" i="11"/>
  <c r="G242" i="11"/>
  <c r="G243" i="11"/>
  <c r="G239" i="11"/>
  <c r="G245" i="11"/>
  <c r="G249" i="11"/>
  <c r="G248" i="11"/>
  <c r="G253" i="11"/>
  <c r="G254" i="11"/>
  <c r="G255" i="11"/>
  <c r="G252" i="11"/>
  <c r="G228" i="11"/>
  <c r="G259" i="11"/>
  <c r="G260" i="11"/>
  <c r="G261" i="11"/>
  <c r="G262" i="11"/>
  <c r="G263" i="11"/>
  <c r="G264" i="11"/>
  <c r="G258" i="11"/>
  <c r="G267" i="11"/>
  <c r="G266" i="11"/>
  <c r="G271" i="11"/>
  <c r="G272" i="11"/>
  <c r="G273" i="11"/>
  <c r="G270" i="11"/>
  <c r="G275" i="11"/>
  <c r="G276" i="11"/>
  <c r="G277" i="11"/>
  <c r="G274" i="11"/>
  <c r="G280" i="11"/>
  <c r="G279" i="11"/>
  <c r="G283" i="11"/>
  <c r="G282" i="11"/>
  <c r="G286" i="11"/>
  <c r="G287" i="11"/>
  <c r="G288" i="11"/>
  <c r="G285" i="11"/>
  <c r="G293" i="11"/>
  <c r="G292" i="11"/>
  <c r="G257" i="11"/>
  <c r="G298" i="11"/>
  <c r="G302" i="11"/>
  <c r="G301" i="11"/>
  <c r="G304" i="11"/>
  <c r="G307" i="11"/>
  <c r="G311" i="11"/>
  <c r="G312" i="11"/>
  <c r="G310" i="11"/>
  <c r="G313" i="11"/>
  <c r="G316" i="11"/>
  <c r="G319" i="11"/>
  <c r="G297" i="11"/>
  <c r="G324" i="11"/>
  <c r="G325" i="11"/>
  <c r="G326" i="11"/>
  <c r="G327" i="11"/>
  <c r="G323" i="11"/>
  <c r="G329" i="11"/>
  <c r="G330" i="11"/>
  <c r="G331" i="11"/>
  <c r="G328" i="11"/>
  <c r="G334" i="11"/>
  <c r="G333" i="11"/>
  <c r="G322" i="11"/>
  <c r="G339" i="11"/>
  <c r="G338" i="11"/>
  <c r="G341" i="11"/>
  <c r="G340" i="11"/>
  <c r="G337" i="11"/>
  <c r="G344" i="11"/>
  <c r="G227" i="11"/>
  <c r="G352" i="11"/>
  <c r="G353" i="11"/>
  <c r="G351" i="11"/>
  <c r="G354" i="11"/>
  <c r="G357" i="11"/>
  <c r="G360" i="11"/>
  <c r="G363" i="11"/>
  <c r="G367" i="11"/>
  <c r="G368" i="11"/>
  <c r="G366" i="11"/>
  <c r="G370" i="11"/>
  <c r="G350" i="11"/>
  <c r="G375" i="11"/>
  <c r="G374" i="11"/>
  <c r="G378" i="11"/>
  <c r="G377" i="11"/>
  <c r="G380" i="11"/>
  <c r="G383" i="11"/>
  <c r="G400" i="11"/>
  <c r="G399" i="11"/>
  <c r="G387" i="11"/>
  <c r="G386" i="11"/>
  <c r="G391" i="11"/>
  <c r="G390" i="11"/>
  <c r="G394" i="11"/>
  <c r="G393" i="11"/>
  <c r="G397" i="11"/>
  <c r="G396" i="11"/>
  <c r="G373" i="11"/>
  <c r="G405" i="11"/>
  <c r="G404" i="11"/>
  <c r="G407" i="11"/>
  <c r="G410" i="11"/>
  <c r="G413" i="11"/>
  <c r="G403" i="11"/>
  <c r="G418" i="11"/>
  <c r="G419" i="11"/>
  <c r="G420" i="11"/>
  <c r="G421" i="11"/>
  <c r="G417" i="11"/>
  <c r="G422" i="11"/>
  <c r="G416" i="11"/>
  <c r="G427" i="11"/>
  <c r="G426" i="11"/>
  <c r="G430" i="11"/>
  <c r="G431" i="11"/>
  <c r="G429" i="11"/>
  <c r="G433" i="11"/>
  <c r="G432" i="11"/>
  <c r="G425" i="11"/>
  <c r="G437" i="11"/>
  <c r="G438" i="11"/>
  <c r="G436" i="11"/>
  <c r="G441" i="11"/>
  <c r="G440" i="11"/>
  <c r="G443" i="11"/>
  <c r="G447" i="11"/>
  <c r="G446" i="11"/>
  <c r="G449" i="11"/>
  <c r="G452" i="11"/>
  <c r="G435" i="11"/>
  <c r="G457" i="11"/>
  <c r="G456" i="11"/>
  <c r="G459" i="11"/>
  <c r="G463" i="11"/>
  <c r="G464" i="11"/>
  <c r="G462" i="11"/>
  <c r="G455" i="11"/>
  <c r="G467" i="11"/>
  <c r="G470" i="11"/>
  <c r="G473" i="11"/>
  <c r="G466" i="11"/>
  <c r="G477" i="11"/>
  <c r="G480" i="11"/>
  <c r="G483" i="11"/>
  <c r="G476" i="11"/>
  <c r="G349" i="11"/>
  <c r="G487" i="11"/>
  <c r="G488" i="11"/>
  <c r="G486" i="11"/>
  <c r="G491" i="11"/>
  <c r="G494" i="11"/>
  <c r="G497" i="11"/>
  <c r="G500" i="11"/>
  <c r="G490" i="11"/>
  <c r="G507" i="11"/>
  <c r="G503" i="11"/>
  <c r="G485" i="11"/>
  <c r="G511" i="11"/>
  <c r="G512" i="11"/>
  <c r="G513" i="11"/>
  <c r="G514" i="11"/>
  <c r="G515" i="11"/>
  <c r="G516" i="11"/>
  <c r="G510" i="11"/>
  <c r="G521" i="11"/>
  <c r="D5" i="11"/>
  <c r="D9" i="11"/>
  <c r="D13" i="11"/>
  <c r="D16" i="11"/>
  <c r="D19" i="11"/>
  <c r="D22" i="11"/>
  <c r="D25" i="11"/>
  <c r="D4" i="11"/>
  <c r="D30" i="11"/>
  <c r="D34" i="11"/>
  <c r="D41" i="11"/>
  <c r="D29" i="11"/>
  <c r="D46" i="11"/>
  <c r="D49" i="11"/>
  <c r="D52" i="11"/>
  <c r="D55" i="11"/>
  <c r="D59" i="11"/>
  <c r="D64" i="11"/>
  <c r="D70" i="11"/>
  <c r="D45" i="11"/>
  <c r="D98" i="11"/>
  <c r="D84" i="11"/>
  <c r="D88" i="11"/>
  <c r="D76" i="11"/>
  <c r="D91" i="11"/>
  <c r="D103" i="11"/>
  <c r="D94" i="11"/>
  <c r="D75" i="11"/>
  <c r="D109" i="11"/>
  <c r="D114" i="11"/>
  <c r="D124" i="11"/>
  <c r="D129" i="11"/>
  <c r="D108" i="11"/>
  <c r="D134" i="11"/>
  <c r="D138" i="11"/>
  <c r="D141" i="11"/>
  <c r="D144" i="11"/>
  <c r="D133" i="11"/>
  <c r="D148" i="11"/>
  <c r="D152" i="11"/>
  <c r="D156" i="11"/>
  <c r="D159" i="11"/>
  <c r="D162" i="11"/>
  <c r="D165" i="11"/>
  <c r="D147" i="11"/>
  <c r="D169" i="11"/>
  <c r="D172" i="11"/>
  <c r="D175" i="11"/>
  <c r="D178" i="11"/>
  <c r="D181" i="11"/>
  <c r="D184" i="11"/>
  <c r="D168" i="11"/>
  <c r="D188" i="11"/>
  <c r="D193" i="11"/>
  <c r="D198" i="11"/>
  <c r="D203" i="11"/>
  <c r="D206" i="11"/>
  <c r="D209" i="11"/>
  <c r="D213" i="11"/>
  <c r="D187" i="11"/>
  <c r="D28" i="11"/>
  <c r="D229" i="11"/>
  <c r="D232" i="11"/>
  <c r="D236" i="11"/>
  <c r="D239" i="11"/>
  <c r="D245" i="11"/>
  <c r="D248" i="11"/>
  <c r="D252" i="11"/>
  <c r="D228" i="11"/>
  <c r="D258" i="11"/>
  <c r="D266" i="11"/>
  <c r="D270" i="11"/>
  <c r="D274" i="11"/>
  <c r="D279" i="11"/>
  <c r="D282" i="11"/>
  <c r="D285" i="11"/>
  <c r="D292" i="11"/>
  <c r="D257" i="11"/>
  <c r="D298" i="11"/>
  <c r="D301" i="11"/>
  <c r="D304" i="11"/>
  <c r="D307" i="11"/>
  <c r="D310" i="11"/>
  <c r="D313" i="11"/>
  <c r="D316" i="11"/>
  <c r="D319" i="11"/>
  <c r="D297" i="11"/>
  <c r="D323" i="11"/>
  <c r="D328" i="11"/>
  <c r="D333" i="11"/>
  <c r="D322" i="11"/>
  <c r="D337" i="11"/>
  <c r="D344" i="11"/>
  <c r="D227" i="11"/>
  <c r="D351" i="11"/>
  <c r="D354" i="11"/>
  <c r="D357" i="11"/>
  <c r="D360" i="11"/>
  <c r="D363" i="11"/>
  <c r="D366" i="11"/>
  <c r="D370" i="11"/>
  <c r="D350" i="11"/>
  <c r="D374" i="11"/>
  <c r="D377" i="11"/>
  <c r="D380" i="11"/>
  <c r="D383" i="11"/>
  <c r="D399" i="11"/>
  <c r="D386" i="11"/>
  <c r="D390" i="11"/>
  <c r="D393" i="11"/>
  <c r="D396" i="11"/>
  <c r="D373" i="11"/>
  <c r="D404" i="11"/>
  <c r="D407" i="11"/>
  <c r="D410" i="11"/>
  <c r="D413" i="11"/>
  <c r="D403" i="11"/>
  <c r="D417" i="11"/>
  <c r="D422" i="11"/>
  <c r="D416" i="11"/>
  <c r="D426" i="11"/>
  <c r="D429" i="11"/>
  <c r="D432" i="11"/>
  <c r="D425" i="11"/>
  <c r="D436" i="11"/>
  <c r="D440" i="11"/>
  <c r="D443" i="11"/>
  <c r="D446" i="11"/>
  <c r="D449" i="11"/>
  <c r="D452" i="11"/>
  <c r="D435" i="11"/>
  <c r="D456" i="11"/>
  <c r="D459" i="11"/>
  <c r="D462" i="11"/>
  <c r="D455" i="11"/>
  <c r="D467" i="11"/>
  <c r="D470" i="11"/>
  <c r="D473" i="11"/>
  <c r="D466" i="11"/>
  <c r="D477" i="11"/>
  <c r="D480" i="11"/>
  <c r="D483" i="11"/>
  <c r="D476" i="11"/>
  <c r="D349" i="11"/>
  <c r="D486" i="11"/>
  <c r="D491" i="11"/>
  <c r="D494" i="11"/>
  <c r="D497" i="11"/>
  <c r="D500" i="11"/>
  <c r="D490" i="11"/>
  <c r="D503" i="11"/>
  <c r="D485" i="11"/>
  <c r="D510" i="11"/>
  <c r="D521" i="11"/>
  <c r="J521" i="11"/>
  <c r="I521" i="11"/>
  <c r="K8" i="6"/>
  <c r="H6" i="11"/>
  <c r="H7" i="11"/>
  <c r="H8" i="11"/>
  <c r="H5" i="11"/>
  <c r="K87" i="6"/>
  <c r="H10" i="11"/>
  <c r="K173" i="6"/>
  <c r="H11" i="11"/>
  <c r="H12" i="11"/>
  <c r="H9" i="11"/>
  <c r="K20" i="6"/>
  <c r="H14" i="11"/>
  <c r="H15" i="11"/>
  <c r="H13" i="11"/>
  <c r="K9" i="6"/>
  <c r="H17" i="11"/>
  <c r="K11" i="6"/>
  <c r="H18" i="11"/>
  <c r="H20" i="11"/>
  <c r="H21" i="11"/>
  <c r="H19" i="11"/>
  <c r="K12" i="6"/>
  <c r="H23" i="11"/>
  <c r="H24" i="11"/>
  <c r="H22" i="11"/>
  <c r="H16" i="11"/>
  <c r="K13" i="6"/>
  <c r="H26" i="11"/>
  <c r="H27" i="11"/>
  <c r="H25" i="11"/>
  <c r="H4" i="11"/>
  <c r="K6" i="6"/>
  <c r="H31" i="11"/>
  <c r="K38" i="6"/>
  <c r="H32" i="11"/>
  <c r="H33" i="11"/>
  <c r="H30" i="11"/>
  <c r="K5" i="6"/>
  <c r="H35" i="11"/>
  <c r="K14" i="6"/>
  <c r="H36" i="11"/>
  <c r="K15" i="6"/>
  <c r="H37" i="11"/>
  <c r="K48" i="6"/>
  <c r="H38" i="11"/>
  <c r="K165" i="6"/>
  <c r="H39" i="11"/>
  <c r="H34" i="11"/>
  <c r="K10" i="6"/>
  <c r="H42" i="11"/>
  <c r="H43" i="11"/>
  <c r="H44" i="11"/>
  <c r="H41" i="11"/>
  <c r="H29" i="11"/>
  <c r="K7" i="6"/>
  <c r="H47" i="11"/>
  <c r="K145" i="6"/>
  <c r="H48" i="11"/>
  <c r="H46" i="11"/>
  <c r="K104" i="6"/>
  <c r="H50" i="11"/>
  <c r="H51" i="11"/>
  <c r="H49" i="11"/>
  <c r="K41" i="6"/>
  <c r="H53" i="11"/>
  <c r="H54" i="11"/>
  <c r="H52" i="11"/>
  <c r="K96" i="6"/>
  <c r="H56" i="11"/>
  <c r="K105" i="6"/>
  <c r="H57" i="11"/>
  <c r="H58" i="11"/>
  <c r="H55" i="11"/>
  <c r="K40" i="6"/>
  <c r="H60" i="11"/>
  <c r="K98" i="6"/>
  <c r="H61" i="11"/>
  <c r="K99" i="6"/>
  <c r="H62" i="11"/>
  <c r="H63" i="11"/>
  <c r="H59" i="11"/>
  <c r="K71" i="6"/>
  <c r="H65" i="11"/>
  <c r="K72" i="6"/>
  <c r="H66" i="11"/>
  <c r="K73" i="6"/>
  <c r="H67" i="11"/>
  <c r="K74" i="6"/>
  <c r="H68" i="11"/>
  <c r="K121" i="6"/>
  <c r="H69" i="11"/>
  <c r="H64" i="11"/>
  <c r="K17" i="6"/>
  <c r="H71" i="11"/>
  <c r="K24" i="6"/>
  <c r="H72" i="11"/>
  <c r="K25" i="6"/>
  <c r="H73" i="11"/>
  <c r="K37" i="6"/>
  <c r="H74" i="11"/>
  <c r="H70" i="11"/>
  <c r="H45" i="11"/>
  <c r="K28" i="6"/>
  <c r="H99" i="11"/>
  <c r="K29" i="6"/>
  <c r="H100" i="11"/>
  <c r="H102" i="11"/>
  <c r="H98" i="11"/>
  <c r="K92" i="6"/>
  <c r="H85" i="11"/>
  <c r="K100" i="6"/>
  <c r="H86" i="11"/>
  <c r="H87" i="11"/>
  <c r="H84" i="11"/>
  <c r="H89" i="11"/>
  <c r="H90" i="11"/>
  <c r="H88" i="11"/>
  <c r="K50" i="6"/>
  <c r="H77" i="11"/>
  <c r="K54" i="6"/>
  <c r="H78" i="11"/>
  <c r="K57" i="6"/>
  <c r="H79" i="11"/>
  <c r="K58" i="6"/>
  <c r="H80" i="11"/>
  <c r="K62" i="6"/>
  <c r="H81" i="11"/>
  <c r="K59" i="6"/>
  <c r="H82" i="11"/>
  <c r="H76" i="11"/>
  <c r="K19" i="6"/>
  <c r="H92" i="11"/>
  <c r="H93" i="11"/>
  <c r="H91" i="11"/>
  <c r="K26" i="6"/>
  <c r="H104" i="11"/>
  <c r="K53" i="6"/>
  <c r="H105" i="11"/>
  <c r="H106" i="11"/>
  <c r="H107" i="11"/>
  <c r="H103" i="11"/>
  <c r="K43" i="6"/>
  <c r="H95" i="11"/>
  <c r="K52" i="6"/>
  <c r="H96" i="11"/>
  <c r="H94" i="11"/>
  <c r="H75" i="11"/>
  <c r="K45" i="6"/>
  <c r="H110" i="11"/>
  <c r="K108" i="6"/>
  <c r="H111" i="11"/>
  <c r="K150" i="6"/>
  <c r="H112" i="11"/>
  <c r="H113" i="11"/>
  <c r="H109" i="11"/>
  <c r="K55" i="6"/>
  <c r="H115" i="11"/>
  <c r="K89" i="6"/>
  <c r="H116" i="11"/>
  <c r="K90" i="6"/>
  <c r="H117" i="11"/>
  <c r="K97" i="6"/>
  <c r="H118" i="11"/>
  <c r="K91" i="6"/>
  <c r="H119" i="11"/>
  <c r="K146" i="6"/>
  <c r="H120" i="11"/>
  <c r="K168" i="6"/>
  <c r="H121" i="11"/>
  <c r="K169" i="6"/>
  <c r="H122" i="11"/>
  <c r="H114" i="11"/>
  <c r="K85" i="6"/>
  <c r="H125" i="11"/>
  <c r="K176" i="6"/>
  <c r="H126" i="11"/>
  <c r="K177" i="6"/>
  <c r="H127" i="11"/>
  <c r="H124" i="11"/>
  <c r="K18" i="6"/>
  <c r="H130" i="11"/>
  <c r="K158" i="6"/>
  <c r="H131" i="11"/>
  <c r="H129" i="11"/>
  <c r="H108" i="11"/>
  <c r="K47" i="6"/>
  <c r="H135" i="11"/>
  <c r="K84" i="6"/>
  <c r="H136" i="11"/>
  <c r="H134" i="11"/>
  <c r="H139" i="11"/>
  <c r="H138" i="11"/>
  <c r="H141" i="11"/>
  <c r="K46" i="6"/>
  <c r="H145" i="11"/>
  <c r="H144" i="11"/>
  <c r="H133" i="11"/>
  <c r="K66" i="6"/>
  <c r="H149" i="11"/>
  <c r="K149" i="6"/>
  <c r="H150" i="11"/>
  <c r="H148" i="11"/>
  <c r="K86" i="6"/>
  <c r="H153" i="11"/>
  <c r="K170" i="6"/>
  <c r="H154" i="11"/>
  <c r="H152" i="11"/>
  <c r="K68" i="6"/>
  <c r="H157" i="11"/>
  <c r="H156" i="11"/>
  <c r="K70" i="6"/>
  <c r="H160" i="11"/>
  <c r="H159" i="11"/>
  <c r="H162" i="11"/>
  <c r="H165" i="11"/>
  <c r="H147" i="11"/>
  <c r="H169" i="11"/>
  <c r="H172" i="11"/>
  <c r="H175" i="11"/>
  <c r="H178" i="11"/>
  <c r="K69" i="6"/>
  <c r="H182" i="11"/>
  <c r="H181" i="11"/>
  <c r="K142" i="6"/>
  <c r="H185" i="11"/>
  <c r="H184" i="11"/>
  <c r="H168" i="11"/>
  <c r="K4" i="6"/>
  <c r="H189" i="11"/>
  <c r="K162" i="6"/>
  <c r="H190" i="11"/>
  <c r="H188" i="11"/>
  <c r="K134" i="6"/>
  <c r="H194" i="11"/>
  <c r="K147" i="6"/>
  <c r="H195" i="11"/>
  <c r="K160" i="6"/>
  <c r="H196" i="11"/>
  <c r="H193" i="11"/>
  <c r="K133" i="6"/>
  <c r="H199" i="11"/>
  <c r="K148" i="6"/>
  <c r="H200" i="11"/>
  <c r="K161" i="6"/>
  <c r="H201" i="11"/>
  <c r="H198" i="11"/>
  <c r="H203" i="11"/>
  <c r="H206" i="11"/>
  <c r="K103" i="6"/>
  <c r="H210" i="11"/>
  <c r="K125" i="6"/>
  <c r="H211" i="11"/>
  <c r="H209" i="11"/>
  <c r="K138" i="6"/>
  <c r="H214" i="11"/>
  <c r="K159" i="6"/>
  <c r="H215" i="11"/>
  <c r="K166" i="6"/>
  <c r="H216" i="11"/>
  <c r="H213" i="11"/>
  <c r="H187" i="11"/>
  <c r="K22" i="6"/>
  <c r="H219" i="11"/>
  <c r="K23" i="6"/>
  <c r="H220" i="11"/>
  <c r="K31" i="6"/>
  <c r="H221" i="11"/>
  <c r="K33" i="6"/>
  <c r="H222" i="11"/>
  <c r="H223" i="11"/>
  <c r="H224" i="11"/>
  <c r="H225" i="11"/>
  <c r="H226" i="11"/>
  <c r="H218" i="11"/>
  <c r="H28" i="11"/>
  <c r="K152" i="6"/>
  <c r="H230" i="11"/>
  <c r="H231" i="11"/>
  <c r="H229" i="11"/>
  <c r="K163" i="6"/>
  <c r="H233" i="11"/>
  <c r="H234" i="11"/>
  <c r="H235" i="11"/>
  <c r="H232" i="11"/>
  <c r="H237" i="11"/>
  <c r="H236" i="11"/>
  <c r="K80" i="6"/>
  <c r="H240" i="11"/>
  <c r="K81" i="6"/>
  <c r="H241" i="11"/>
  <c r="K101" i="6"/>
  <c r="H242" i="11"/>
  <c r="K164" i="6"/>
  <c r="H243" i="11"/>
  <c r="H239" i="11"/>
  <c r="H246" i="11"/>
  <c r="H247" i="11"/>
  <c r="H245" i="11"/>
  <c r="K107" i="6"/>
  <c r="H249" i="11"/>
  <c r="H248" i="11"/>
  <c r="K63" i="6"/>
  <c r="H253" i="11"/>
  <c r="K67" i="6"/>
  <c r="H254" i="11"/>
  <c r="K131" i="6"/>
  <c r="H255" i="11"/>
  <c r="H252" i="11"/>
  <c r="H228" i="11"/>
  <c r="K110" i="6"/>
  <c r="H259" i="11"/>
  <c r="K60" i="6"/>
  <c r="H260" i="11"/>
  <c r="K178" i="6"/>
  <c r="H261" i="11"/>
  <c r="K153" i="6"/>
  <c r="H262" i="11"/>
  <c r="K154" i="6"/>
  <c r="H263" i="11"/>
  <c r="K155" i="6"/>
  <c r="H264" i="11"/>
  <c r="H265" i="11"/>
  <c r="H258" i="11"/>
  <c r="K140" i="6"/>
  <c r="H267" i="11"/>
  <c r="H268" i="11"/>
  <c r="H269" i="11"/>
  <c r="H266" i="11"/>
  <c r="K126" i="6"/>
  <c r="H271" i="11"/>
  <c r="K129" i="6"/>
  <c r="H272" i="11"/>
  <c r="H273" i="11"/>
  <c r="H270" i="11"/>
  <c r="K118" i="6"/>
  <c r="H275" i="11"/>
  <c r="K124" i="6"/>
  <c r="H276" i="11"/>
  <c r="K139" i="6"/>
  <c r="H277" i="11"/>
  <c r="H278" i="11"/>
  <c r="H274" i="11"/>
  <c r="K111" i="6"/>
  <c r="H280" i="11"/>
  <c r="H281" i="11"/>
  <c r="H279" i="11"/>
  <c r="K144" i="6"/>
  <c r="H283" i="11"/>
  <c r="H284" i="11"/>
  <c r="H282" i="11"/>
  <c r="K137" i="6"/>
  <c r="H286" i="11"/>
  <c r="K132" i="6"/>
  <c r="H287" i="11"/>
  <c r="K143" i="6"/>
  <c r="H288" i="11"/>
  <c r="H285" i="11"/>
  <c r="K106" i="6"/>
  <c r="H293" i="11"/>
  <c r="H294" i="11"/>
  <c r="H296" i="11"/>
  <c r="H292" i="11"/>
  <c r="H257" i="11"/>
  <c r="H298" i="11"/>
  <c r="K128" i="6"/>
  <c r="H302" i="11"/>
  <c r="H301" i="11"/>
  <c r="H304" i="11"/>
  <c r="H307" i="11"/>
  <c r="K115" i="6"/>
  <c r="H311" i="11"/>
  <c r="K119" i="6"/>
  <c r="H312" i="11"/>
  <c r="H310" i="11"/>
  <c r="H313" i="11"/>
  <c r="H316" i="11"/>
  <c r="H319" i="11"/>
  <c r="H297" i="11"/>
  <c r="K16" i="6"/>
  <c r="H324" i="11"/>
  <c r="K27" i="6"/>
  <c r="H325" i="11"/>
  <c r="K116" i="6"/>
  <c r="H326" i="11"/>
  <c r="K130" i="6"/>
  <c r="H327" i="11"/>
  <c r="H323" i="11"/>
  <c r="K39" i="6"/>
  <c r="H329" i="11"/>
  <c r="K56" i="6"/>
  <c r="H330" i="11"/>
  <c r="H331" i="11"/>
  <c r="H328" i="11"/>
  <c r="K109" i="6"/>
  <c r="H334" i="11"/>
  <c r="H333" i="11"/>
  <c r="H322" i="11"/>
  <c r="K51" i="6"/>
  <c r="H339" i="11"/>
  <c r="H338" i="11"/>
  <c r="H341" i="11"/>
  <c r="H340" i="11"/>
  <c r="H337" i="11"/>
  <c r="H344" i="11"/>
  <c r="H348" i="11"/>
  <c r="H347" i="11"/>
  <c r="H227" i="11"/>
  <c r="K44" i="6"/>
  <c r="H352" i="11"/>
  <c r="K49" i="6"/>
  <c r="H353" i="11"/>
  <c r="H351" i="11"/>
  <c r="H354" i="11"/>
  <c r="H358" i="11"/>
  <c r="H359" i="11"/>
  <c r="H357" i="11"/>
  <c r="H360" i="11"/>
  <c r="H363" i="11"/>
  <c r="K64" i="6"/>
  <c r="H367" i="11"/>
  <c r="K175" i="6"/>
  <c r="H368" i="11"/>
  <c r="H366" i="11"/>
  <c r="H370" i="11"/>
  <c r="H350" i="11"/>
  <c r="K113" i="6"/>
  <c r="H375" i="11"/>
  <c r="H374" i="11"/>
  <c r="K141" i="6"/>
  <c r="H378" i="11"/>
  <c r="H377" i="11"/>
  <c r="H380" i="11"/>
  <c r="H383" i="11"/>
  <c r="K179" i="6"/>
  <c r="H400" i="11"/>
  <c r="K184" i="6"/>
  <c r="H401" i="11"/>
  <c r="H399" i="11"/>
  <c r="K83" i="6"/>
  <c r="H387" i="11"/>
  <c r="H386" i="11"/>
  <c r="K82" i="6"/>
  <c r="H391" i="11"/>
  <c r="H390" i="11"/>
  <c r="K79" i="6"/>
  <c r="H394" i="11"/>
  <c r="H393" i="11"/>
  <c r="K78" i="6"/>
  <c r="H397" i="11"/>
  <c r="H396" i="11"/>
  <c r="H373" i="11"/>
  <c r="H405" i="11"/>
  <c r="H404" i="11"/>
  <c r="H408" i="11"/>
  <c r="H407" i="11"/>
  <c r="H410" i="11"/>
  <c r="H413" i="11"/>
  <c r="H403" i="11"/>
  <c r="K120" i="6"/>
  <c r="H418" i="11"/>
  <c r="K122" i="6"/>
  <c r="H419" i="11"/>
  <c r="K135" i="6"/>
  <c r="H420" i="11"/>
  <c r="H421" i="11"/>
  <c r="H417" i="11"/>
  <c r="H422" i="11"/>
  <c r="H416" i="11"/>
  <c r="K75" i="6"/>
  <c r="H427" i="11"/>
  <c r="H426" i="11"/>
  <c r="K77" i="6"/>
  <c r="H430" i="11"/>
  <c r="K127" i="6"/>
  <c r="H431" i="11"/>
  <c r="H429" i="11"/>
  <c r="K76" i="6"/>
  <c r="H433" i="11"/>
  <c r="H432" i="11"/>
  <c r="H425" i="11"/>
  <c r="K88" i="6"/>
  <c r="H437" i="11"/>
  <c r="K171" i="6"/>
  <c r="H438" i="11"/>
  <c r="H436" i="11"/>
  <c r="K117" i="6"/>
  <c r="H441" i="11"/>
  <c r="H440" i="11"/>
  <c r="H443" i="11"/>
  <c r="K180" i="6"/>
  <c r="H447" i="11"/>
  <c r="H446" i="11"/>
  <c r="H449" i="11"/>
  <c r="H452" i="11"/>
  <c r="H435" i="11"/>
  <c r="K114" i="6"/>
  <c r="H457" i="11"/>
  <c r="H456" i="11"/>
  <c r="H459" i="11"/>
  <c r="K123" i="6"/>
  <c r="H463" i="11"/>
  <c r="K182" i="6"/>
  <c r="H464" i="11"/>
  <c r="H462" i="11"/>
  <c r="H455" i="11"/>
  <c r="H467" i="11"/>
  <c r="H470" i="11"/>
  <c r="H473" i="11"/>
  <c r="H466" i="11"/>
  <c r="H477" i="11"/>
  <c r="H480" i="11"/>
  <c r="H483" i="11"/>
  <c r="H476" i="11"/>
  <c r="H349" i="11"/>
  <c r="K65" i="6"/>
  <c r="H487" i="11"/>
  <c r="K167" i="6"/>
  <c r="H488" i="11"/>
  <c r="H486" i="11"/>
  <c r="H491" i="11"/>
  <c r="H494" i="11"/>
  <c r="H497" i="11"/>
  <c r="H500" i="11"/>
  <c r="H490" i="11"/>
  <c r="H507" i="11"/>
  <c r="H503" i="11"/>
  <c r="H485" i="11"/>
  <c r="K42" i="6"/>
  <c r="H511" i="11"/>
  <c r="K32" i="6"/>
  <c r="H512" i="11"/>
  <c r="K136" i="6"/>
  <c r="H513" i="11"/>
  <c r="K151" i="6"/>
  <c r="H514" i="11"/>
  <c r="K156" i="6"/>
  <c r="H515" i="11"/>
  <c r="K157" i="6"/>
  <c r="H516" i="11"/>
  <c r="H510" i="11"/>
  <c r="H521" i="11"/>
  <c r="J510" i="11"/>
  <c r="J486" i="11"/>
  <c r="J490" i="11"/>
  <c r="J507" i="11"/>
  <c r="J503" i="11"/>
  <c r="J485" i="11"/>
  <c r="J349" i="11"/>
  <c r="J227" i="11"/>
  <c r="J29" i="11"/>
  <c r="J45" i="11"/>
  <c r="J75" i="11"/>
  <c r="J114" i="11"/>
  <c r="J124" i="11"/>
  <c r="J129" i="11"/>
  <c r="J108" i="11"/>
  <c r="J218" i="11"/>
  <c r="J28" i="11"/>
  <c r="J520" i="11"/>
  <c r="I510" i="11"/>
  <c r="I486" i="11"/>
  <c r="I490" i="11"/>
  <c r="I507" i="11"/>
  <c r="I503" i="11"/>
  <c r="I485" i="11"/>
  <c r="I349" i="11"/>
  <c r="I227" i="11"/>
  <c r="I29" i="11"/>
  <c r="I45" i="11"/>
  <c r="I75" i="11"/>
  <c r="I114" i="11"/>
  <c r="I124" i="11"/>
  <c r="I129" i="11"/>
  <c r="I108" i="11"/>
  <c r="I218" i="11"/>
  <c r="I28" i="11"/>
  <c r="I520" i="11"/>
  <c r="H520" i="11"/>
  <c r="G520" i="11"/>
  <c r="F520" i="11"/>
  <c r="E520" i="11"/>
  <c r="D520" i="11"/>
  <c r="B516" i="11"/>
  <c r="B515" i="11"/>
  <c r="B514" i="11"/>
  <c r="B513" i="11"/>
  <c r="B512" i="11"/>
  <c r="B511" i="11"/>
  <c r="M507" i="11"/>
  <c r="J497" i="11"/>
  <c r="I497" i="11"/>
  <c r="B488" i="11"/>
  <c r="B487" i="11"/>
  <c r="J476" i="11"/>
  <c r="I476" i="11"/>
  <c r="J466" i="11"/>
  <c r="I466" i="11"/>
  <c r="B464" i="11"/>
  <c r="B463" i="11"/>
  <c r="J459" i="11"/>
  <c r="I459" i="11"/>
  <c r="B457" i="11"/>
  <c r="J455" i="11"/>
  <c r="I455" i="11"/>
  <c r="J452" i="11"/>
  <c r="I452" i="11"/>
  <c r="B447" i="11"/>
  <c r="B441" i="11"/>
  <c r="J440" i="11"/>
  <c r="I440" i="11"/>
  <c r="B438" i="11"/>
  <c r="B437" i="11"/>
  <c r="J435" i="11"/>
  <c r="I435" i="11"/>
  <c r="B433" i="11"/>
  <c r="B431" i="11"/>
  <c r="B430" i="11"/>
  <c r="B427" i="11"/>
  <c r="J425" i="11"/>
  <c r="I425" i="11"/>
  <c r="B421" i="11"/>
  <c r="B420" i="11"/>
  <c r="B419" i="11"/>
  <c r="B418" i="11"/>
  <c r="J416" i="11"/>
  <c r="I416" i="11"/>
  <c r="B408" i="11"/>
  <c r="B405" i="11"/>
  <c r="J403" i="11"/>
  <c r="I403" i="11"/>
  <c r="G401" i="11"/>
  <c r="B401" i="11"/>
  <c r="B400" i="11"/>
  <c r="B397" i="11"/>
  <c r="B394" i="11"/>
  <c r="B391" i="11"/>
  <c r="B387" i="11"/>
  <c r="B378" i="11"/>
  <c r="J377" i="11"/>
  <c r="I377" i="11"/>
  <c r="B375" i="11"/>
  <c r="J374" i="11"/>
  <c r="I374" i="11"/>
  <c r="J373" i="11"/>
  <c r="I373" i="11"/>
  <c r="B368" i="11"/>
  <c r="B367" i="11"/>
  <c r="B353" i="11"/>
  <c r="B352" i="11"/>
  <c r="J351" i="11"/>
  <c r="I351" i="11"/>
  <c r="J350" i="11"/>
  <c r="I350" i="11"/>
  <c r="B348" i="11"/>
  <c r="J344" i="11"/>
  <c r="I344" i="11"/>
  <c r="B341" i="11"/>
  <c r="D340" i="11"/>
  <c r="B339" i="11"/>
  <c r="D338" i="11"/>
  <c r="J337" i="11"/>
  <c r="I337" i="11"/>
  <c r="B334" i="11"/>
  <c r="B331" i="11"/>
  <c r="B330" i="11"/>
  <c r="B329" i="11"/>
  <c r="B327" i="11"/>
  <c r="B326" i="11"/>
  <c r="B325" i="11"/>
  <c r="B324" i="11"/>
  <c r="J322" i="11"/>
  <c r="I322" i="11"/>
  <c r="I319" i="11"/>
  <c r="I316" i="11"/>
  <c r="I313" i="11"/>
  <c r="B312" i="11"/>
  <c r="B311" i="11"/>
  <c r="I310" i="11"/>
  <c r="I307" i="11"/>
  <c r="I304" i="11"/>
  <c r="B302" i="11"/>
  <c r="I301" i="11"/>
  <c r="I298" i="11"/>
  <c r="J297" i="11"/>
  <c r="I297" i="11"/>
  <c r="B293" i="11"/>
  <c r="I292" i="11"/>
  <c r="H291" i="11"/>
  <c r="K186" i="6"/>
  <c r="H289" i="11"/>
  <c r="G186" i="6"/>
  <c r="F289" i="11"/>
  <c r="G289" i="11"/>
  <c r="B289" i="11"/>
  <c r="B288" i="11"/>
  <c r="B287" i="11"/>
  <c r="B286" i="11"/>
  <c r="I285" i="11"/>
  <c r="B283" i="11"/>
  <c r="I282" i="11"/>
  <c r="B280" i="11"/>
  <c r="I279" i="11"/>
  <c r="B277" i="11"/>
  <c r="B276" i="11"/>
  <c r="B275" i="11"/>
  <c r="I274" i="11"/>
  <c r="B273" i="11"/>
  <c r="B272" i="11"/>
  <c r="B271" i="11"/>
  <c r="I270" i="11"/>
  <c r="B267" i="11"/>
  <c r="I266" i="11"/>
  <c r="B264" i="11"/>
  <c r="B263" i="11"/>
  <c r="B262" i="11"/>
  <c r="B261" i="11"/>
  <c r="B260" i="11"/>
  <c r="B259" i="11"/>
  <c r="I258" i="11"/>
  <c r="J257" i="11"/>
  <c r="I257" i="11"/>
  <c r="B255" i="11"/>
  <c r="B254" i="11"/>
  <c r="B253" i="11"/>
  <c r="B249" i="11"/>
  <c r="B246" i="11"/>
  <c r="B243" i="11"/>
  <c r="B242" i="11"/>
  <c r="B241" i="11"/>
  <c r="B240" i="11"/>
  <c r="B237" i="11"/>
  <c r="B233" i="11"/>
  <c r="B230" i="11"/>
  <c r="J228" i="11"/>
  <c r="I228" i="11"/>
  <c r="B226" i="11"/>
  <c r="B225" i="11"/>
  <c r="B224" i="11"/>
  <c r="B223" i="11"/>
  <c r="B222" i="11"/>
  <c r="B221" i="11"/>
  <c r="B220" i="11"/>
  <c r="B219" i="11"/>
  <c r="K218" i="11"/>
  <c r="B216" i="11"/>
  <c r="B215" i="11"/>
  <c r="B214" i="11"/>
  <c r="B211" i="11"/>
  <c r="B210" i="11"/>
  <c r="J203" i="11"/>
  <c r="I203" i="11"/>
  <c r="B201" i="11"/>
  <c r="B200" i="11"/>
  <c r="B199" i="11"/>
  <c r="B196" i="11"/>
  <c r="B195" i="11"/>
  <c r="B194" i="11"/>
  <c r="B190" i="11"/>
  <c r="B189" i="11"/>
  <c r="J187" i="11"/>
  <c r="I187" i="11"/>
  <c r="B185" i="11"/>
  <c r="B182" i="11"/>
  <c r="J178" i="11"/>
  <c r="I178" i="11"/>
  <c r="J168" i="11"/>
  <c r="I168" i="11"/>
  <c r="B160" i="11"/>
  <c r="B157" i="11"/>
  <c r="B154" i="11"/>
  <c r="B153" i="11"/>
  <c r="B150" i="11"/>
  <c r="B149" i="11"/>
  <c r="J147" i="11"/>
  <c r="I147" i="11"/>
  <c r="B145" i="11"/>
  <c r="J144" i="11"/>
  <c r="I144" i="11"/>
  <c r="B139" i="11"/>
  <c r="B136" i="11"/>
  <c r="B135" i="11"/>
  <c r="J134" i="11"/>
  <c r="I134" i="11"/>
  <c r="J133" i="11"/>
  <c r="I133" i="11"/>
  <c r="B131" i="11"/>
  <c r="B130" i="11"/>
  <c r="B127" i="11"/>
  <c r="B126" i="11"/>
  <c r="B125" i="11"/>
  <c r="B122" i="11"/>
  <c r="B121" i="11"/>
  <c r="B120" i="11"/>
  <c r="B119" i="11"/>
  <c r="B118" i="11"/>
  <c r="B117" i="11"/>
  <c r="B116" i="11"/>
  <c r="B115" i="11"/>
  <c r="B113" i="11"/>
  <c r="B112" i="11"/>
  <c r="B111" i="11"/>
  <c r="B110" i="11"/>
  <c r="J107" i="11"/>
  <c r="J106" i="11"/>
  <c r="B105" i="11"/>
  <c r="B104" i="11"/>
  <c r="J103" i="11"/>
  <c r="I103" i="11"/>
  <c r="B100" i="11"/>
  <c r="B99" i="11"/>
  <c r="B96" i="11"/>
  <c r="B95" i="11"/>
  <c r="J94" i="11"/>
  <c r="I94" i="11"/>
  <c r="B92" i="11"/>
  <c r="J88" i="11"/>
  <c r="I88" i="11"/>
  <c r="B86" i="11"/>
  <c r="B85" i="11"/>
  <c r="B82" i="11"/>
  <c r="B81" i="11"/>
  <c r="B80" i="11"/>
  <c r="B79" i="11"/>
  <c r="B78" i="11"/>
  <c r="B77" i="11"/>
  <c r="B74" i="11"/>
  <c r="B73" i="11"/>
  <c r="B72" i="11"/>
  <c r="B71" i="11"/>
  <c r="J70" i="11"/>
  <c r="I70" i="11"/>
  <c r="B69" i="11"/>
  <c r="B68" i="11"/>
  <c r="B67" i="11"/>
  <c r="B66" i="11"/>
  <c r="B65" i="11"/>
  <c r="J64" i="11"/>
  <c r="I64" i="11"/>
  <c r="B62" i="11"/>
  <c r="B61" i="11"/>
  <c r="B60" i="11"/>
  <c r="B57" i="11"/>
  <c r="B56" i="11"/>
  <c r="B53" i="11"/>
  <c r="B50" i="11"/>
  <c r="J49" i="11"/>
  <c r="I49" i="11"/>
  <c r="B48" i="11"/>
  <c r="B47" i="11"/>
  <c r="B44" i="11"/>
  <c r="B43" i="11"/>
  <c r="B42" i="11"/>
  <c r="B39" i="11"/>
  <c r="B38" i="11"/>
  <c r="B37" i="11"/>
  <c r="B36" i="11"/>
  <c r="B35" i="11"/>
  <c r="B33" i="11"/>
  <c r="B32" i="11"/>
  <c r="B31" i="11"/>
  <c r="B26" i="11"/>
  <c r="J25" i="11"/>
  <c r="I25" i="11"/>
  <c r="B23" i="11"/>
  <c r="J22" i="11"/>
  <c r="I22" i="11"/>
  <c r="J19" i="11"/>
  <c r="I19" i="11"/>
  <c r="B18" i="11"/>
  <c r="B17" i="11"/>
  <c r="J16" i="11"/>
  <c r="I16" i="11"/>
  <c r="J14" i="11"/>
  <c r="I14" i="11"/>
  <c r="B14" i="11"/>
  <c r="J13" i="11"/>
  <c r="I13" i="11"/>
  <c r="J11" i="11"/>
  <c r="I11" i="11"/>
  <c r="B11" i="11"/>
  <c r="J10" i="11"/>
  <c r="I10" i="11"/>
  <c r="B10" i="11"/>
  <c r="J9" i="11"/>
  <c r="I9" i="11"/>
  <c r="B6" i="11"/>
  <c r="J5" i="11"/>
  <c r="I5" i="11"/>
  <c r="J4" i="11"/>
  <c r="I4" i="11"/>
  <c r="E5" i="8"/>
  <c r="E7" i="8"/>
  <c r="E9" i="8"/>
  <c r="E11" i="8"/>
  <c r="E15" i="8"/>
  <c r="E29" i="8"/>
  <c r="E31" i="8"/>
  <c r="E33" i="8"/>
  <c r="E35" i="8"/>
  <c r="E39" i="8"/>
  <c r="E41" i="8"/>
  <c r="E43" i="8"/>
  <c r="E45" i="8"/>
  <c r="E47" i="8"/>
  <c r="E55" i="8"/>
  <c r="F5" i="8"/>
  <c r="F7" i="8"/>
  <c r="F9" i="8"/>
  <c r="F11" i="8"/>
  <c r="F15" i="8"/>
  <c r="F29" i="8"/>
  <c r="F30" i="8"/>
  <c r="F31" i="8"/>
  <c r="F33" i="8"/>
  <c r="F34" i="8"/>
  <c r="F35" i="8"/>
  <c r="F39" i="8"/>
  <c r="F41" i="8"/>
  <c r="F43" i="8"/>
  <c r="F45" i="8"/>
  <c r="F47" i="8"/>
  <c r="F55" i="8"/>
  <c r="G5" i="8"/>
  <c r="G7" i="8"/>
  <c r="G9" i="8"/>
  <c r="G11" i="8"/>
  <c r="G15" i="8"/>
  <c r="G29" i="8"/>
  <c r="G31" i="8"/>
  <c r="G33" i="8"/>
  <c r="G35" i="8"/>
  <c r="G39" i="8"/>
  <c r="G41" i="8"/>
  <c r="G43" i="8"/>
  <c r="G45" i="8"/>
  <c r="G47" i="8"/>
  <c r="G55" i="8"/>
  <c r="H5" i="8"/>
  <c r="H7" i="8"/>
  <c r="H9" i="8"/>
  <c r="H11" i="8"/>
  <c r="H15" i="8"/>
  <c r="H29" i="8"/>
  <c r="H30" i="8"/>
  <c r="H31" i="8"/>
  <c r="H33" i="8"/>
  <c r="H34" i="8"/>
  <c r="H35" i="8"/>
  <c r="H39" i="8"/>
  <c r="H41" i="8"/>
  <c r="H43" i="8"/>
  <c r="H45" i="8"/>
  <c r="H47" i="8"/>
  <c r="H55" i="8"/>
  <c r="I55" i="8"/>
  <c r="J5" i="8"/>
  <c r="J7" i="8"/>
  <c r="J9" i="8"/>
  <c r="J10" i="8"/>
  <c r="J11" i="8"/>
  <c r="J15" i="8"/>
  <c r="J29" i="8"/>
  <c r="J30" i="8"/>
  <c r="J31" i="8"/>
  <c r="J33" i="8"/>
  <c r="J34" i="8"/>
  <c r="J35" i="8"/>
  <c r="J39" i="8"/>
  <c r="J41" i="8"/>
  <c r="J43" i="8"/>
  <c r="J45" i="8"/>
  <c r="J47" i="8"/>
  <c r="J55" i="8"/>
  <c r="K5" i="8"/>
  <c r="K7" i="8"/>
  <c r="K9" i="8"/>
  <c r="K10" i="8"/>
  <c r="K11" i="8"/>
  <c r="K15" i="8"/>
  <c r="K29" i="8"/>
  <c r="K30" i="8"/>
  <c r="K31" i="8"/>
  <c r="K33" i="8"/>
  <c r="K34" i="8"/>
  <c r="K35" i="8"/>
  <c r="K39" i="8"/>
  <c r="K41" i="8"/>
  <c r="K43" i="8"/>
  <c r="K45" i="8"/>
  <c r="K47" i="8"/>
  <c r="K55" i="8"/>
  <c r="L5" i="8"/>
  <c r="L7" i="8"/>
  <c r="L9" i="8"/>
  <c r="L11" i="8"/>
  <c r="L15" i="8"/>
  <c r="L29" i="8"/>
  <c r="L31" i="8"/>
  <c r="L33" i="8"/>
  <c r="L35" i="8"/>
  <c r="L39" i="8"/>
  <c r="L41" i="8"/>
  <c r="L43" i="8"/>
  <c r="L45" i="8"/>
  <c r="L47" i="8"/>
  <c r="L55" i="8"/>
  <c r="M5" i="8"/>
  <c r="M7" i="8"/>
  <c r="M9" i="8"/>
  <c r="M11" i="8"/>
  <c r="M15" i="8"/>
  <c r="M29" i="8"/>
  <c r="M31" i="8"/>
  <c r="M33" i="8"/>
  <c r="M35" i="8"/>
  <c r="M39" i="8"/>
  <c r="M41" i="8"/>
  <c r="M43" i="8"/>
  <c r="M45" i="8"/>
  <c r="M47" i="8"/>
  <c r="M55" i="8"/>
  <c r="N5" i="8"/>
  <c r="N7" i="8"/>
  <c r="N9" i="8"/>
  <c r="N11" i="8"/>
  <c r="N15" i="8"/>
  <c r="N17" i="8"/>
  <c r="N19" i="8"/>
  <c r="N21" i="8"/>
  <c r="N23" i="8"/>
  <c r="N27" i="8"/>
  <c r="N29" i="8"/>
  <c r="N31" i="8"/>
  <c r="N33" i="8"/>
  <c r="N35" i="8"/>
  <c r="N39" i="8"/>
  <c r="N41" i="8"/>
  <c r="N43" i="8"/>
  <c r="N45" i="8"/>
  <c r="N47" i="8"/>
  <c r="N55" i="8"/>
  <c r="O5" i="8"/>
  <c r="O7" i="8"/>
  <c r="O9" i="8"/>
  <c r="O11" i="8"/>
  <c r="O15" i="8"/>
  <c r="O17" i="8"/>
  <c r="O18" i="8"/>
  <c r="O19" i="8"/>
  <c r="O21" i="8"/>
  <c r="O22" i="8"/>
  <c r="O23" i="8"/>
  <c r="O27" i="8"/>
  <c r="O29" i="8"/>
  <c r="O30" i="8"/>
  <c r="O31" i="8"/>
  <c r="O39" i="8"/>
  <c r="O41" i="8"/>
  <c r="O43" i="8"/>
  <c r="O45" i="8"/>
  <c r="O47" i="8"/>
  <c r="O55" i="8"/>
  <c r="P5" i="8"/>
  <c r="P7" i="8"/>
  <c r="P9" i="8"/>
  <c r="P11" i="8"/>
  <c r="P15" i="8"/>
  <c r="P17" i="8"/>
  <c r="P18" i="8"/>
  <c r="P19" i="8"/>
  <c r="P21" i="8"/>
  <c r="P22" i="8"/>
  <c r="P23" i="8"/>
  <c r="P27" i="8"/>
  <c r="P29" i="8"/>
  <c r="P31" i="8"/>
  <c r="P33" i="8"/>
  <c r="P35" i="8"/>
  <c r="P39" i="8"/>
  <c r="P41" i="8"/>
  <c r="P43" i="8"/>
  <c r="P45" i="8"/>
  <c r="P47" i="8"/>
  <c r="P55" i="8"/>
  <c r="Q5" i="8"/>
  <c r="Q7" i="8"/>
  <c r="Q9" i="8"/>
  <c r="Q10" i="8"/>
  <c r="Q11" i="8"/>
  <c r="Q15" i="8"/>
  <c r="Q17" i="8"/>
  <c r="Q18" i="8"/>
  <c r="Q19" i="8"/>
  <c r="Q21" i="8"/>
  <c r="Q22" i="8"/>
  <c r="Q23" i="8"/>
  <c r="Q27" i="8"/>
  <c r="Q29" i="8"/>
  <c r="Q30" i="8"/>
  <c r="Q31" i="8"/>
  <c r="Q33" i="8"/>
  <c r="Q34" i="8"/>
  <c r="Q35" i="8"/>
  <c r="Q39" i="8"/>
  <c r="Q41" i="8"/>
  <c r="Q43" i="8"/>
  <c r="Q46" i="8"/>
  <c r="Q45" i="8"/>
  <c r="Q47" i="8"/>
  <c r="Q55" i="8"/>
  <c r="R5" i="8"/>
  <c r="R7" i="8"/>
  <c r="R9" i="8"/>
  <c r="R10" i="8"/>
  <c r="R11" i="8"/>
  <c r="R15" i="8"/>
  <c r="R17" i="8"/>
  <c r="R19" i="8"/>
  <c r="R21" i="8"/>
  <c r="R23" i="8"/>
  <c r="R27" i="8"/>
  <c r="R29" i="8"/>
  <c r="R30" i="8"/>
  <c r="R31" i="8"/>
  <c r="R33" i="8"/>
  <c r="R34" i="8"/>
  <c r="R35" i="8"/>
  <c r="R39" i="8"/>
  <c r="R41" i="8"/>
  <c r="R43" i="8"/>
  <c r="R46" i="8"/>
  <c r="R45" i="8"/>
  <c r="R47" i="8"/>
  <c r="R55" i="8"/>
  <c r="S5" i="8"/>
  <c r="S7" i="8"/>
  <c r="S9" i="8"/>
  <c r="S10" i="8"/>
  <c r="S11" i="8"/>
  <c r="S15" i="8"/>
  <c r="S17" i="8"/>
  <c r="S18" i="8"/>
  <c r="S19" i="8"/>
  <c r="S21" i="8"/>
  <c r="S22" i="8"/>
  <c r="S23" i="8"/>
  <c r="S27" i="8"/>
  <c r="S29" i="8"/>
  <c r="S30" i="8"/>
  <c r="S31" i="8"/>
  <c r="S33" i="8"/>
  <c r="S34" i="8"/>
  <c r="S35" i="8"/>
  <c r="S39" i="8"/>
  <c r="S41" i="8"/>
  <c r="S43" i="8"/>
  <c r="S46" i="8"/>
  <c r="S45" i="8"/>
  <c r="S47" i="8"/>
  <c r="S55" i="8"/>
  <c r="T5" i="8"/>
  <c r="T7" i="8"/>
  <c r="T9" i="8"/>
  <c r="T10" i="8"/>
  <c r="T11" i="8"/>
  <c r="T15" i="8"/>
  <c r="T17" i="8"/>
  <c r="T18" i="8"/>
  <c r="T19" i="8"/>
  <c r="T21" i="8"/>
  <c r="T22" i="8"/>
  <c r="T23" i="8"/>
  <c r="T27" i="8"/>
  <c r="T29" i="8"/>
  <c r="T30" i="8"/>
  <c r="T31" i="8"/>
  <c r="T33" i="8"/>
  <c r="T34" i="8"/>
  <c r="T35" i="8"/>
  <c r="T39" i="8"/>
  <c r="T41" i="8"/>
  <c r="T43" i="8"/>
  <c r="T46" i="8"/>
  <c r="T45" i="8"/>
  <c r="T47" i="8"/>
  <c r="T55" i="8"/>
  <c r="U5" i="8"/>
  <c r="U6" i="8"/>
  <c r="U7" i="8"/>
  <c r="U9" i="8"/>
  <c r="U10" i="8"/>
  <c r="U11" i="8"/>
  <c r="U15" i="8"/>
  <c r="U17" i="8"/>
  <c r="U18" i="8"/>
  <c r="U19" i="8"/>
  <c r="U21" i="8"/>
  <c r="U22" i="8"/>
  <c r="U23" i="8"/>
  <c r="U27" i="8"/>
  <c r="U29" i="8"/>
  <c r="U30" i="8"/>
  <c r="U31" i="8"/>
  <c r="U33" i="8"/>
  <c r="U34" i="8"/>
  <c r="U35" i="8"/>
  <c r="U39" i="8"/>
  <c r="U41" i="8"/>
  <c r="U43" i="8"/>
  <c r="U46" i="8"/>
  <c r="U45" i="8"/>
  <c r="U47" i="8"/>
  <c r="U55" i="8"/>
  <c r="V55" i="8"/>
  <c r="W5" i="8"/>
  <c r="W6" i="8"/>
  <c r="W7" i="8"/>
  <c r="W9" i="8"/>
  <c r="W10" i="8"/>
  <c r="W11" i="8"/>
  <c r="W15" i="8"/>
  <c r="W17" i="8"/>
  <c r="W18" i="8"/>
  <c r="W19" i="8"/>
  <c r="W21" i="8"/>
  <c r="W22" i="8"/>
  <c r="W23" i="8"/>
  <c r="W27" i="8"/>
  <c r="W29" i="8"/>
  <c r="W30" i="8"/>
  <c r="W31" i="8"/>
  <c r="W33" i="8"/>
  <c r="W34" i="8"/>
  <c r="W35" i="8"/>
  <c r="W39" i="8"/>
  <c r="W41" i="8"/>
  <c r="W43" i="8"/>
  <c r="W45" i="8"/>
  <c r="W47" i="8"/>
  <c r="W55" i="8"/>
  <c r="X5" i="8"/>
  <c r="X6" i="8"/>
  <c r="X7" i="8"/>
  <c r="X9" i="8"/>
  <c r="X10" i="8"/>
  <c r="X11" i="8"/>
  <c r="X15" i="8"/>
  <c r="X17" i="8"/>
  <c r="X18" i="8"/>
  <c r="X19" i="8"/>
  <c r="X21" i="8"/>
  <c r="X22" i="8"/>
  <c r="X23" i="8"/>
  <c r="X27" i="8"/>
  <c r="X29" i="8"/>
  <c r="X30" i="8"/>
  <c r="X31" i="8"/>
  <c r="X33" i="8"/>
  <c r="X34" i="8"/>
  <c r="X35" i="8"/>
  <c r="X39" i="8"/>
  <c r="X41" i="8"/>
  <c r="X43" i="8"/>
  <c r="X46" i="8"/>
  <c r="X45" i="8"/>
  <c r="X47" i="8"/>
  <c r="X55" i="8"/>
  <c r="Y5" i="8"/>
  <c r="Y6" i="8"/>
  <c r="Y7" i="8"/>
  <c r="Y9" i="8"/>
  <c r="Y10" i="8"/>
  <c r="Y11" i="8"/>
  <c r="Y15" i="8"/>
  <c r="Y17" i="8"/>
  <c r="Y18" i="8"/>
  <c r="Y19" i="8"/>
  <c r="Y21" i="8"/>
  <c r="Y22" i="8"/>
  <c r="Y23" i="8"/>
  <c r="Y27" i="8"/>
  <c r="Y29" i="8"/>
  <c r="Y30" i="8"/>
  <c r="Y31" i="8"/>
  <c r="Y33" i="8"/>
  <c r="Y34" i="8"/>
  <c r="Y35" i="8"/>
  <c r="Y39" i="8"/>
  <c r="Y41" i="8"/>
  <c r="Y43" i="8"/>
  <c r="Y46" i="8"/>
  <c r="Y45" i="8"/>
  <c r="Y47" i="8"/>
  <c r="Y55" i="8"/>
  <c r="Z5" i="8"/>
  <c r="Z6" i="8"/>
  <c r="Z7" i="8"/>
  <c r="Z9" i="8"/>
  <c r="Z10" i="8"/>
  <c r="Z11" i="8"/>
  <c r="Z15" i="8"/>
  <c r="Z17" i="8"/>
  <c r="Z19" i="8"/>
  <c r="Z21" i="8"/>
  <c r="Z23" i="8"/>
  <c r="Z27" i="8"/>
  <c r="Z29" i="8"/>
  <c r="Z30" i="8"/>
  <c r="Z31" i="8"/>
  <c r="Z33" i="8"/>
  <c r="Z34" i="8"/>
  <c r="Z35" i="8"/>
  <c r="Z39" i="8"/>
  <c r="Z41" i="8"/>
  <c r="Z43" i="8"/>
  <c r="Z46" i="8"/>
  <c r="Z45" i="8"/>
  <c r="Z47" i="8"/>
  <c r="Z55" i="8"/>
  <c r="AA5" i="8"/>
  <c r="AA6" i="8"/>
  <c r="AA7" i="8"/>
  <c r="AA9" i="8"/>
  <c r="AA10" i="8"/>
  <c r="AA11" i="8"/>
  <c r="AA15" i="8"/>
  <c r="AA17" i="8"/>
  <c r="AA19" i="8"/>
  <c r="AA21" i="8"/>
  <c r="AA23" i="8"/>
  <c r="AA27" i="8"/>
  <c r="AA29" i="8"/>
  <c r="AA30" i="8"/>
  <c r="AA31" i="8"/>
  <c r="AA33" i="8"/>
  <c r="AA34" i="8"/>
  <c r="AA35" i="8"/>
  <c r="AA39" i="8"/>
  <c r="AA41" i="8"/>
  <c r="AA43" i="8"/>
  <c r="AA46" i="8"/>
  <c r="AA45" i="8"/>
  <c r="AA47" i="8"/>
  <c r="AA55" i="8"/>
  <c r="AB5" i="8"/>
  <c r="AB6" i="8"/>
  <c r="AB7" i="8"/>
  <c r="AB9" i="8"/>
  <c r="AB10" i="8"/>
  <c r="AB11" i="8"/>
  <c r="AB15" i="8"/>
  <c r="AB17" i="8"/>
  <c r="AB18" i="8"/>
  <c r="AB19" i="8"/>
  <c r="AB21" i="8"/>
  <c r="AB22" i="8"/>
  <c r="AB23" i="8"/>
  <c r="AB27" i="8"/>
  <c r="AB29" i="8"/>
  <c r="AB30" i="8"/>
  <c r="AB31" i="8"/>
  <c r="AB33" i="8"/>
  <c r="AB34" i="8"/>
  <c r="AB35" i="8"/>
  <c r="AB39" i="8"/>
  <c r="AB41" i="8"/>
  <c r="AB43" i="8"/>
  <c r="AB46" i="8"/>
  <c r="AB45" i="8"/>
  <c r="AB47" i="8"/>
  <c r="AB55" i="8"/>
  <c r="AC5" i="8"/>
  <c r="AC6" i="8"/>
  <c r="AC7" i="8"/>
  <c r="AC9" i="8"/>
  <c r="AC10" i="8"/>
  <c r="AC11" i="8"/>
  <c r="AC15" i="8"/>
  <c r="AC17" i="8"/>
  <c r="AC18" i="8"/>
  <c r="AC19" i="8"/>
  <c r="AC21" i="8"/>
  <c r="AC22" i="8"/>
  <c r="AC23" i="8"/>
  <c r="AC27" i="8"/>
  <c r="AC29" i="8"/>
  <c r="AC30" i="8"/>
  <c r="AC31" i="8"/>
  <c r="AC33" i="8"/>
  <c r="AC34" i="8"/>
  <c r="AC35" i="8"/>
  <c r="AC39" i="8"/>
  <c r="AC41" i="8"/>
  <c r="AC43" i="8"/>
  <c r="AC46" i="8"/>
  <c r="AC45" i="8"/>
  <c r="AC47" i="8"/>
  <c r="AC55" i="8"/>
  <c r="AD5" i="8"/>
  <c r="AD6" i="8"/>
  <c r="AD7" i="8"/>
  <c r="AD9" i="8"/>
  <c r="AD10" i="8"/>
  <c r="AD11" i="8"/>
  <c r="AD15" i="8"/>
  <c r="AD17" i="8"/>
  <c r="AD18" i="8"/>
  <c r="AD19" i="8"/>
  <c r="AD21" i="8"/>
  <c r="AD22" i="8"/>
  <c r="AD23" i="8"/>
  <c r="AD27" i="8"/>
  <c r="AD29" i="8"/>
  <c r="AD30" i="8"/>
  <c r="AD31" i="8"/>
  <c r="AD33" i="8"/>
  <c r="AD34" i="8"/>
  <c r="AD35" i="8"/>
  <c r="AD39" i="8"/>
  <c r="AD41" i="8"/>
  <c r="AD43" i="8"/>
  <c r="AD46" i="8"/>
  <c r="AD45" i="8"/>
  <c r="AD47" i="8"/>
  <c r="AD55" i="8"/>
  <c r="AE5" i="8"/>
  <c r="AE6" i="8"/>
  <c r="AE7" i="8"/>
  <c r="AE9" i="8"/>
  <c r="AE10" i="8"/>
  <c r="AE11" i="8"/>
  <c r="AE15" i="8"/>
  <c r="AE17" i="8"/>
  <c r="AE18" i="8"/>
  <c r="AE19" i="8"/>
  <c r="AE21" i="8"/>
  <c r="AE22" i="8"/>
  <c r="AE23" i="8"/>
  <c r="AE27" i="8"/>
  <c r="AE29" i="8"/>
  <c r="AE30" i="8"/>
  <c r="AE31" i="8"/>
  <c r="AE33" i="8"/>
  <c r="AE34" i="8"/>
  <c r="AE35" i="8"/>
  <c r="AE39" i="8"/>
  <c r="AE41" i="8"/>
  <c r="AE43" i="8"/>
  <c r="AE46" i="8"/>
  <c r="AE45" i="8"/>
  <c r="AE47" i="8"/>
  <c r="AE55" i="8"/>
  <c r="AF5" i="8"/>
  <c r="AF6" i="8"/>
  <c r="AF7" i="8"/>
  <c r="AF9" i="8"/>
  <c r="AF10" i="8"/>
  <c r="AF11" i="8"/>
  <c r="AF15" i="8"/>
  <c r="AF17" i="8"/>
  <c r="AF18" i="8"/>
  <c r="AF19" i="8"/>
  <c r="AF21" i="8"/>
  <c r="AF22" i="8"/>
  <c r="AF23" i="8"/>
  <c r="AF27" i="8"/>
  <c r="AF29" i="8"/>
  <c r="AF30" i="8"/>
  <c r="AF31" i="8"/>
  <c r="AF33" i="8"/>
  <c r="AF34" i="8"/>
  <c r="AF35" i="8"/>
  <c r="AF39" i="8"/>
  <c r="AF41" i="8"/>
  <c r="AF43" i="8"/>
  <c r="AF46" i="8"/>
  <c r="AF45" i="8"/>
  <c r="AF47" i="8"/>
  <c r="AF55" i="8"/>
  <c r="AG5" i="8"/>
  <c r="AG6" i="8"/>
  <c r="AG7" i="8"/>
  <c r="AG9" i="8"/>
  <c r="AG10" i="8"/>
  <c r="AG11" i="8"/>
  <c r="AG15" i="8"/>
  <c r="AG17" i="8"/>
  <c r="AG18" i="8"/>
  <c r="AG19" i="8"/>
  <c r="AG21" i="8"/>
  <c r="AG22" i="8"/>
  <c r="AG23" i="8"/>
  <c r="AG27" i="8"/>
  <c r="AG29" i="8"/>
  <c r="AG30" i="8"/>
  <c r="AG31" i="8"/>
  <c r="AG33" i="8"/>
  <c r="AG34" i="8"/>
  <c r="AG35" i="8"/>
  <c r="AG39" i="8"/>
  <c r="AG41" i="8"/>
  <c r="AG43" i="8"/>
  <c r="AG46" i="8"/>
  <c r="AG45" i="8"/>
  <c r="AG47" i="8"/>
  <c r="AG55" i="8"/>
  <c r="AH5" i="8"/>
  <c r="AH6" i="8"/>
  <c r="AH7" i="8"/>
  <c r="AH9" i="8"/>
  <c r="AH10" i="8"/>
  <c r="AH11" i="8"/>
  <c r="AH15" i="8"/>
  <c r="AH17" i="8"/>
  <c r="AH18" i="8"/>
  <c r="AH19" i="8"/>
  <c r="AH21" i="8"/>
  <c r="AH22" i="8"/>
  <c r="AH23" i="8"/>
  <c r="AH27" i="8"/>
  <c r="AH29" i="8"/>
  <c r="AH30" i="8"/>
  <c r="AH31" i="8"/>
  <c r="AH33" i="8"/>
  <c r="AH34" i="8"/>
  <c r="AH35" i="8"/>
  <c r="AH39" i="8"/>
  <c r="AH41" i="8"/>
  <c r="AH43" i="8"/>
  <c r="AH46" i="8"/>
  <c r="AH45" i="8"/>
  <c r="AH47" i="8"/>
  <c r="AH55" i="8"/>
  <c r="AI55" i="8"/>
  <c r="AJ5" i="8"/>
  <c r="AJ6" i="8"/>
  <c r="AJ7" i="8"/>
  <c r="AJ9" i="8"/>
  <c r="AJ10" i="8"/>
  <c r="AJ11" i="8"/>
  <c r="AJ15" i="8"/>
  <c r="AJ17" i="8"/>
  <c r="AJ18" i="8"/>
  <c r="AJ19" i="8"/>
  <c r="AJ21" i="8"/>
  <c r="AJ22" i="8"/>
  <c r="AJ23" i="8"/>
  <c r="AJ27" i="8"/>
  <c r="AJ29" i="8"/>
  <c r="AJ30" i="8"/>
  <c r="AJ31" i="8"/>
  <c r="AJ33" i="8"/>
  <c r="AJ34" i="8"/>
  <c r="AJ35" i="8"/>
  <c r="AJ39" i="8"/>
  <c r="AJ41" i="8"/>
  <c r="AJ43" i="8"/>
  <c r="AJ46" i="8"/>
  <c r="AJ45" i="8"/>
  <c r="AJ47" i="8"/>
  <c r="AJ55" i="8"/>
  <c r="AK5" i="8"/>
  <c r="AK6" i="8"/>
  <c r="AK7" i="8"/>
  <c r="AK9" i="8"/>
  <c r="AK10" i="8"/>
  <c r="AK11" i="8"/>
  <c r="AK15" i="8"/>
  <c r="AK17" i="8"/>
  <c r="AK18" i="8"/>
  <c r="AK19" i="8"/>
  <c r="AK21" i="8"/>
  <c r="AK22" i="8"/>
  <c r="AK23" i="8"/>
  <c r="AK27" i="8"/>
  <c r="AK29" i="8"/>
  <c r="AK30" i="8"/>
  <c r="AK31" i="8"/>
  <c r="AK33" i="8"/>
  <c r="AK34" i="8"/>
  <c r="AK35" i="8"/>
  <c r="AK39" i="8"/>
  <c r="AK41" i="8"/>
  <c r="AK43" i="8"/>
  <c r="AK46" i="8"/>
  <c r="AK45" i="8"/>
  <c r="AK47" i="8"/>
  <c r="AK55" i="8"/>
  <c r="AL5" i="8"/>
  <c r="AL6" i="8"/>
  <c r="AL7" i="8"/>
  <c r="AL9" i="8"/>
  <c r="AL10" i="8"/>
  <c r="AL11" i="8"/>
  <c r="AL15" i="8"/>
  <c r="AL17" i="8"/>
  <c r="AL18" i="8"/>
  <c r="AL19" i="8"/>
  <c r="AL21" i="8"/>
  <c r="AL22" i="8"/>
  <c r="AL23" i="8"/>
  <c r="AL27" i="8"/>
  <c r="AL29" i="8"/>
  <c r="AL30" i="8"/>
  <c r="AL31" i="8"/>
  <c r="AL33" i="8"/>
  <c r="AL34" i="8"/>
  <c r="AL35" i="8"/>
  <c r="AL39" i="8"/>
  <c r="AL41" i="8"/>
  <c r="AL43" i="8"/>
  <c r="AL46" i="8"/>
  <c r="AL45" i="8"/>
  <c r="AL47" i="8"/>
  <c r="AL55" i="8"/>
  <c r="AM5" i="8"/>
  <c r="AM6" i="8"/>
  <c r="AM7" i="8"/>
  <c r="AM9" i="8"/>
  <c r="AM10" i="8"/>
  <c r="AM11" i="8"/>
  <c r="AM15" i="8"/>
  <c r="AM17" i="8"/>
  <c r="AM18" i="8"/>
  <c r="AM19" i="8"/>
  <c r="AM21" i="8"/>
  <c r="AM22" i="8"/>
  <c r="AM23" i="8"/>
  <c r="AM27" i="8"/>
  <c r="AM29" i="8"/>
  <c r="AM30" i="8"/>
  <c r="AM31" i="8"/>
  <c r="AM33" i="8"/>
  <c r="AM34" i="8"/>
  <c r="AM35" i="8"/>
  <c r="AM39" i="8"/>
  <c r="AM41" i="8"/>
  <c r="AM43" i="8"/>
  <c r="AM46" i="8"/>
  <c r="AM45" i="8"/>
  <c r="AM47" i="8"/>
  <c r="AM55" i="8"/>
  <c r="AN5" i="8"/>
  <c r="AN6" i="8"/>
  <c r="AN7" i="8"/>
  <c r="AN9" i="8"/>
  <c r="AN10" i="8"/>
  <c r="AN11" i="8"/>
  <c r="AN15" i="8"/>
  <c r="AN17" i="8"/>
  <c r="AN18" i="8"/>
  <c r="AN19" i="8"/>
  <c r="AN21" i="8"/>
  <c r="AN22" i="8"/>
  <c r="AN23" i="8"/>
  <c r="AN27" i="8"/>
  <c r="AN29" i="8"/>
  <c r="AN30" i="8"/>
  <c r="AN31" i="8"/>
  <c r="AN33" i="8"/>
  <c r="AN34" i="8"/>
  <c r="AN35" i="8"/>
  <c r="AN39" i="8"/>
  <c r="AN41" i="8"/>
  <c r="AN43" i="8"/>
  <c r="AN46" i="8"/>
  <c r="AN45" i="8"/>
  <c r="AN47" i="8"/>
  <c r="AN51" i="8"/>
  <c r="AN55" i="8"/>
  <c r="AO5" i="8"/>
  <c r="AO6" i="8"/>
  <c r="AO7" i="8"/>
  <c r="AO9" i="8"/>
  <c r="AO10" i="8"/>
  <c r="AO11" i="8"/>
  <c r="AO15" i="8"/>
  <c r="AO17" i="8"/>
  <c r="AO18" i="8"/>
  <c r="AO19" i="8"/>
  <c r="AO21" i="8"/>
  <c r="AO22" i="8"/>
  <c r="AO23" i="8"/>
  <c r="AO27" i="8"/>
  <c r="AO29" i="8"/>
  <c r="AO30" i="8"/>
  <c r="AO31" i="8"/>
  <c r="AO33" i="8"/>
  <c r="AO34" i="8"/>
  <c r="AO35" i="8"/>
  <c r="AO39" i="8"/>
  <c r="AO41" i="8"/>
  <c r="AO43" i="8"/>
  <c r="AO46" i="8"/>
  <c r="AO45" i="8"/>
  <c r="AO47" i="8"/>
  <c r="AO55" i="8"/>
  <c r="AP5" i="8"/>
  <c r="AP6" i="8"/>
  <c r="AP7" i="8"/>
  <c r="AP9" i="8"/>
  <c r="AP10" i="8"/>
  <c r="AP11" i="8"/>
  <c r="AP15" i="8"/>
  <c r="AP17" i="8"/>
  <c r="AP18" i="8"/>
  <c r="AP19" i="8"/>
  <c r="AP21" i="8"/>
  <c r="AP22" i="8"/>
  <c r="AP23" i="8"/>
  <c r="AP27" i="8"/>
  <c r="AP29" i="8"/>
  <c r="AP30" i="8"/>
  <c r="AP31" i="8"/>
  <c r="AP33" i="8"/>
  <c r="AP34" i="8"/>
  <c r="AP35" i="8"/>
  <c r="AP39" i="8"/>
  <c r="AP41" i="8"/>
  <c r="AP43" i="8"/>
  <c r="AP46" i="8"/>
  <c r="AP45" i="8"/>
  <c r="AP47" i="8"/>
  <c r="AP55" i="8"/>
  <c r="AQ5" i="8"/>
  <c r="AQ6" i="8"/>
  <c r="AQ7" i="8"/>
  <c r="AQ9" i="8"/>
  <c r="AQ10" i="8"/>
  <c r="AQ11" i="8"/>
  <c r="AQ15" i="8"/>
  <c r="AQ17" i="8"/>
  <c r="AQ18" i="8"/>
  <c r="AQ19" i="8"/>
  <c r="AQ21" i="8"/>
  <c r="AQ22" i="8"/>
  <c r="AQ23" i="8"/>
  <c r="AQ27" i="8"/>
  <c r="AQ29" i="8"/>
  <c r="AQ30" i="8"/>
  <c r="AQ31" i="8"/>
  <c r="AQ33" i="8"/>
  <c r="AQ34" i="8"/>
  <c r="AQ35" i="8"/>
  <c r="AQ39" i="8"/>
  <c r="AQ41" i="8"/>
  <c r="AQ43" i="8"/>
  <c r="AQ46" i="8"/>
  <c r="AQ45" i="8"/>
  <c r="AQ47" i="8"/>
  <c r="AQ55" i="8"/>
  <c r="AR5" i="8"/>
  <c r="AR6" i="8"/>
  <c r="AR7" i="8"/>
  <c r="AR9" i="8"/>
  <c r="AR10" i="8"/>
  <c r="AR11" i="8"/>
  <c r="AR15" i="8"/>
  <c r="AR17" i="8"/>
  <c r="AR18" i="8"/>
  <c r="AR19" i="8"/>
  <c r="AR21" i="8"/>
  <c r="AR22" i="8"/>
  <c r="AR23" i="8"/>
  <c r="AR27" i="8"/>
  <c r="AR29" i="8"/>
  <c r="AR30" i="8"/>
  <c r="AR31" i="8"/>
  <c r="AR33" i="8"/>
  <c r="AR34" i="8"/>
  <c r="AR35" i="8"/>
  <c r="AR39" i="8"/>
  <c r="AR42" i="8"/>
  <c r="AR41" i="8"/>
  <c r="AR43" i="8"/>
  <c r="AR46" i="8"/>
  <c r="AR45" i="8"/>
  <c r="AR47" i="8"/>
  <c r="AR50" i="8"/>
  <c r="AR51" i="8"/>
  <c r="AR55" i="8"/>
  <c r="AS5" i="8"/>
  <c r="AS6" i="8"/>
  <c r="AS7" i="8"/>
  <c r="AS9" i="8"/>
  <c r="AS10" i="8"/>
  <c r="AS11" i="8"/>
  <c r="AS15" i="8"/>
  <c r="AS17" i="8"/>
  <c r="AS18" i="8"/>
  <c r="AS19" i="8"/>
  <c r="AS21" i="8"/>
  <c r="AS22" i="8"/>
  <c r="AS23" i="8"/>
  <c r="AS27" i="8"/>
  <c r="AS29" i="8"/>
  <c r="AS30" i="8"/>
  <c r="AS31" i="8"/>
  <c r="AS33" i="8"/>
  <c r="AS34" i="8"/>
  <c r="AS35" i="8"/>
  <c r="AS39" i="8"/>
  <c r="AS41" i="8"/>
  <c r="AS43" i="8"/>
  <c r="AS46" i="8"/>
  <c r="AS45" i="8"/>
  <c r="AS47" i="8"/>
  <c r="AS55" i="8"/>
  <c r="AT5" i="8"/>
  <c r="AT6" i="8"/>
  <c r="AT7" i="8"/>
  <c r="AT9" i="8"/>
  <c r="AT10" i="8"/>
  <c r="AT11" i="8"/>
  <c r="AT15" i="8"/>
  <c r="AT17" i="8"/>
  <c r="AT18" i="8"/>
  <c r="AT19" i="8"/>
  <c r="AT21" i="8"/>
  <c r="AT22" i="8"/>
  <c r="AT23" i="8"/>
  <c r="AT27" i="8"/>
  <c r="AT29" i="8"/>
  <c r="AT30" i="8"/>
  <c r="AT31" i="8"/>
  <c r="AT33" i="8"/>
  <c r="AT34" i="8"/>
  <c r="AT35" i="8"/>
  <c r="AT39" i="8"/>
  <c r="AT41" i="8"/>
  <c r="AT43" i="8"/>
  <c r="AT46" i="8"/>
  <c r="AT45" i="8"/>
  <c r="AT47" i="8"/>
  <c r="AT55" i="8"/>
  <c r="AU5" i="8"/>
  <c r="AU6" i="8"/>
  <c r="AU7" i="8"/>
  <c r="AU9" i="8"/>
  <c r="AU10" i="8"/>
  <c r="AU11" i="8"/>
  <c r="AU15" i="8"/>
  <c r="AU17" i="8"/>
  <c r="AU18" i="8"/>
  <c r="AU19" i="8"/>
  <c r="AU21" i="8"/>
  <c r="AU22" i="8"/>
  <c r="AU23" i="8"/>
  <c r="AU27" i="8"/>
  <c r="AU29" i="8"/>
  <c r="AU30" i="8"/>
  <c r="AU31" i="8"/>
  <c r="AU33" i="8"/>
  <c r="AU34" i="8"/>
  <c r="AU35" i="8"/>
  <c r="AU39" i="8"/>
  <c r="AU41" i="8"/>
  <c r="AU43" i="8"/>
  <c r="AU46" i="8"/>
  <c r="AU45" i="8"/>
  <c r="AU47" i="8"/>
  <c r="AU55" i="8"/>
  <c r="AV55" i="8"/>
  <c r="AW5" i="8"/>
  <c r="AW6" i="8"/>
  <c r="AW7" i="8"/>
  <c r="AW9" i="8"/>
  <c r="AW10" i="8"/>
  <c r="AW11" i="8"/>
  <c r="AW15" i="8"/>
  <c r="AW17" i="8"/>
  <c r="AW18" i="8"/>
  <c r="AW19" i="8"/>
  <c r="AW21" i="8"/>
  <c r="AW22" i="8"/>
  <c r="AW23" i="8"/>
  <c r="AW27" i="8"/>
  <c r="AW29" i="8"/>
  <c r="AW30" i="8"/>
  <c r="AW31" i="8"/>
  <c r="AW33" i="8"/>
  <c r="AW34" i="8"/>
  <c r="AW35" i="8"/>
  <c r="AW39" i="8"/>
  <c r="AW41" i="8"/>
  <c r="AW43" i="8"/>
  <c r="AW46" i="8"/>
  <c r="AW45" i="8"/>
  <c r="AW47" i="8"/>
  <c r="AW55" i="8"/>
  <c r="AX5" i="8"/>
  <c r="AX6" i="8"/>
  <c r="AX7" i="8"/>
  <c r="AX9" i="8"/>
  <c r="AX10" i="8"/>
  <c r="AX11" i="8"/>
  <c r="AX15" i="8"/>
  <c r="AX17" i="8"/>
  <c r="AX18" i="8"/>
  <c r="AX19" i="8"/>
  <c r="AX21" i="8"/>
  <c r="AX22" i="8"/>
  <c r="AX23" i="8"/>
  <c r="AX27" i="8"/>
  <c r="AX29" i="8"/>
  <c r="AX30" i="8"/>
  <c r="AX31" i="8"/>
  <c r="AX33" i="8"/>
  <c r="AX34" i="8"/>
  <c r="AX35" i="8"/>
  <c r="AX39" i="8"/>
  <c r="AX41" i="8"/>
  <c r="AX43" i="8"/>
  <c r="AX46" i="8"/>
  <c r="AX45" i="8"/>
  <c r="AX47" i="8"/>
  <c r="AX55" i="8"/>
  <c r="AY5" i="8"/>
  <c r="AY6" i="8"/>
  <c r="AY7" i="8"/>
  <c r="AY9" i="8"/>
  <c r="AY10" i="8"/>
  <c r="AY11" i="8"/>
  <c r="AY15" i="8"/>
  <c r="AY17" i="8"/>
  <c r="AY18" i="8"/>
  <c r="AY19" i="8"/>
  <c r="AY21" i="8"/>
  <c r="AY22" i="8"/>
  <c r="AY23" i="8"/>
  <c r="AY27" i="8"/>
  <c r="AY29" i="8"/>
  <c r="AY30" i="8"/>
  <c r="AY31" i="8"/>
  <c r="AY33" i="8"/>
  <c r="AY34" i="8"/>
  <c r="AY35" i="8"/>
  <c r="AY39" i="8"/>
  <c r="AY41" i="8"/>
  <c r="AY43" i="8"/>
  <c r="AY46" i="8"/>
  <c r="AY45" i="8"/>
  <c r="AY47" i="8"/>
  <c r="AY55" i="8"/>
  <c r="AZ5" i="8"/>
  <c r="AZ6" i="8"/>
  <c r="AZ7" i="8"/>
  <c r="AZ9" i="8"/>
  <c r="AZ10" i="8"/>
  <c r="AZ11" i="8"/>
  <c r="AZ15" i="8"/>
  <c r="AZ17" i="8"/>
  <c r="AZ18" i="8"/>
  <c r="AZ19" i="8"/>
  <c r="AZ21" i="8"/>
  <c r="AZ22" i="8"/>
  <c r="AZ23" i="8"/>
  <c r="AZ27" i="8"/>
  <c r="AZ29" i="8"/>
  <c r="AZ30" i="8"/>
  <c r="AZ31" i="8"/>
  <c r="AZ33" i="8"/>
  <c r="AZ34" i="8"/>
  <c r="AZ35" i="8"/>
  <c r="AZ39" i="8"/>
  <c r="AZ41" i="8"/>
  <c r="AZ43" i="8"/>
  <c r="AZ46" i="8"/>
  <c r="AZ45" i="8"/>
  <c r="AZ47" i="8"/>
  <c r="AZ55" i="8"/>
  <c r="BA5" i="8"/>
  <c r="BA6" i="8"/>
  <c r="BA7" i="8"/>
  <c r="BA9" i="8"/>
  <c r="BA10" i="8"/>
  <c r="BA11" i="8"/>
  <c r="BA15" i="8"/>
  <c r="BA17" i="8"/>
  <c r="BA18" i="8"/>
  <c r="BA19" i="8"/>
  <c r="BA21" i="8"/>
  <c r="BA22" i="8"/>
  <c r="BA23" i="8"/>
  <c r="BA27" i="8"/>
  <c r="BA29" i="8"/>
  <c r="BA30" i="8"/>
  <c r="BA31" i="8"/>
  <c r="BA33" i="8"/>
  <c r="BA34" i="8"/>
  <c r="BA35" i="8"/>
  <c r="BA39" i="8"/>
  <c r="BA41" i="8"/>
  <c r="BA43" i="8"/>
  <c r="BA46" i="8"/>
  <c r="BA45" i="8"/>
  <c r="BA47" i="8"/>
  <c r="BA55" i="8"/>
  <c r="BB5" i="8"/>
  <c r="BB6" i="8"/>
  <c r="BB7" i="8"/>
  <c r="BB9" i="8"/>
  <c r="BB10" i="8"/>
  <c r="BB11" i="8"/>
  <c r="BB15" i="8"/>
  <c r="BB17" i="8"/>
  <c r="BB18" i="8"/>
  <c r="BB19" i="8"/>
  <c r="BB21" i="8"/>
  <c r="BB22" i="8"/>
  <c r="BB23" i="8"/>
  <c r="BB27" i="8"/>
  <c r="BB29" i="8"/>
  <c r="BB30" i="8"/>
  <c r="BB31" i="8"/>
  <c r="BB33" i="8"/>
  <c r="BB34" i="8"/>
  <c r="BB35" i="8"/>
  <c r="BB39" i="8"/>
  <c r="BB41" i="8"/>
  <c r="BB43" i="8"/>
  <c r="BB45" i="8"/>
  <c r="BB47" i="8"/>
  <c r="BB55" i="8"/>
  <c r="BC5" i="8"/>
  <c r="BC6" i="8"/>
  <c r="BC7" i="8"/>
  <c r="BC9" i="8"/>
  <c r="BC10" i="8"/>
  <c r="BC11" i="8"/>
  <c r="BC15" i="8"/>
  <c r="BC17" i="8"/>
  <c r="BC18" i="8"/>
  <c r="BC19" i="8"/>
  <c r="BC21" i="8"/>
  <c r="BC22" i="8"/>
  <c r="BC23" i="8"/>
  <c r="BC27" i="8"/>
  <c r="BC29" i="8"/>
  <c r="BC30" i="8"/>
  <c r="BC31" i="8"/>
  <c r="BC33" i="8"/>
  <c r="BC34" i="8"/>
  <c r="BC35" i="8"/>
  <c r="BC39" i="8"/>
  <c r="BC41" i="8"/>
  <c r="BC43" i="8"/>
  <c r="BC45" i="8"/>
  <c r="BC47" i="8"/>
  <c r="BC55" i="8"/>
  <c r="BD5" i="8"/>
  <c r="BD6" i="8"/>
  <c r="BD7" i="8"/>
  <c r="BD9" i="8"/>
  <c r="BD10" i="8"/>
  <c r="BD11" i="8"/>
  <c r="BD15" i="8"/>
  <c r="BD17" i="8"/>
  <c r="BD18" i="8"/>
  <c r="BD19" i="8"/>
  <c r="BD21" i="8"/>
  <c r="BD22" i="8"/>
  <c r="BD23" i="8"/>
  <c r="BD27" i="8"/>
  <c r="BD29" i="8"/>
  <c r="BD30" i="8"/>
  <c r="BD31" i="8"/>
  <c r="BD33" i="8"/>
  <c r="BD34" i="8"/>
  <c r="BD35" i="8"/>
  <c r="BD39" i="8"/>
  <c r="BD41" i="8"/>
  <c r="BD43" i="8"/>
  <c r="BD45" i="8"/>
  <c r="BD47" i="8"/>
  <c r="BD55" i="8"/>
  <c r="BE5" i="8"/>
  <c r="BE6" i="8"/>
  <c r="BE7" i="8"/>
  <c r="BE9" i="8"/>
  <c r="BE10" i="8"/>
  <c r="BE11" i="8"/>
  <c r="BE15" i="8"/>
  <c r="BE17" i="8"/>
  <c r="BE18" i="8"/>
  <c r="BE19" i="8"/>
  <c r="BE21" i="8"/>
  <c r="BE22" i="8"/>
  <c r="BE23" i="8"/>
  <c r="BE27" i="8"/>
  <c r="BE29" i="8"/>
  <c r="BE30" i="8"/>
  <c r="BE31" i="8"/>
  <c r="BE33" i="8"/>
  <c r="BE34" i="8"/>
  <c r="BE35" i="8"/>
  <c r="BE39" i="8"/>
  <c r="BE41" i="8"/>
  <c r="BE43" i="8"/>
  <c r="BE45" i="8"/>
  <c r="BE47" i="8"/>
  <c r="BE55" i="8"/>
  <c r="BF5" i="8"/>
  <c r="BF6" i="8"/>
  <c r="BF7" i="8"/>
  <c r="BF9" i="8"/>
  <c r="BF10" i="8"/>
  <c r="BF11" i="8"/>
  <c r="BF15" i="8"/>
  <c r="BF17" i="8"/>
  <c r="BF18" i="8"/>
  <c r="BF19" i="8"/>
  <c r="BF21" i="8"/>
  <c r="BF22" i="8"/>
  <c r="BF23" i="8"/>
  <c r="BF27" i="8"/>
  <c r="BF29" i="8"/>
  <c r="BF30" i="8"/>
  <c r="BF31" i="8"/>
  <c r="BF33" i="8"/>
  <c r="BF34" i="8"/>
  <c r="BF35" i="8"/>
  <c r="BF39" i="8"/>
  <c r="BF41" i="8"/>
  <c r="BF43" i="8"/>
  <c r="BF45" i="8"/>
  <c r="BF47" i="8"/>
  <c r="BF55" i="8"/>
  <c r="BG5" i="8"/>
  <c r="BG6" i="8"/>
  <c r="BG7" i="8"/>
  <c r="BG9" i="8"/>
  <c r="BG10" i="8"/>
  <c r="BG11" i="8"/>
  <c r="BG15" i="8"/>
  <c r="BG17" i="8"/>
  <c r="BG18" i="8"/>
  <c r="BG19" i="8"/>
  <c r="BG21" i="8"/>
  <c r="BG22" i="8"/>
  <c r="BG23" i="8"/>
  <c r="BG27" i="8"/>
  <c r="BG29" i="8"/>
  <c r="BG30" i="8"/>
  <c r="BG31" i="8"/>
  <c r="BG33" i="8"/>
  <c r="BG34" i="8"/>
  <c r="BG35" i="8"/>
  <c r="BG39" i="8"/>
  <c r="BG41" i="8"/>
  <c r="BG43" i="8"/>
  <c r="BG45" i="8"/>
  <c r="BG47" i="8"/>
  <c r="BG55" i="8"/>
  <c r="BH5" i="8"/>
  <c r="BH6" i="8"/>
  <c r="BH7" i="8"/>
  <c r="BH9" i="8"/>
  <c r="BH10" i="8"/>
  <c r="BH11" i="8"/>
  <c r="BH15" i="8"/>
  <c r="BH17" i="8"/>
  <c r="BH18" i="8"/>
  <c r="BH19" i="8"/>
  <c r="BH21" i="8"/>
  <c r="BH22" i="8"/>
  <c r="BH23" i="8"/>
  <c r="BH27" i="8"/>
  <c r="BH29" i="8"/>
  <c r="BH30" i="8"/>
  <c r="BH31" i="8"/>
  <c r="BH33" i="8"/>
  <c r="BH34" i="8"/>
  <c r="BH35" i="8"/>
  <c r="BH39" i="8"/>
  <c r="BH41" i="8"/>
  <c r="BH43" i="8"/>
  <c r="BH45" i="8"/>
  <c r="BH47" i="8"/>
  <c r="BH55" i="8"/>
  <c r="BI55" i="8"/>
  <c r="BP55" i="8"/>
  <c r="N165" i="10"/>
  <c r="F9" i="10"/>
  <c r="J9" i="10"/>
  <c r="N9" i="10"/>
  <c r="F10" i="10"/>
  <c r="J10" i="10"/>
  <c r="D10" i="10"/>
  <c r="L10" i="10"/>
  <c r="N10" i="10"/>
  <c r="F11" i="10"/>
  <c r="J11" i="10"/>
  <c r="D11" i="10"/>
  <c r="L11" i="10"/>
  <c r="N11" i="10"/>
  <c r="F12" i="10"/>
  <c r="J12" i="10"/>
  <c r="N12" i="10"/>
  <c r="F13" i="10"/>
  <c r="J13" i="10"/>
  <c r="D13" i="10"/>
  <c r="L13" i="10"/>
  <c r="N13" i="10"/>
  <c r="F14" i="10"/>
  <c r="J14" i="10"/>
  <c r="N14" i="10"/>
  <c r="F15" i="10"/>
  <c r="J15" i="10"/>
  <c r="N15" i="10"/>
  <c r="N8" i="10"/>
  <c r="F18" i="10"/>
  <c r="J18" i="10"/>
  <c r="D18" i="10"/>
  <c r="L18" i="10"/>
  <c r="N18" i="10"/>
  <c r="F19" i="10"/>
  <c r="J19" i="10"/>
  <c r="N19" i="10"/>
  <c r="F20" i="10"/>
  <c r="J20" i="10"/>
  <c r="N20" i="10"/>
  <c r="N17" i="10"/>
  <c r="F22" i="10"/>
  <c r="J22" i="10"/>
  <c r="L22" i="10"/>
  <c r="N22" i="10"/>
  <c r="F23" i="10"/>
  <c r="J23" i="10"/>
  <c r="N23" i="10"/>
  <c r="F24" i="10"/>
  <c r="J24" i="10"/>
  <c r="N24" i="10"/>
  <c r="F25" i="10"/>
  <c r="J25" i="10"/>
  <c r="N25" i="10"/>
  <c r="F26" i="10"/>
  <c r="J26" i="10"/>
  <c r="N26" i="10"/>
  <c r="F27" i="10"/>
  <c r="J27" i="10"/>
  <c r="D27" i="10"/>
  <c r="L27" i="10"/>
  <c r="N27" i="10"/>
  <c r="N21" i="10"/>
  <c r="F29" i="10"/>
  <c r="J29" i="10"/>
  <c r="N29" i="10"/>
  <c r="F30" i="10"/>
  <c r="J30" i="10"/>
  <c r="N30" i="10"/>
  <c r="F31" i="10"/>
  <c r="J31" i="10"/>
  <c r="N31" i="10"/>
  <c r="F32" i="10"/>
  <c r="J32" i="10"/>
  <c r="N32" i="10"/>
  <c r="F33" i="10"/>
  <c r="J33" i="10"/>
  <c r="D33" i="10"/>
  <c r="L33" i="10"/>
  <c r="N33" i="10"/>
  <c r="F34" i="10"/>
  <c r="J34" i="10"/>
  <c r="N34" i="10"/>
  <c r="F35" i="10"/>
  <c r="J35" i="10"/>
  <c r="N35" i="10"/>
  <c r="N28" i="10"/>
  <c r="F37" i="10"/>
  <c r="J37" i="10"/>
  <c r="N37" i="10"/>
  <c r="F38" i="10"/>
  <c r="J38" i="10"/>
  <c r="L38" i="10"/>
  <c r="N38" i="10"/>
  <c r="F39" i="10"/>
  <c r="J39" i="10"/>
  <c r="D39" i="10"/>
  <c r="L39" i="10"/>
  <c r="N39" i="10"/>
  <c r="F40" i="10"/>
  <c r="J40" i="10"/>
  <c r="D40" i="10"/>
  <c r="L40" i="10"/>
  <c r="N40" i="10"/>
  <c r="N36" i="10"/>
  <c r="F42" i="10"/>
  <c r="J42" i="10"/>
  <c r="N42" i="10"/>
  <c r="F43" i="10"/>
  <c r="J43" i="10"/>
  <c r="D43" i="10"/>
  <c r="L43" i="10"/>
  <c r="N43" i="10"/>
  <c r="F44" i="10"/>
  <c r="J44" i="10"/>
  <c r="N44" i="10"/>
  <c r="F45" i="10"/>
  <c r="J45" i="10"/>
  <c r="N45" i="10"/>
  <c r="N41" i="10"/>
  <c r="F49" i="10"/>
  <c r="J49" i="10"/>
  <c r="N49" i="10"/>
  <c r="F50" i="10"/>
  <c r="J50" i="10"/>
  <c r="D50" i="10"/>
  <c r="L50" i="10"/>
  <c r="N50" i="10"/>
  <c r="F51" i="10"/>
  <c r="J51" i="10"/>
  <c r="N51" i="10"/>
  <c r="F52" i="10"/>
  <c r="J52" i="10"/>
  <c r="N52" i="10"/>
  <c r="F53" i="10"/>
  <c r="J53" i="10"/>
  <c r="N53" i="10"/>
  <c r="F54" i="10"/>
  <c r="J54" i="10"/>
  <c r="D54" i="10"/>
  <c r="L54" i="10"/>
  <c r="N54" i="10"/>
  <c r="N48" i="10"/>
  <c r="F56" i="10"/>
  <c r="J56" i="10"/>
  <c r="D56" i="10"/>
  <c r="L56" i="10"/>
  <c r="N56" i="10"/>
  <c r="F57" i="10"/>
  <c r="J57" i="10"/>
  <c r="D57" i="10"/>
  <c r="L57" i="10"/>
  <c r="N57" i="10"/>
  <c r="F58" i="10"/>
  <c r="J58" i="10"/>
  <c r="D58" i="10"/>
  <c r="L58" i="10"/>
  <c r="N58" i="10"/>
  <c r="F59" i="10"/>
  <c r="J59" i="10"/>
  <c r="D59" i="10"/>
  <c r="L59" i="10"/>
  <c r="N59" i="10"/>
  <c r="F60" i="10"/>
  <c r="J60" i="10"/>
  <c r="D60" i="10"/>
  <c r="L60" i="10"/>
  <c r="N60" i="10"/>
  <c r="F61" i="10"/>
  <c r="J61" i="10"/>
  <c r="D61" i="10"/>
  <c r="L61" i="10"/>
  <c r="N61" i="10"/>
  <c r="N55" i="10"/>
  <c r="F63" i="10"/>
  <c r="J63" i="10"/>
  <c r="D63" i="10"/>
  <c r="L63" i="10"/>
  <c r="N63" i="10"/>
  <c r="F64" i="10"/>
  <c r="J64" i="10"/>
  <c r="D64" i="10"/>
  <c r="L64" i="10"/>
  <c r="N64" i="10"/>
  <c r="F65" i="10"/>
  <c r="J65" i="10"/>
  <c r="D65" i="10"/>
  <c r="L65" i="10"/>
  <c r="N65" i="10"/>
  <c r="F66" i="10"/>
  <c r="J66" i="10"/>
  <c r="D66" i="10"/>
  <c r="L66" i="10"/>
  <c r="N66" i="10"/>
  <c r="F67" i="10"/>
  <c r="J67" i="10"/>
  <c r="D67" i="10"/>
  <c r="L67" i="10"/>
  <c r="N67" i="10"/>
  <c r="F68" i="10"/>
  <c r="J68" i="10"/>
  <c r="D68" i="10"/>
  <c r="L68" i="10"/>
  <c r="N68" i="10"/>
  <c r="F69" i="10"/>
  <c r="J69" i="10"/>
  <c r="D69" i="10"/>
  <c r="L69" i="10"/>
  <c r="N69" i="10"/>
  <c r="N62" i="10"/>
  <c r="N16" i="10"/>
  <c r="F72" i="10"/>
  <c r="J72" i="10"/>
  <c r="N72" i="10"/>
  <c r="F73" i="10"/>
  <c r="J73" i="10"/>
  <c r="N73" i="10"/>
  <c r="F74" i="10"/>
  <c r="J74" i="10"/>
  <c r="D74" i="10"/>
  <c r="L74" i="10"/>
  <c r="N74" i="10"/>
  <c r="F75" i="10"/>
  <c r="J75" i="10"/>
  <c r="D75" i="10"/>
  <c r="L75" i="10"/>
  <c r="N75" i="10"/>
  <c r="F76" i="10"/>
  <c r="J76" i="10"/>
  <c r="D76" i="10"/>
  <c r="L76" i="10"/>
  <c r="N76" i="10"/>
  <c r="F77" i="10"/>
  <c r="J77" i="10"/>
  <c r="N77" i="10"/>
  <c r="F78" i="10"/>
  <c r="J78" i="10"/>
  <c r="N78" i="10"/>
  <c r="N71" i="10"/>
  <c r="F80" i="10"/>
  <c r="J80" i="10"/>
  <c r="L80" i="10"/>
  <c r="N80" i="10"/>
  <c r="F81" i="10"/>
  <c r="J81" i="10"/>
  <c r="L81" i="10"/>
  <c r="N81" i="10"/>
  <c r="F82" i="10"/>
  <c r="J82" i="10"/>
  <c r="N82" i="10"/>
  <c r="F83" i="10"/>
  <c r="J83" i="10"/>
  <c r="D83" i="10"/>
  <c r="L83" i="10"/>
  <c r="N83" i="10"/>
  <c r="F84" i="10"/>
  <c r="J84" i="10"/>
  <c r="D84" i="10"/>
  <c r="L84" i="10"/>
  <c r="N84" i="10"/>
  <c r="F85" i="10"/>
  <c r="J85" i="10"/>
  <c r="D85" i="10"/>
  <c r="L85" i="10"/>
  <c r="N85" i="10"/>
  <c r="F86" i="10"/>
  <c r="J86" i="10"/>
  <c r="D86" i="10"/>
  <c r="L86" i="10"/>
  <c r="N86" i="10"/>
  <c r="F87" i="10"/>
  <c r="J87" i="10"/>
  <c r="D87" i="10"/>
  <c r="L87" i="10"/>
  <c r="N87" i="10"/>
  <c r="N79" i="10"/>
  <c r="F89" i="10"/>
  <c r="J89" i="10"/>
  <c r="D89" i="10"/>
  <c r="L89" i="10"/>
  <c r="N89" i="10"/>
  <c r="F90" i="10"/>
  <c r="J90" i="10"/>
  <c r="D90" i="10"/>
  <c r="L90" i="10"/>
  <c r="N90" i="10"/>
  <c r="F91" i="10"/>
  <c r="J91" i="10"/>
  <c r="D91" i="10"/>
  <c r="L91" i="10"/>
  <c r="N91" i="10"/>
  <c r="F92" i="10"/>
  <c r="J92" i="10"/>
  <c r="D92" i="10"/>
  <c r="L92" i="10"/>
  <c r="N92" i="10"/>
  <c r="F93" i="10"/>
  <c r="J93" i="10"/>
  <c r="N93" i="10"/>
  <c r="F94" i="10"/>
  <c r="J94" i="10"/>
  <c r="N94" i="10"/>
  <c r="F95" i="10"/>
  <c r="J95" i="10"/>
  <c r="D95" i="10"/>
  <c r="L95" i="10"/>
  <c r="N95" i="10"/>
  <c r="F96" i="10"/>
  <c r="J96" i="10"/>
  <c r="D96" i="10"/>
  <c r="L96" i="10"/>
  <c r="N96" i="10"/>
  <c r="N88" i="10"/>
  <c r="F98" i="10"/>
  <c r="J98" i="10"/>
  <c r="L98" i="10"/>
  <c r="N98" i="10"/>
  <c r="F99" i="10"/>
  <c r="J99" i="10"/>
  <c r="L99" i="10"/>
  <c r="N99" i="10"/>
  <c r="F100" i="10"/>
  <c r="J100" i="10"/>
  <c r="D100" i="10"/>
  <c r="L100" i="10"/>
  <c r="N100" i="10"/>
  <c r="N97" i="10"/>
  <c r="F102" i="10"/>
  <c r="J102" i="10"/>
  <c r="N102" i="10"/>
  <c r="F103" i="10"/>
  <c r="J103" i="10"/>
  <c r="N103" i="10"/>
  <c r="N101" i="10"/>
  <c r="F104" i="10"/>
  <c r="J104" i="10"/>
  <c r="N104" i="10"/>
  <c r="N70" i="10"/>
  <c r="F107" i="10"/>
  <c r="J107" i="10"/>
  <c r="D107" i="10"/>
  <c r="L107" i="10"/>
  <c r="N107" i="10"/>
  <c r="F108" i="10"/>
  <c r="J108" i="10"/>
  <c r="D108" i="10"/>
  <c r="L108" i="10"/>
  <c r="N108" i="10"/>
  <c r="F109" i="10"/>
  <c r="J109" i="10"/>
  <c r="D109" i="10"/>
  <c r="L109" i="10"/>
  <c r="N109" i="10"/>
  <c r="F110" i="10"/>
  <c r="J110" i="10"/>
  <c r="D110" i="10"/>
  <c r="L110" i="10"/>
  <c r="N110" i="10"/>
  <c r="F111" i="10"/>
  <c r="J111" i="10"/>
  <c r="D111" i="10"/>
  <c r="L111" i="10"/>
  <c r="N111" i="10"/>
  <c r="F112" i="10"/>
  <c r="J112" i="10"/>
  <c r="D112" i="10"/>
  <c r="L112" i="10"/>
  <c r="N112" i="10"/>
  <c r="F113" i="10"/>
  <c r="J113" i="10"/>
  <c r="D113" i="10"/>
  <c r="L113" i="10"/>
  <c r="N113" i="10"/>
  <c r="N106" i="10"/>
  <c r="F115" i="10"/>
  <c r="J115" i="10"/>
  <c r="D115" i="10"/>
  <c r="L115" i="10"/>
  <c r="N115" i="10"/>
  <c r="F116" i="10"/>
  <c r="J116" i="10"/>
  <c r="D116" i="10"/>
  <c r="L116" i="10"/>
  <c r="N116" i="10"/>
  <c r="J117" i="10"/>
  <c r="D117" i="10"/>
  <c r="L117" i="10"/>
  <c r="N117" i="10"/>
  <c r="J118" i="10"/>
  <c r="D118" i="10"/>
  <c r="L118" i="10"/>
  <c r="N118" i="10"/>
  <c r="F119" i="10"/>
  <c r="J119" i="10"/>
  <c r="D119" i="10"/>
  <c r="L119" i="10"/>
  <c r="N119" i="10"/>
  <c r="F120" i="10"/>
  <c r="J120" i="10"/>
  <c r="D120" i="10"/>
  <c r="L120" i="10"/>
  <c r="N120" i="10"/>
  <c r="F121" i="10"/>
  <c r="J121" i="10"/>
  <c r="D121" i="10"/>
  <c r="L121" i="10"/>
  <c r="N121" i="10"/>
  <c r="F122" i="10"/>
  <c r="J122" i="10"/>
  <c r="D122" i="10"/>
  <c r="L122" i="10"/>
  <c r="N122" i="10"/>
  <c r="F123" i="10"/>
  <c r="J123" i="10"/>
  <c r="D123" i="10"/>
  <c r="L123" i="10"/>
  <c r="N123" i="10"/>
  <c r="N114" i="10"/>
  <c r="J125" i="10"/>
  <c r="D125" i="10"/>
  <c r="L125" i="10"/>
  <c r="N125" i="10"/>
  <c r="J126" i="10"/>
  <c r="D126" i="10"/>
  <c r="L126" i="10"/>
  <c r="N126" i="10"/>
  <c r="J127" i="10"/>
  <c r="D127" i="10"/>
  <c r="L127" i="10"/>
  <c r="N127" i="10"/>
  <c r="F128" i="10"/>
  <c r="J128" i="10"/>
  <c r="D128" i="10"/>
  <c r="L128" i="10"/>
  <c r="N128" i="10"/>
  <c r="N124" i="10"/>
  <c r="F130" i="10"/>
  <c r="J130" i="10"/>
  <c r="D130" i="10"/>
  <c r="L130" i="10"/>
  <c r="N130" i="10"/>
  <c r="F131" i="10"/>
  <c r="J131" i="10"/>
  <c r="D131" i="10"/>
  <c r="L131" i="10"/>
  <c r="N131" i="10"/>
  <c r="N129" i="10"/>
  <c r="F133" i="10"/>
  <c r="J133" i="10"/>
  <c r="N133" i="10"/>
  <c r="F134" i="10"/>
  <c r="J134" i="10"/>
  <c r="D134" i="10"/>
  <c r="L134" i="10"/>
  <c r="N134" i="10"/>
  <c r="F135" i="10"/>
  <c r="J135" i="10"/>
  <c r="D135" i="10"/>
  <c r="L135" i="10"/>
  <c r="N135" i="10"/>
  <c r="N132" i="10"/>
  <c r="F137" i="10"/>
  <c r="J137" i="10"/>
  <c r="D137" i="10"/>
  <c r="L137" i="10"/>
  <c r="N137" i="10"/>
  <c r="F138" i="10"/>
  <c r="J138" i="10"/>
  <c r="D138" i="10"/>
  <c r="L138" i="10"/>
  <c r="N138" i="10"/>
  <c r="F139" i="10"/>
  <c r="J139" i="10"/>
  <c r="N139" i="10"/>
  <c r="F140" i="10"/>
  <c r="J140" i="10"/>
  <c r="D140" i="10"/>
  <c r="L140" i="10"/>
  <c r="N140" i="10"/>
  <c r="F141" i="10"/>
  <c r="J141" i="10"/>
  <c r="D141" i="10"/>
  <c r="L141" i="10"/>
  <c r="N141" i="10"/>
  <c r="F142" i="10"/>
  <c r="J142" i="10"/>
  <c r="D142" i="10"/>
  <c r="L142" i="10"/>
  <c r="N142" i="10"/>
  <c r="N136" i="10"/>
  <c r="F144" i="10"/>
  <c r="J144" i="10"/>
  <c r="N144" i="10"/>
  <c r="F145" i="10"/>
  <c r="J145" i="10"/>
  <c r="N145" i="10"/>
  <c r="F146" i="10"/>
  <c r="J146" i="10"/>
  <c r="N146" i="10"/>
  <c r="N143" i="10"/>
  <c r="F148" i="10"/>
  <c r="J148" i="10"/>
  <c r="D148" i="10"/>
  <c r="L148" i="10"/>
  <c r="N148" i="10"/>
  <c r="F149" i="10"/>
  <c r="J149" i="10"/>
  <c r="D149" i="10"/>
  <c r="L149" i="10"/>
  <c r="N149" i="10"/>
  <c r="F150" i="10"/>
  <c r="J150" i="10"/>
  <c r="D150" i="10"/>
  <c r="L150" i="10"/>
  <c r="N150" i="10"/>
  <c r="N147" i="10"/>
  <c r="F152" i="10"/>
  <c r="J152" i="10"/>
  <c r="D152" i="10"/>
  <c r="L152" i="10"/>
  <c r="N152" i="10"/>
  <c r="F153" i="10"/>
  <c r="J153" i="10"/>
  <c r="D153" i="10"/>
  <c r="L153" i="10"/>
  <c r="N153" i="10"/>
  <c r="F154" i="10"/>
  <c r="J154" i="10"/>
  <c r="D154" i="10"/>
  <c r="L154" i="10"/>
  <c r="N154" i="10"/>
  <c r="N151" i="10"/>
  <c r="N105" i="10"/>
  <c r="F156" i="10"/>
  <c r="J156" i="10"/>
  <c r="D156" i="10"/>
  <c r="L156" i="10"/>
  <c r="N156" i="10"/>
  <c r="F158" i="10"/>
  <c r="J158" i="10"/>
  <c r="D158" i="10"/>
  <c r="L158" i="10"/>
  <c r="N158" i="10"/>
  <c r="F159" i="10"/>
  <c r="J159" i="10"/>
  <c r="D159" i="10"/>
  <c r="L159" i="10"/>
  <c r="N159" i="10"/>
  <c r="F160" i="10"/>
  <c r="J160" i="10"/>
  <c r="D160" i="10"/>
  <c r="L160" i="10"/>
  <c r="N160" i="10"/>
  <c r="F161" i="10"/>
  <c r="J161" i="10"/>
  <c r="D161" i="10"/>
  <c r="L161" i="10"/>
  <c r="N161" i="10"/>
  <c r="N157" i="10"/>
  <c r="N155" i="10"/>
  <c r="F163" i="10"/>
  <c r="J163" i="10"/>
  <c r="D163" i="10"/>
  <c r="L163" i="10"/>
  <c r="N163" i="10"/>
  <c r="N164" i="10"/>
  <c r="N167" i="10"/>
  <c r="L168" i="10"/>
  <c r="N168" i="10"/>
  <c r="J169" i="10"/>
  <c r="L169" i="10"/>
  <c r="N169" i="10"/>
  <c r="J170" i="10"/>
  <c r="L170" i="10"/>
  <c r="N170" i="10"/>
  <c r="N171" i="10"/>
  <c r="J172" i="10"/>
  <c r="L165" i="10"/>
  <c r="L172" i="10"/>
  <c r="N172" i="10"/>
  <c r="N173" i="10"/>
  <c r="N174" i="10"/>
  <c r="N175" i="10"/>
  <c r="N177" i="10"/>
  <c r="N178" i="10"/>
  <c r="N179" i="10"/>
  <c r="N180" i="10"/>
  <c r="N176" i="10"/>
  <c r="O168" i="10"/>
  <c r="O167" i="10"/>
  <c r="D9" i="10"/>
  <c r="O9" i="10"/>
  <c r="O10" i="10"/>
  <c r="O11" i="10"/>
  <c r="D12" i="10"/>
  <c r="O12" i="10"/>
  <c r="O13" i="10"/>
  <c r="D14" i="10"/>
  <c r="O14" i="10"/>
  <c r="D15" i="10"/>
  <c r="O15" i="10"/>
  <c r="O8" i="10"/>
  <c r="O18" i="10"/>
  <c r="D19" i="10"/>
  <c r="O19" i="10"/>
  <c r="D20" i="10"/>
  <c r="O20" i="10"/>
  <c r="O17" i="10"/>
  <c r="D22" i="10"/>
  <c r="O22" i="10"/>
  <c r="D23" i="10"/>
  <c r="O23" i="10"/>
  <c r="D24" i="10"/>
  <c r="O24" i="10"/>
  <c r="D25" i="10"/>
  <c r="O25" i="10"/>
  <c r="D26" i="10"/>
  <c r="O26" i="10"/>
  <c r="O27" i="10"/>
  <c r="O21" i="10"/>
  <c r="D29" i="10"/>
  <c r="O29" i="10"/>
  <c r="D30" i="10"/>
  <c r="O30" i="10"/>
  <c r="D31" i="10"/>
  <c r="O31" i="10"/>
  <c r="D32" i="10"/>
  <c r="O32" i="10"/>
  <c r="O33" i="10"/>
  <c r="D34" i="10"/>
  <c r="O34" i="10"/>
  <c r="D35" i="10"/>
  <c r="O35" i="10"/>
  <c r="O28" i="10"/>
  <c r="D37" i="10"/>
  <c r="O37" i="10"/>
  <c r="D38" i="10"/>
  <c r="O38" i="10"/>
  <c r="O39" i="10"/>
  <c r="O40" i="10"/>
  <c r="O36" i="10"/>
  <c r="D42" i="10"/>
  <c r="O42" i="10"/>
  <c r="O43" i="10"/>
  <c r="D44" i="10"/>
  <c r="O44" i="10"/>
  <c r="D45" i="10"/>
  <c r="O45" i="10"/>
  <c r="O41" i="10"/>
  <c r="D49" i="10"/>
  <c r="O49" i="10"/>
  <c r="O50" i="10"/>
  <c r="D51" i="10"/>
  <c r="O51" i="10"/>
  <c r="D52" i="10"/>
  <c r="O52" i="10"/>
  <c r="D53" i="10"/>
  <c r="O53" i="10"/>
  <c r="O54" i="10"/>
  <c r="O48" i="10"/>
  <c r="O56" i="10"/>
  <c r="O57" i="10"/>
  <c r="O58" i="10"/>
  <c r="O59" i="10"/>
  <c r="O60" i="10"/>
  <c r="O61" i="10"/>
  <c r="O55" i="10"/>
  <c r="O63" i="10"/>
  <c r="O64" i="10"/>
  <c r="O65" i="10"/>
  <c r="O66" i="10"/>
  <c r="O67" i="10"/>
  <c r="O68" i="10"/>
  <c r="O69" i="10"/>
  <c r="O62" i="10"/>
  <c r="O16" i="10"/>
  <c r="D72" i="10"/>
  <c r="O72" i="10"/>
  <c r="D73" i="10"/>
  <c r="O73" i="10"/>
  <c r="O74" i="10"/>
  <c r="O75" i="10"/>
  <c r="O76" i="10"/>
  <c r="D77" i="10"/>
  <c r="O77" i="10"/>
  <c r="D78" i="10"/>
  <c r="O78" i="10"/>
  <c r="O71" i="10"/>
  <c r="D80" i="10"/>
  <c r="O80" i="10"/>
  <c r="D81" i="10"/>
  <c r="O81" i="10"/>
  <c r="D82" i="10"/>
  <c r="O82" i="10"/>
  <c r="O83" i="10"/>
  <c r="O84" i="10"/>
  <c r="O85" i="10"/>
  <c r="O86" i="10"/>
  <c r="O87" i="10"/>
  <c r="O79" i="10"/>
  <c r="O89" i="10"/>
  <c r="O90" i="10"/>
  <c r="O91" i="10"/>
  <c r="O92" i="10"/>
  <c r="D93" i="10"/>
  <c r="O93" i="10"/>
  <c r="D94" i="10"/>
  <c r="O94" i="10"/>
  <c r="O95" i="10"/>
  <c r="O96" i="10"/>
  <c r="O88" i="10"/>
  <c r="D98" i="10"/>
  <c r="O98" i="10"/>
  <c r="D99" i="10"/>
  <c r="O99" i="10"/>
  <c r="O100" i="10"/>
  <c r="O97" i="10"/>
  <c r="D102" i="10"/>
  <c r="O102" i="10"/>
  <c r="D103" i="10"/>
  <c r="O103" i="10"/>
  <c r="O101" i="10"/>
  <c r="D104" i="10"/>
  <c r="O104" i="10"/>
  <c r="O70" i="10"/>
  <c r="O107" i="10"/>
  <c r="O108" i="10"/>
  <c r="O109" i="10"/>
  <c r="O110" i="10"/>
  <c r="O111" i="10"/>
  <c r="O112" i="10"/>
  <c r="O113" i="10"/>
  <c r="O106" i="10"/>
  <c r="O115" i="10"/>
  <c r="O116" i="10"/>
  <c r="O117" i="10"/>
  <c r="O118" i="10"/>
  <c r="O119" i="10"/>
  <c r="O120" i="10"/>
  <c r="O121" i="10"/>
  <c r="O122" i="10"/>
  <c r="O123" i="10"/>
  <c r="O114" i="10"/>
  <c r="O125" i="10"/>
  <c r="O126" i="10"/>
  <c r="O127" i="10"/>
  <c r="O128" i="10"/>
  <c r="O124" i="10"/>
  <c r="O130" i="10"/>
  <c r="O131" i="10"/>
  <c r="O129" i="10"/>
  <c r="D133" i="10"/>
  <c r="O133" i="10"/>
  <c r="O134" i="10"/>
  <c r="O135" i="10"/>
  <c r="O132" i="10"/>
  <c r="O137" i="10"/>
  <c r="O138" i="10"/>
  <c r="D139" i="10"/>
  <c r="O139" i="10"/>
  <c r="O140" i="10"/>
  <c r="O141" i="10"/>
  <c r="O142" i="10"/>
  <c r="O136" i="10"/>
  <c r="D144" i="10"/>
  <c r="O144" i="10"/>
  <c r="D145" i="10"/>
  <c r="O145" i="10"/>
  <c r="D146" i="10"/>
  <c r="O146" i="10"/>
  <c r="O143" i="10"/>
  <c r="O148" i="10"/>
  <c r="O149" i="10"/>
  <c r="O150" i="10"/>
  <c r="O147" i="10"/>
  <c r="O152" i="10"/>
  <c r="O153" i="10"/>
  <c r="O154" i="10"/>
  <c r="O151" i="10"/>
  <c r="O105" i="10"/>
  <c r="O156" i="10"/>
  <c r="O158" i="10"/>
  <c r="O159" i="10"/>
  <c r="O160" i="10"/>
  <c r="O161" i="10"/>
  <c r="O157" i="10"/>
  <c r="D162" i="10"/>
  <c r="O162" i="10"/>
  <c r="O155" i="10"/>
  <c r="O163" i="10"/>
  <c r="O164" i="10"/>
  <c r="M164" i="10"/>
  <c r="L8" i="10"/>
  <c r="L17" i="10"/>
  <c r="L21" i="10"/>
  <c r="L28" i="10"/>
  <c r="L36" i="10"/>
  <c r="L41" i="10"/>
  <c r="L48" i="10"/>
  <c r="L55" i="10"/>
  <c r="L62" i="10"/>
  <c r="L16" i="10"/>
  <c r="L71" i="10"/>
  <c r="L79" i="10"/>
  <c r="L88" i="10"/>
  <c r="L97" i="10"/>
  <c r="L101" i="10"/>
  <c r="L70" i="10"/>
  <c r="L106" i="10"/>
  <c r="L114" i="10"/>
  <c r="L124" i="10"/>
  <c r="L129" i="10"/>
  <c r="L132" i="10"/>
  <c r="L136" i="10"/>
  <c r="L143" i="10"/>
  <c r="L147" i="10"/>
  <c r="L151" i="10"/>
  <c r="L105" i="10"/>
  <c r="L157" i="10"/>
  <c r="L155" i="10"/>
  <c r="L164" i="10"/>
  <c r="J8" i="10"/>
  <c r="J17" i="10"/>
  <c r="J21" i="10"/>
  <c r="J28" i="10"/>
  <c r="J36" i="10"/>
  <c r="J41" i="10"/>
  <c r="J48" i="10"/>
  <c r="J55" i="10"/>
  <c r="J62" i="10"/>
  <c r="J16" i="10"/>
  <c r="J71" i="10"/>
  <c r="J79" i="10"/>
  <c r="J88" i="10"/>
  <c r="J97" i="10"/>
  <c r="J101" i="10"/>
  <c r="J70" i="10"/>
  <c r="J106" i="10"/>
  <c r="J114" i="10"/>
  <c r="J124" i="10"/>
  <c r="J129" i="10"/>
  <c r="J132" i="10"/>
  <c r="J136" i="10"/>
  <c r="J143" i="10"/>
  <c r="J147" i="10"/>
  <c r="J151" i="10"/>
  <c r="J105" i="10"/>
  <c r="J157" i="10"/>
  <c r="J162" i="10"/>
  <c r="J155" i="10"/>
  <c r="J164" i="10"/>
  <c r="I8" i="10"/>
  <c r="I17" i="10"/>
  <c r="I21" i="10"/>
  <c r="I28" i="10"/>
  <c r="I36" i="10"/>
  <c r="I41" i="10"/>
  <c r="I48" i="10"/>
  <c r="I55" i="10"/>
  <c r="I62" i="10"/>
  <c r="I16" i="10"/>
  <c r="I71" i="10"/>
  <c r="I79" i="10"/>
  <c r="I88" i="10"/>
  <c r="I97" i="10"/>
  <c r="I101" i="10"/>
  <c r="I70" i="10"/>
  <c r="I106" i="10"/>
  <c r="I114" i="10"/>
  <c r="I124" i="10"/>
  <c r="I129" i="10"/>
  <c r="I132" i="10"/>
  <c r="I136" i="10"/>
  <c r="I143" i="10"/>
  <c r="I147" i="10"/>
  <c r="I151" i="10"/>
  <c r="I105" i="10"/>
  <c r="I157" i="10"/>
  <c r="I155" i="10"/>
  <c r="I164" i="10"/>
  <c r="H8" i="10"/>
  <c r="H17" i="10"/>
  <c r="H21" i="10"/>
  <c r="H28" i="10"/>
  <c r="H36" i="10"/>
  <c r="H41" i="10"/>
  <c r="H48" i="10"/>
  <c r="H55" i="10"/>
  <c r="H62" i="10"/>
  <c r="H16" i="10"/>
  <c r="H71" i="10"/>
  <c r="H79" i="10"/>
  <c r="H88" i="10"/>
  <c r="H97" i="10"/>
  <c r="H101" i="10"/>
  <c r="H70" i="10"/>
  <c r="H106" i="10"/>
  <c r="H114" i="10"/>
  <c r="H124" i="10"/>
  <c r="H129" i="10"/>
  <c r="H132" i="10"/>
  <c r="H136" i="10"/>
  <c r="H143" i="10"/>
  <c r="H147" i="10"/>
  <c r="H151" i="10"/>
  <c r="H105" i="10"/>
  <c r="H157" i="10"/>
  <c r="H155" i="10"/>
  <c r="H164" i="10"/>
  <c r="G8" i="10"/>
  <c r="G17" i="10"/>
  <c r="G21" i="10"/>
  <c r="G28" i="10"/>
  <c r="G36" i="10"/>
  <c r="G41" i="10"/>
  <c r="G48" i="10"/>
  <c r="G55" i="10"/>
  <c r="G62" i="10"/>
  <c r="G16" i="10"/>
  <c r="G71" i="10"/>
  <c r="G79" i="10"/>
  <c r="G88" i="10"/>
  <c r="G97" i="10"/>
  <c r="G101" i="10"/>
  <c r="G70" i="10"/>
  <c r="G106" i="10"/>
  <c r="G114" i="10"/>
  <c r="G124" i="10"/>
  <c r="G129" i="10"/>
  <c r="G132" i="10"/>
  <c r="G136" i="10"/>
  <c r="G143" i="10"/>
  <c r="G147" i="10"/>
  <c r="G151" i="10"/>
  <c r="G105" i="10"/>
  <c r="G157" i="10"/>
  <c r="G155" i="10"/>
  <c r="G164" i="10"/>
  <c r="F8" i="10"/>
  <c r="F17" i="10"/>
  <c r="F21" i="10"/>
  <c r="F28" i="10"/>
  <c r="F36" i="10"/>
  <c r="F41" i="10"/>
  <c r="F48" i="10"/>
  <c r="F55" i="10"/>
  <c r="F62" i="10"/>
  <c r="F16" i="10"/>
  <c r="F71" i="10"/>
  <c r="F79" i="10"/>
  <c r="F88" i="10"/>
  <c r="F97" i="10"/>
  <c r="F101" i="10"/>
  <c r="F70" i="10"/>
  <c r="F106" i="10"/>
  <c r="F114" i="10"/>
  <c r="F124" i="10"/>
  <c r="F129" i="10"/>
  <c r="F132" i="10"/>
  <c r="F136" i="10"/>
  <c r="F143" i="10"/>
  <c r="F147" i="10"/>
  <c r="F151" i="10"/>
  <c r="F105" i="10"/>
  <c r="F157" i="10"/>
  <c r="F155" i="10"/>
  <c r="F164" i="10"/>
  <c r="D8" i="10"/>
  <c r="D17" i="10"/>
  <c r="D21" i="10"/>
  <c r="D28" i="10"/>
  <c r="D36" i="10"/>
  <c r="D41" i="10"/>
  <c r="D48" i="10"/>
  <c r="D55" i="10"/>
  <c r="D62" i="10"/>
  <c r="D16" i="10"/>
  <c r="D71" i="10"/>
  <c r="D79" i="10"/>
  <c r="D88" i="10"/>
  <c r="D97" i="10"/>
  <c r="D101" i="10"/>
  <c r="D70" i="10"/>
  <c r="D106" i="10"/>
  <c r="D114" i="10"/>
  <c r="D124" i="10"/>
  <c r="D129" i="10"/>
  <c r="D132" i="10"/>
  <c r="D136" i="10"/>
  <c r="D143" i="10"/>
  <c r="D147" i="10"/>
  <c r="D151" i="10"/>
  <c r="D105" i="10"/>
  <c r="D157" i="10"/>
  <c r="D155" i="10"/>
  <c r="D164" i="10"/>
  <c r="C9" i="10"/>
  <c r="C10" i="10"/>
  <c r="C11" i="10"/>
  <c r="C12" i="10"/>
  <c r="C13" i="10"/>
  <c r="C14" i="10"/>
  <c r="C15" i="10"/>
  <c r="C8" i="10"/>
  <c r="C18" i="10"/>
  <c r="C19" i="10"/>
  <c r="C20" i="10"/>
  <c r="C17" i="10"/>
  <c r="C22" i="10"/>
  <c r="C23" i="10"/>
  <c r="C24" i="10"/>
  <c r="C25" i="10"/>
  <c r="C26" i="10"/>
  <c r="C27" i="10"/>
  <c r="C21" i="10"/>
  <c r="C29" i="10"/>
  <c r="C30" i="10"/>
  <c r="C31" i="10"/>
  <c r="C32" i="10"/>
  <c r="C33" i="10"/>
  <c r="C34" i="10"/>
  <c r="C35" i="10"/>
  <c r="C28" i="10"/>
  <c r="C37" i="10"/>
  <c r="C38" i="10"/>
  <c r="C39" i="10"/>
  <c r="C40" i="10"/>
  <c r="C36" i="10"/>
  <c r="C42" i="10"/>
  <c r="C43" i="10"/>
  <c r="C44" i="10"/>
  <c r="C45" i="10"/>
  <c r="C41" i="10"/>
  <c r="C49" i="10"/>
  <c r="C50" i="10"/>
  <c r="C51" i="10"/>
  <c r="C52" i="10"/>
  <c r="C53" i="10"/>
  <c r="C54" i="10"/>
  <c r="C48" i="10"/>
  <c r="C56" i="10"/>
  <c r="C57" i="10"/>
  <c r="C58" i="10"/>
  <c r="C59" i="10"/>
  <c r="C60" i="10"/>
  <c r="C61" i="10"/>
  <c r="C55" i="10"/>
  <c r="C63" i="10"/>
  <c r="C64" i="10"/>
  <c r="C65" i="10"/>
  <c r="C66" i="10"/>
  <c r="C67" i="10"/>
  <c r="C68" i="10"/>
  <c r="C69" i="10"/>
  <c r="C62" i="10"/>
  <c r="C16" i="10"/>
  <c r="C72" i="10"/>
  <c r="C73" i="10"/>
  <c r="C74" i="10"/>
  <c r="C75" i="10"/>
  <c r="C76" i="10"/>
  <c r="C77" i="10"/>
  <c r="C78" i="10"/>
  <c r="C71" i="10"/>
  <c r="C80" i="10"/>
  <c r="C81" i="10"/>
  <c r="C82" i="10"/>
  <c r="C83" i="10"/>
  <c r="C84" i="10"/>
  <c r="C85" i="10"/>
  <c r="C86" i="10"/>
  <c r="C87" i="10"/>
  <c r="C79" i="10"/>
  <c r="C89" i="10"/>
  <c r="C90" i="10"/>
  <c r="C91" i="10"/>
  <c r="C92" i="10"/>
  <c r="C93" i="10"/>
  <c r="C94" i="10"/>
  <c r="C95" i="10"/>
  <c r="C96" i="10"/>
  <c r="C88" i="10"/>
  <c r="C98" i="10"/>
  <c r="C99" i="10"/>
  <c r="C100" i="10"/>
  <c r="C97" i="10"/>
  <c r="C102" i="10"/>
  <c r="C103" i="10"/>
  <c r="C101" i="10"/>
  <c r="C104" i="10"/>
  <c r="C70" i="10"/>
  <c r="C107" i="10"/>
  <c r="C108" i="10"/>
  <c r="C109" i="10"/>
  <c r="C110" i="10"/>
  <c r="C111" i="10"/>
  <c r="C112" i="10"/>
  <c r="C113" i="10"/>
  <c r="C106" i="10"/>
  <c r="C115" i="10"/>
  <c r="C116" i="10"/>
  <c r="C117" i="10"/>
  <c r="C118" i="10"/>
  <c r="C119" i="10"/>
  <c r="C120" i="10"/>
  <c r="C121" i="10"/>
  <c r="C122" i="10"/>
  <c r="C123" i="10"/>
  <c r="C114" i="10"/>
  <c r="C125" i="10"/>
  <c r="C126" i="10"/>
  <c r="C127" i="10"/>
  <c r="C128" i="10"/>
  <c r="C124" i="10"/>
  <c r="C130" i="10"/>
  <c r="C131" i="10"/>
  <c r="C129" i="10"/>
  <c r="C133" i="10"/>
  <c r="C134" i="10"/>
  <c r="C135" i="10"/>
  <c r="C132" i="10"/>
  <c r="C137" i="10"/>
  <c r="C138" i="10"/>
  <c r="C139" i="10"/>
  <c r="C140" i="10"/>
  <c r="C141" i="10"/>
  <c r="C142" i="10"/>
  <c r="C136" i="10"/>
  <c r="C144" i="10"/>
  <c r="C145" i="10"/>
  <c r="C146" i="10"/>
  <c r="C143" i="10"/>
  <c r="C148" i="10"/>
  <c r="C149" i="10"/>
  <c r="C150" i="10"/>
  <c r="C147" i="10"/>
  <c r="C152" i="10"/>
  <c r="C153" i="10"/>
  <c r="C154" i="10"/>
  <c r="C151" i="10"/>
  <c r="C105" i="10"/>
  <c r="C156" i="10"/>
  <c r="C158" i="10"/>
  <c r="C159" i="10"/>
  <c r="C160" i="10"/>
  <c r="C161" i="10"/>
  <c r="C157" i="10"/>
  <c r="C162" i="10"/>
  <c r="C155" i="10"/>
  <c r="C163" i="10"/>
  <c r="C164" i="10"/>
  <c r="F47" i="10"/>
  <c r="J47" i="10"/>
  <c r="N47" i="10"/>
  <c r="D47" i="10"/>
  <c r="O47" i="10"/>
  <c r="C47" i="10"/>
  <c r="F46" i="10"/>
  <c r="J46" i="10"/>
  <c r="N46" i="10"/>
  <c r="D46" i="10"/>
  <c r="O46" i="10"/>
  <c r="C46" i="10"/>
  <c r="C6" i="9"/>
  <c r="C7" i="9"/>
  <c r="C8" i="9"/>
  <c r="C9" i="9"/>
  <c r="C10" i="9"/>
  <c r="C11" i="9"/>
  <c r="C12" i="9"/>
  <c r="C5" i="9"/>
  <c r="C15" i="9"/>
  <c r="C16" i="9"/>
  <c r="C17" i="9"/>
  <c r="C14" i="9"/>
  <c r="C19" i="9"/>
  <c r="C20" i="9"/>
  <c r="C21" i="9"/>
  <c r="C22" i="9"/>
  <c r="C23" i="9"/>
  <c r="C24" i="9"/>
  <c r="C18" i="9"/>
  <c r="C26" i="9"/>
  <c r="C27" i="9"/>
  <c r="C28" i="9"/>
  <c r="C29" i="9"/>
  <c r="C30" i="9"/>
  <c r="C31" i="9"/>
  <c r="C32" i="9"/>
  <c r="C25" i="9"/>
  <c r="C34" i="9"/>
  <c r="C35" i="9"/>
  <c r="C36" i="9"/>
  <c r="C37" i="9"/>
  <c r="C33" i="9"/>
  <c r="C39" i="9"/>
  <c r="C40" i="9"/>
  <c r="C41" i="9"/>
  <c r="C42" i="9"/>
  <c r="C38" i="9"/>
  <c r="C46" i="9"/>
  <c r="C47" i="9"/>
  <c r="C48" i="9"/>
  <c r="C49" i="9"/>
  <c r="C50" i="9"/>
  <c r="C51" i="9"/>
  <c r="C45" i="9"/>
  <c r="C53" i="9"/>
  <c r="C54" i="9"/>
  <c r="C55" i="9"/>
  <c r="C56" i="9"/>
  <c r="C57" i="9"/>
  <c r="C58" i="9"/>
  <c r="C52" i="9"/>
  <c r="C60" i="9"/>
  <c r="C61" i="9"/>
  <c r="C62" i="9"/>
  <c r="C63" i="9"/>
  <c r="C64" i="9"/>
  <c r="C65" i="9"/>
  <c r="C66" i="9"/>
  <c r="C59" i="9"/>
  <c r="C13" i="9"/>
  <c r="C69" i="9"/>
  <c r="C70" i="9"/>
  <c r="C71" i="9"/>
  <c r="C72" i="9"/>
  <c r="C73" i="9"/>
  <c r="C74" i="9"/>
  <c r="C75" i="9"/>
  <c r="C68" i="9"/>
  <c r="C77" i="9"/>
  <c r="C78" i="9"/>
  <c r="C79" i="9"/>
  <c r="C80" i="9"/>
  <c r="C81" i="9"/>
  <c r="C82" i="9"/>
  <c r="C83" i="9"/>
  <c r="C84" i="9"/>
  <c r="C76" i="9"/>
  <c r="C86" i="9"/>
  <c r="C87" i="9"/>
  <c r="C88" i="9"/>
  <c r="C89" i="9"/>
  <c r="C90" i="9"/>
  <c r="C91" i="9"/>
  <c r="C92" i="9"/>
  <c r="C93" i="9"/>
  <c r="C85" i="9"/>
  <c r="C95" i="9"/>
  <c r="C96" i="9"/>
  <c r="C97" i="9"/>
  <c r="C94" i="9"/>
  <c r="C99" i="9"/>
  <c r="C100" i="9"/>
  <c r="C98" i="9"/>
  <c r="C101" i="9"/>
  <c r="C67" i="9"/>
  <c r="C104" i="9"/>
  <c r="C105" i="9"/>
  <c r="C106" i="9"/>
  <c r="C107" i="9"/>
  <c r="C108" i="9"/>
  <c r="C109" i="9"/>
  <c r="C110" i="9"/>
  <c r="C103" i="9"/>
  <c r="C112" i="9"/>
  <c r="C113" i="9"/>
  <c r="C114" i="9"/>
  <c r="C115" i="9"/>
  <c r="C116" i="9"/>
  <c r="C117" i="9"/>
  <c r="C118" i="9"/>
  <c r="C119" i="9"/>
  <c r="C120" i="9"/>
  <c r="C111" i="9"/>
  <c r="C122" i="9"/>
  <c r="C123" i="9"/>
  <c r="C124" i="9"/>
  <c r="C125" i="9"/>
  <c r="C121" i="9"/>
  <c r="C127" i="9"/>
  <c r="C128" i="9"/>
  <c r="C126" i="9"/>
  <c r="C130" i="9"/>
  <c r="C131" i="9"/>
  <c r="C132" i="9"/>
  <c r="C129" i="9"/>
  <c r="C134" i="9"/>
  <c r="C135" i="9"/>
  <c r="C136" i="9"/>
  <c r="C137" i="9"/>
  <c r="C138" i="9"/>
  <c r="C139" i="9"/>
  <c r="C133" i="9"/>
  <c r="C141" i="9"/>
  <c r="C142" i="9"/>
  <c r="C143" i="9"/>
  <c r="C140" i="9"/>
  <c r="C145" i="9"/>
  <c r="C146" i="9"/>
  <c r="C147" i="9"/>
  <c r="C144" i="9"/>
  <c r="C149" i="9"/>
  <c r="C150" i="9"/>
  <c r="C151" i="9"/>
  <c r="C148" i="9"/>
  <c r="C102" i="9"/>
  <c r="C153" i="9"/>
  <c r="C155" i="9"/>
  <c r="C156" i="9"/>
  <c r="C157" i="9"/>
  <c r="C158" i="9"/>
  <c r="C154" i="9"/>
  <c r="C159" i="9"/>
  <c r="C152" i="9"/>
  <c r="C160" i="9"/>
  <c r="C161"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C44" i="9"/>
  <c r="F44" i="9"/>
  <c r="C43"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E13" i="8"/>
  <c r="E37" i="8"/>
  <c r="E53" i="8"/>
  <c r="F13" i="8"/>
  <c r="F37" i="8"/>
  <c r="F53" i="8"/>
  <c r="G13" i="8"/>
  <c r="G37" i="8"/>
  <c r="G53" i="8"/>
  <c r="H13" i="8"/>
  <c r="H37" i="8"/>
  <c r="H53" i="8"/>
  <c r="I53" i="8"/>
  <c r="J13" i="8"/>
  <c r="J37" i="8"/>
  <c r="J53" i="8"/>
  <c r="K13" i="8"/>
  <c r="K37" i="8"/>
  <c r="K53" i="8"/>
  <c r="L13" i="8"/>
  <c r="L37" i="8"/>
  <c r="L53" i="8"/>
  <c r="M13" i="8"/>
  <c r="M37" i="8"/>
  <c r="M53" i="8"/>
  <c r="N13" i="8"/>
  <c r="N25" i="8"/>
  <c r="N37" i="8"/>
  <c r="N53" i="8"/>
  <c r="O13" i="8"/>
  <c r="O25" i="8"/>
  <c r="O33" i="8"/>
  <c r="O37" i="8"/>
  <c r="O53" i="8"/>
  <c r="P13" i="8"/>
  <c r="P25" i="8"/>
  <c r="P37" i="8"/>
  <c r="P53" i="8"/>
  <c r="Q13" i="8"/>
  <c r="Q25" i="8"/>
  <c r="Q37" i="8"/>
  <c r="Q53" i="8"/>
  <c r="R13" i="8"/>
  <c r="R25" i="8"/>
  <c r="R37" i="8"/>
  <c r="R53" i="8"/>
  <c r="S13" i="8"/>
  <c r="S25" i="8"/>
  <c r="S37" i="8"/>
  <c r="S53" i="8"/>
  <c r="T13" i="8"/>
  <c r="T25" i="8"/>
  <c r="T37" i="8"/>
  <c r="T53" i="8"/>
  <c r="U13" i="8"/>
  <c r="U25" i="8"/>
  <c r="U37" i="8"/>
  <c r="U53" i="8"/>
  <c r="V53" i="8"/>
  <c r="W13" i="8"/>
  <c r="W25" i="8"/>
  <c r="W37" i="8"/>
  <c r="W53" i="8"/>
  <c r="X13" i="8"/>
  <c r="X25" i="8"/>
  <c r="X37" i="8"/>
  <c r="X53" i="8"/>
  <c r="Y13" i="8"/>
  <c r="Y25" i="8"/>
  <c r="Y37" i="8"/>
  <c r="Y53" i="8"/>
  <c r="Z13" i="8"/>
  <c r="Z25" i="8"/>
  <c r="Z37" i="8"/>
  <c r="Z53" i="8"/>
  <c r="AA13" i="8"/>
  <c r="AA25" i="8"/>
  <c r="AA37" i="8"/>
  <c r="AA53" i="8"/>
  <c r="AB13" i="8"/>
  <c r="AB25" i="8"/>
  <c r="AB37" i="8"/>
  <c r="AB53" i="8"/>
  <c r="AC13" i="8"/>
  <c r="AC25" i="8"/>
  <c r="AC37" i="8"/>
  <c r="AC53" i="8"/>
  <c r="AD13" i="8"/>
  <c r="AD25" i="8"/>
  <c r="AD37" i="8"/>
  <c r="AD53" i="8"/>
  <c r="AE13" i="8"/>
  <c r="AE25" i="8"/>
  <c r="AE37" i="8"/>
  <c r="AE53" i="8"/>
  <c r="AF13" i="8"/>
  <c r="AF25" i="8"/>
  <c r="AF37" i="8"/>
  <c r="AF53" i="8"/>
  <c r="AG13" i="8"/>
  <c r="AG25" i="8"/>
  <c r="AG37" i="8"/>
  <c r="AG53" i="8"/>
  <c r="AH13" i="8"/>
  <c r="AH25" i="8"/>
  <c r="AH37" i="8"/>
  <c r="AH53" i="8"/>
  <c r="AI53" i="8"/>
  <c r="AJ13" i="8"/>
  <c r="AJ25" i="8"/>
  <c r="AJ37" i="8"/>
  <c r="AJ53" i="8"/>
  <c r="AK13" i="8"/>
  <c r="AK25" i="8"/>
  <c r="AK37" i="8"/>
  <c r="AK53" i="8"/>
  <c r="AL13" i="8"/>
  <c r="AL25" i="8"/>
  <c r="AL37" i="8"/>
  <c r="AL53" i="8"/>
  <c r="AM13" i="8"/>
  <c r="AM25" i="8"/>
  <c r="AM37" i="8"/>
  <c r="AM53" i="8"/>
  <c r="AN13" i="8"/>
  <c r="AN25" i="8"/>
  <c r="AN37" i="8"/>
  <c r="AN53" i="8"/>
  <c r="AO13" i="8"/>
  <c r="AO25" i="8"/>
  <c r="AO37" i="8"/>
  <c r="AO53" i="8"/>
  <c r="AP13" i="8"/>
  <c r="AP25" i="8"/>
  <c r="AP37" i="8"/>
  <c r="AP53" i="8"/>
  <c r="AQ13" i="8"/>
  <c r="AQ25" i="8"/>
  <c r="AQ37" i="8"/>
  <c r="AQ53" i="8"/>
  <c r="AR13" i="8"/>
  <c r="AR25" i="8"/>
  <c r="AR37" i="8"/>
  <c r="AR53" i="8"/>
  <c r="AS13" i="8"/>
  <c r="AS25" i="8"/>
  <c r="AS37" i="8"/>
  <c r="AS53" i="8"/>
  <c r="AT13" i="8"/>
  <c r="AT25" i="8"/>
  <c r="AT37" i="8"/>
  <c r="AT53" i="8"/>
  <c r="AU13" i="8"/>
  <c r="AU25" i="8"/>
  <c r="AU37" i="8"/>
  <c r="AU53" i="8"/>
  <c r="AV53" i="8"/>
  <c r="AW13" i="8"/>
  <c r="AW25" i="8"/>
  <c r="AW37" i="8"/>
  <c r="AW53" i="8"/>
  <c r="AX13" i="8"/>
  <c r="AX25" i="8"/>
  <c r="AX37" i="8"/>
  <c r="AX53" i="8"/>
  <c r="AY13" i="8"/>
  <c r="AY25" i="8"/>
  <c r="AY37" i="8"/>
  <c r="AY53" i="8"/>
  <c r="AZ13" i="8"/>
  <c r="AZ25" i="8"/>
  <c r="AZ37" i="8"/>
  <c r="AZ53" i="8"/>
  <c r="BA13" i="8"/>
  <c r="BA25" i="8"/>
  <c r="BA37" i="8"/>
  <c r="BA53" i="8"/>
  <c r="BB13" i="8"/>
  <c r="BB25" i="8"/>
  <c r="BB37" i="8"/>
  <c r="BB53" i="8"/>
  <c r="BC13" i="8"/>
  <c r="BC25" i="8"/>
  <c r="BC37" i="8"/>
  <c r="BC53" i="8"/>
  <c r="BD13" i="8"/>
  <c r="BD25" i="8"/>
  <c r="BD37" i="8"/>
  <c r="BD53" i="8"/>
  <c r="BE13" i="8"/>
  <c r="BE25" i="8"/>
  <c r="BE37" i="8"/>
  <c r="BE53" i="8"/>
  <c r="BF13" i="8"/>
  <c r="BF25" i="8"/>
  <c r="BF37" i="8"/>
  <c r="BF53" i="8"/>
  <c r="BG13" i="8"/>
  <c r="BG25" i="8"/>
  <c r="BG37" i="8"/>
  <c r="BG53" i="8"/>
  <c r="BH13" i="8"/>
  <c r="BH25" i="8"/>
  <c r="BH37" i="8"/>
  <c r="BH53" i="8"/>
  <c r="BI53" i="8"/>
  <c r="BP53" i="8"/>
  <c r="BP54" i="8"/>
  <c r="BI54"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E12" i="8"/>
  <c r="E36" i="8"/>
  <c r="E52" i="8"/>
  <c r="F12" i="8"/>
  <c r="F36" i="8"/>
  <c r="F52" i="8"/>
  <c r="G12" i="8"/>
  <c r="G36" i="8"/>
  <c r="G52" i="8"/>
  <c r="H12" i="8"/>
  <c r="H36" i="8"/>
  <c r="H52" i="8"/>
  <c r="I52" i="8"/>
  <c r="J12" i="8"/>
  <c r="J36" i="8"/>
  <c r="J52" i="8"/>
  <c r="K12" i="8"/>
  <c r="K36" i="8"/>
  <c r="K52" i="8"/>
  <c r="L12" i="8"/>
  <c r="L36" i="8"/>
  <c r="L52" i="8"/>
  <c r="M12" i="8"/>
  <c r="M36" i="8"/>
  <c r="M52" i="8"/>
  <c r="N12" i="8"/>
  <c r="N24" i="8"/>
  <c r="N36" i="8"/>
  <c r="N52" i="8"/>
  <c r="O12" i="8"/>
  <c r="O24" i="8"/>
  <c r="O36" i="8"/>
  <c r="O52" i="8"/>
  <c r="P12" i="8"/>
  <c r="P24" i="8"/>
  <c r="P36" i="8"/>
  <c r="P52" i="8"/>
  <c r="Q12" i="8"/>
  <c r="Q24" i="8"/>
  <c r="Q36" i="8"/>
  <c r="Q52" i="8"/>
  <c r="R12" i="8"/>
  <c r="R24" i="8"/>
  <c r="R36" i="8"/>
  <c r="R52" i="8"/>
  <c r="S12" i="8"/>
  <c r="S24" i="8"/>
  <c r="S36" i="8"/>
  <c r="S52" i="8"/>
  <c r="T12" i="8"/>
  <c r="T24" i="8"/>
  <c r="T36" i="8"/>
  <c r="T52" i="8"/>
  <c r="U12" i="8"/>
  <c r="U24" i="8"/>
  <c r="U36" i="8"/>
  <c r="U52" i="8"/>
  <c r="V52" i="8"/>
  <c r="W12" i="8"/>
  <c r="W24" i="8"/>
  <c r="W36" i="8"/>
  <c r="W52" i="8"/>
  <c r="X12" i="8"/>
  <c r="X24" i="8"/>
  <c r="X36" i="8"/>
  <c r="X52" i="8"/>
  <c r="Y12" i="8"/>
  <c r="Y24" i="8"/>
  <c r="Y36" i="8"/>
  <c r="Y52" i="8"/>
  <c r="Z12" i="8"/>
  <c r="Z24" i="8"/>
  <c r="Z36" i="8"/>
  <c r="Z52" i="8"/>
  <c r="AA12" i="8"/>
  <c r="AA24" i="8"/>
  <c r="AA36" i="8"/>
  <c r="AA52" i="8"/>
  <c r="AB12" i="8"/>
  <c r="AB24" i="8"/>
  <c r="AB36" i="8"/>
  <c r="AB52" i="8"/>
  <c r="AC12" i="8"/>
  <c r="AC24" i="8"/>
  <c r="AC36" i="8"/>
  <c r="AC52" i="8"/>
  <c r="AD12" i="8"/>
  <c r="AD24" i="8"/>
  <c r="AD36" i="8"/>
  <c r="AD52" i="8"/>
  <c r="AE12" i="8"/>
  <c r="AE24" i="8"/>
  <c r="AE36" i="8"/>
  <c r="AE52" i="8"/>
  <c r="AF12" i="8"/>
  <c r="AF24" i="8"/>
  <c r="AF36" i="8"/>
  <c r="AF52" i="8"/>
  <c r="AG12" i="8"/>
  <c r="AG24" i="8"/>
  <c r="AG36" i="8"/>
  <c r="AG52" i="8"/>
  <c r="AH12" i="8"/>
  <c r="AH24" i="8"/>
  <c r="AH36" i="8"/>
  <c r="AH52" i="8"/>
  <c r="AI52" i="8"/>
  <c r="AJ12" i="8"/>
  <c r="AJ24" i="8"/>
  <c r="AJ36" i="8"/>
  <c r="AJ52" i="8"/>
  <c r="AK12" i="8"/>
  <c r="AK24" i="8"/>
  <c r="AK36" i="8"/>
  <c r="AK52" i="8"/>
  <c r="AL12" i="8"/>
  <c r="AL24" i="8"/>
  <c r="AL36" i="8"/>
  <c r="AL52" i="8"/>
  <c r="AM12" i="8"/>
  <c r="AM24" i="8"/>
  <c r="AM36" i="8"/>
  <c r="AM52" i="8"/>
  <c r="AN12" i="8"/>
  <c r="AN24" i="8"/>
  <c r="AN36" i="8"/>
  <c r="AN52" i="8"/>
  <c r="AO12" i="8"/>
  <c r="AO24" i="8"/>
  <c r="AO36" i="8"/>
  <c r="AO52" i="8"/>
  <c r="AP12" i="8"/>
  <c r="AP24" i="8"/>
  <c r="AP36" i="8"/>
  <c r="AP52" i="8"/>
  <c r="AQ12" i="8"/>
  <c r="AQ24" i="8"/>
  <c r="AQ36" i="8"/>
  <c r="AQ52" i="8"/>
  <c r="AR12" i="8"/>
  <c r="AR24" i="8"/>
  <c r="AR36" i="8"/>
  <c r="AR52" i="8"/>
  <c r="AS12" i="8"/>
  <c r="AS24" i="8"/>
  <c r="AS36" i="8"/>
  <c r="AS52" i="8"/>
  <c r="AT12" i="8"/>
  <c r="AT24" i="8"/>
  <c r="AT36" i="8"/>
  <c r="AT52" i="8"/>
  <c r="AU12" i="8"/>
  <c r="AU24" i="8"/>
  <c r="AU36" i="8"/>
  <c r="AU52" i="8"/>
  <c r="AV52" i="8"/>
  <c r="AW12" i="8"/>
  <c r="AW24" i="8"/>
  <c r="AW36" i="8"/>
  <c r="AW52" i="8"/>
  <c r="AX12" i="8"/>
  <c r="AX24" i="8"/>
  <c r="AX36" i="8"/>
  <c r="AX52" i="8"/>
  <c r="AY12" i="8"/>
  <c r="AY24" i="8"/>
  <c r="AY36" i="8"/>
  <c r="AY52" i="8"/>
  <c r="AZ12" i="8"/>
  <c r="AZ24" i="8"/>
  <c r="AZ36" i="8"/>
  <c r="AZ52" i="8"/>
  <c r="BA12" i="8"/>
  <c r="BA24" i="8"/>
  <c r="BA36" i="8"/>
  <c r="BA52" i="8"/>
  <c r="BB12" i="8"/>
  <c r="BB24" i="8"/>
  <c r="BB36" i="8"/>
  <c r="BB52" i="8"/>
  <c r="BC12" i="8"/>
  <c r="BC24" i="8"/>
  <c r="BC36" i="8"/>
  <c r="BC52" i="8"/>
  <c r="BD12" i="8"/>
  <c r="BD24" i="8"/>
  <c r="BD36" i="8"/>
  <c r="BD52" i="8"/>
  <c r="BE12" i="8"/>
  <c r="BE24" i="8"/>
  <c r="BE36" i="8"/>
  <c r="BE52" i="8"/>
  <c r="BF12" i="8"/>
  <c r="BF24" i="8"/>
  <c r="BF36" i="8"/>
  <c r="BF52" i="8"/>
  <c r="BG12" i="8"/>
  <c r="BG24" i="8"/>
  <c r="BG36" i="8"/>
  <c r="BG52" i="8"/>
  <c r="BH12" i="8"/>
  <c r="BH24" i="8"/>
  <c r="BH36" i="8"/>
  <c r="BH52" i="8"/>
  <c r="BI52" i="8"/>
  <c r="BP52" i="8"/>
  <c r="D12" i="8"/>
  <c r="D24" i="8"/>
  <c r="D36" i="8"/>
  <c r="D52" i="8"/>
  <c r="BQ52" i="8"/>
  <c r="I51" i="8"/>
  <c r="V51" i="8"/>
  <c r="AI51" i="8"/>
  <c r="AV51" i="8"/>
  <c r="BI51" i="8"/>
  <c r="BP51" i="8"/>
  <c r="I49" i="8"/>
  <c r="V49" i="8"/>
  <c r="AI49" i="8"/>
  <c r="AV49" i="8"/>
  <c r="BI49" i="8"/>
  <c r="BP49" i="8"/>
  <c r="BP50" i="8"/>
  <c r="BI50" i="8"/>
  <c r="AV50" i="8"/>
  <c r="AI50" i="8"/>
  <c r="V50" i="8"/>
  <c r="I50" i="8"/>
  <c r="BQ49" i="8"/>
  <c r="I48" i="8"/>
  <c r="V48" i="8"/>
  <c r="AI48" i="8"/>
  <c r="AV48" i="8"/>
  <c r="BI48" i="8"/>
  <c r="BP48" i="8"/>
  <c r="I47" i="8"/>
  <c r="V47" i="8"/>
  <c r="AI47" i="8"/>
  <c r="AV47" i="8"/>
  <c r="BI47" i="8"/>
  <c r="BP47" i="8"/>
  <c r="I45" i="8"/>
  <c r="V45" i="8"/>
  <c r="AI45" i="8"/>
  <c r="AV45" i="8"/>
  <c r="BI45" i="8"/>
  <c r="BP45" i="8"/>
  <c r="BP46" i="8"/>
  <c r="AI46" i="8"/>
  <c r="BI44" i="8"/>
  <c r="AV44" i="8"/>
  <c r="AI44" i="8"/>
  <c r="V44" i="8"/>
  <c r="BP44" i="8"/>
  <c r="BQ44" i="8"/>
  <c r="BR44" i="8"/>
  <c r="I43" i="8"/>
  <c r="V43" i="8"/>
  <c r="AI43" i="8"/>
  <c r="AV43" i="8"/>
  <c r="BI43" i="8"/>
  <c r="BP43" i="8"/>
  <c r="I41" i="8"/>
  <c r="V41" i="8"/>
  <c r="AI41" i="8"/>
  <c r="AV41" i="8"/>
  <c r="BI41" i="8"/>
  <c r="BP41" i="8"/>
  <c r="BP42" i="8"/>
  <c r="BI42" i="8"/>
  <c r="AV42" i="8"/>
  <c r="AI42" i="8"/>
  <c r="V42" i="8"/>
  <c r="I42" i="8"/>
  <c r="I40" i="8"/>
  <c r="V40" i="8"/>
  <c r="AI40" i="8"/>
  <c r="AV40" i="8"/>
  <c r="BI40" i="8"/>
  <c r="BP40" i="8"/>
  <c r="BQ40" i="8"/>
  <c r="I31" i="8"/>
  <c r="I35" i="8"/>
  <c r="I39" i="8"/>
  <c r="V31" i="8"/>
  <c r="V35" i="8"/>
  <c r="V39" i="8"/>
  <c r="AI31" i="8"/>
  <c r="AI35" i="8"/>
  <c r="AI39" i="8"/>
  <c r="AV31" i="8"/>
  <c r="AV35" i="8"/>
  <c r="AV39" i="8"/>
  <c r="BI31" i="8"/>
  <c r="BI35" i="8"/>
  <c r="BI39" i="8"/>
  <c r="BP39" i="8"/>
  <c r="I29" i="8"/>
  <c r="I33" i="8"/>
  <c r="I37" i="8"/>
  <c r="V29" i="8"/>
  <c r="V33" i="8"/>
  <c r="V37" i="8"/>
  <c r="AI29" i="8"/>
  <c r="AI33" i="8"/>
  <c r="AI37" i="8"/>
  <c r="AV29" i="8"/>
  <c r="AV33" i="8"/>
  <c r="AV37" i="8"/>
  <c r="BI29" i="8"/>
  <c r="BI33" i="8"/>
  <c r="BI37" i="8"/>
  <c r="BP37" i="8"/>
  <c r="BP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I28" i="8"/>
  <c r="I32" i="8"/>
  <c r="I36" i="8"/>
  <c r="V28" i="8"/>
  <c r="V32" i="8"/>
  <c r="V36" i="8"/>
  <c r="AI28" i="8"/>
  <c r="AI32" i="8"/>
  <c r="AI36" i="8"/>
  <c r="AV28" i="8"/>
  <c r="AV32" i="8"/>
  <c r="AV36" i="8"/>
  <c r="BI28" i="8"/>
  <c r="BI32" i="8"/>
  <c r="BI36" i="8"/>
  <c r="BP36" i="8"/>
  <c r="BQ36" i="8"/>
  <c r="BP35" i="8"/>
  <c r="BP33" i="8"/>
  <c r="BP34" i="8"/>
  <c r="BI34" i="8"/>
  <c r="AV34" i="8"/>
  <c r="AI34" i="8"/>
  <c r="V34" i="8"/>
  <c r="O34" i="8"/>
  <c r="I34" i="8"/>
  <c r="BP32" i="8"/>
  <c r="BQ32" i="8"/>
  <c r="BP31" i="8"/>
  <c r="BP29" i="8"/>
  <c r="BP30" i="8"/>
  <c r="BI30" i="8"/>
  <c r="AV30" i="8"/>
  <c r="AI30" i="8"/>
  <c r="V30" i="8"/>
  <c r="I30" i="8"/>
  <c r="BP28" i="8"/>
  <c r="BQ28" i="8"/>
  <c r="V19" i="8"/>
  <c r="V23" i="8"/>
  <c r="V27" i="8"/>
  <c r="AI19" i="8"/>
  <c r="AI23" i="8"/>
  <c r="AI27" i="8"/>
  <c r="AV19" i="8"/>
  <c r="AV23" i="8"/>
  <c r="AV27" i="8"/>
  <c r="BI19" i="8"/>
  <c r="BI23" i="8"/>
  <c r="BI27" i="8"/>
  <c r="BP27" i="8"/>
  <c r="V17" i="8"/>
  <c r="V21" i="8"/>
  <c r="V25" i="8"/>
  <c r="AI17" i="8"/>
  <c r="AI21" i="8"/>
  <c r="AI25" i="8"/>
  <c r="AV17" i="8"/>
  <c r="AV21" i="8"/>
  <c r="AV25" i="8"/>
  <c r="BI17" i="8"/>
  <c r="BI21" i="8"/>
  <c r="BI25" i="8"/>
  <c r="BP25" i="8"/>
  <c r="BP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V16" i="8"/>
  <c r="V20" i="8"/>
  <c r="V24" i="8"/>
  <c r="AI16" i="8"/>
  <c r="AI20" i="8"/>
  <c r="AI24" i="8"/>
  <c r="AV16" i="8"/>
  <c r="AV20" i="8"/>
  <c r="AV24" i="8"/>
  <c r="BI16" i="8"/>
  <c r="BI20" i="8"/>
  <c r="BI24" i="8"/>
  <c r="BP24" i="8"/>
  <c r="BP23" i="8"/>
  <c r="BP21" i="8"/>
  <c r="BP22" i="8"/>
  <c r="BI22" i="8"/>
  <c r="AV22" i="8"/>
  <c r="AI22" i="8"/>
  <c r="V22" i="8"/>
  <c r="BP20" i="8"/>
  <c r="BQ20" i="8"/>
  <c r="BP19" i="8"/>
  <c r="BP17" i="8"/>
  <c r="BP18" i="8"/>
  <c r="BI18" i="8"/>
  <c r="AV18" i="8"/>
  <c r="AI18" i="8"/>
  <c r="V18" i="8"/>
  <c r="BP16" i="8"/>
  <c r="BQ16" i="8"/>
  <c r="I7" i="8"/>
  <c r="I11" i="8"/>
  <c r="I15" i="8"/>
  <c r="V7" i="8"/>
  <c r="V11" i="8"/>
  <c r="V15" i="8"/>
  <c r="AI7" i="8"/>
  <c r="AI11" i="8"/>
  <c r="AI15" i="8"/>
  <c r="AV7" i="8"/>
  <c r="AV11" i="8"/>
  <c r="AV15" i="8"/>
  <c r="BI7" i="8"/>
  <c r="BI11" i="8"/>
  <c r="BI15" i="8"/>
  <c r="BP15" i="8"/>
  <c r="I5" i="8"/>
  <c r="I9" i="8"/>
  <c r="I13" i="8"/>
  <c r="V5" i="8"/>
  <c r="V9" i="8"/>
  <c r="V13" i="8"/>
  <c r="AI5" i="8"/>
  <c r="AI9" i="8"/>
  <c r="AI13" i="8"/>
  <c r="AV5" i="8"/>
  <c r="AV9" i="8"/>
  <c r="AV13" i="8"/>
  <c r="BI5" i="8"/>
  <c r="BI9" i="8"/>
  <c r="BI13" i="8"/>
  <c r="BP13" i="8"/>
  <c r="BP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I4" i="8"/>
  <c r="I8" i="8"/>
  <c r="I12" i="8"/>
  <c r="V4" i="8"/>
  <c r="V8" i="8"/>
  <c r="V12" i="8"/>
  <c r="AI4" i="8"/>
  <c r="AI8" i="8"/>
  <c r="AI12" i="8"/>
  <c r="AV4" i="8"/>
  <c r="AV8" i="8"/>
  <c r="AV12" i="8"/>
  <c r="BI4" i="8"/>
  <c r="BI8" i="8"/>
  <c r="BI12" i="8"/>
  <c r="BP12" i="8"/>
  <c r="BQ12" i="8"/>
  <c r="BP11" i="8"/>
  <c r="BP9" i="8"/>
  <c r="BP10" i="8"/>
  <c r="BI10" i="8"/>
  <c r="AV10" i="8"/>
  <c r="AI10" i="8"/>
  <c r="V10" i="8"/>
  <c r="I10" i="8"/>
  <c r="BP8" i="8"/>
  <c r="BQ8" i="8"/>
  <c r="BP7" i="8"/>
  <c r="BP5" i="8"/>
  <c r="BP6" i="8"/>
  <c r="BI6" i="8"/>
  <c r="AV6" i="8"/>
  <c r="AI6" i="8"/>
  <c r="V6" i="8"/>
  <c r="I6" i="8"/>
  <c r="BP4" i="8"/>
  <c r="BQ4" i="8"/>
  <c r="O2" i="7"/>
  <c r="E140" i="7"/>
  <c r="E172" i="7"/>
  <c r="C172" i="7"/>
  <c r="E16" i="7"/>
  <c r="E17" i="7"/>
  <c r="E18" i="7"/>
  <c r="E171" i="7"/>
  <c r="C171" i="7"/>
  <c r="E170" i="7"/>
  <c r="C170" i="7"/>
  <c r="E169" i="7"/>
  <c r="C169" i="7"/>
  <c r="E10" i="7"/>
  <c r="E11" i="7"/>
  <c r="E12" i="7"/>
  <c r="E13" i="7"/>
  <c r="E14" i="7"/>
  <c r="E9" i="7"/>
  <c r="E168" i="7"/>
  <c r="C9" i="7"/>
  <c r="C168" i="7"/>
  <c r="E161" i="7"/>
  <c r="E160" i="7"/>
  <c r="E159" i="7"/>
  <c r="E158" i="7"/>
  <c r="E157" i="7"/>
  <c r="E156" i="7"/>
  <c r="E155" i="7"/>
  <c r="E154" i="7"/>
  <c r="E153" i="7"/>
  <c r="E152" i="7"/>
  <c r="E151" i="7"/>
  <c r="E150" i="7"/>
  <c r="E149" i="7"/>
  <c r="E148" i="7"/>
  <c r="C148" i="7"/>
  <c r="E147" i="7"/>
  <c r="E146" i="7"/>
  <c r="E145" i="7"/>
  <c r="E144" i="7"/>
  <c r="E143" i="7"/>
  <c r="E142" i="7"/>
  <c r="E141"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5" i="7"/>
  <c r="O3" i="7"/>
  <c r="F228" i="6"/>
  <c r="F224" i="6"/>
  <c r="F223" i="6"/>
  <c r="F222" i="6"/>
  <c r="F221" i="6"/>
  <c r="F220" i="6"/>
  <c r="F219" i="6"/>
  <c r="K218" i="6"/>
  <c r="F218" i="6"/>
  <c r="F217" i="6"/>
  <c r="F216" i="6"/>
  <c r="K215" i="6"/>
  <c r="F215" i="6"/>
  <c r="K214" i="6"/>
  <c r="F214" i="6"/>
  <c r="K213" i="6"/>
  <c r="F208" i="6"/>
  <c r="F207" i="6"/>
  <c r="F206" i="6"/>
  <c r="H16" i="6"/>
  <c r="F205" i="6"/>
  <c r="F204" i="6"/>
  <c r="H4" i="6"/>
  <c r="H5" i="6"/>
  <c r="H6" i="6"/>
  <c r="H7" i="6"/>
  <c r="H8" i="6"/>
  <c r="H9" i="6"/>
  <c r="H10" i="6"/>
  <c r="H11" i="6"/>
  <c r="H12" i="6"/>
  <c r="H13" i="6"/>
  <c r="H14" i="6"/>
  <c r="H15" i="6"/>
  <c r="H17" i="6"/>
  <c r="H18" i="6"/>
  <c r="H19" i="6"/>
  <c r="H20" i="6"/>
  <c r="H21" i="6"/>
  <c r="H22" i="6"/>
  <c r="H23" i="6"/>
  <c r="H24" i="6"/>
  <c r="H25" i="6"/>
  <c r="F203" i="6"/>
  <c r="F202" i="6"/>
  <c r="M4" i="6"/>
  <c r="M5" i="6"/>
  <c r="M6" i="6"/>
  <c r="M7" i="6"/>
  <c r="G8" i="6"/>
  <c r="M8" i="6"/>
  <c r="G9" i="6"/>
  <c r="M9" i="6"/>
  <c r="G10" i="6"/>
  <c r="M10" i="6"/>
  <c r="G11" i="6"/>
  <c r="M11" i="6"/>
  <c r="G12" i="6"/>
  <c r="M12" i="6"/>
  <c r="G13" i="6"/>
  <c r="M13" i="6"/>
  <c r="M14" i="6"/>
  <c r="M15" i="6"/>
  <c r="G16" i="6"/>
  <c r="M16" i="6"/>
  <c r="M17" i="6"/>
  <c r="G18" i="6"/>
  <c r="M18" i="6"/>
  <c r="M19" i="6"/>
  <c r="G20" i="6"/>
  <c r="M20" i="6"/>
  <c r="K21" i="6"/>
  <c r="M21" i="6"/>
  <c r="M22" i="6"/>
  <c r="M23" i="6"/>
  <c r="M24" i="6"/>
  <c r="M25" i="6"/>
  <c r="G26" i="6"/>
  <c r="M26" i="6"/>
  <c r="M37" i="6"/>
  <c r="M38" i="6"/>
  <c r="M39" i="6"/>
  <c r="M40" i="6"/>
  <c r="M41" i="6"/>
  <c r="M42" i="6"/>
  <c r="G43" i="6"/>
  <c r="M43" i="6"/>
  <c r="G44" i="6"/>
  <c r="M44" i="6"/>
  <c r="G45" i="6"/>
  <c r="M45" i="6"/>
  <c r="G46" i="6"/>
  <c r="M46" i="6"/>
  <c r="G47" i="6"/>
  <c r="M47" i="6"/>
  <c r="M48" i="6"/>
  <c r="G49" i="6"/>
  <c r="M49" i="6"/>
  <c r="M50" i="6"/>
  <c r="G51" i="6"/>
  <c r="M51" i="6"/>
  <c r="G52" i="6"/>
  <c r="M52" i="6"/>
  <c r="G53" i="6"/>
  <c r="M53" i="6"/>
  <c r="M54" i="6"/>
  <c r="G55" i="6"/>
  <c r="M55" i="6"/>
  <c r="M56" i="6"/>
  <c r="M57" i="6"/>
  <c r="M58" i="6"/>
  <c r="M197" i="6"/>
  <c r="L4" i="6"/>
  <c r="L5" i="6"/>
  <c r="L6" i="6"/>
  <c r="L7" i="6"/>
  <c r="L8" i="6"/>
  <c r="L9" i="6"/>
  <c r="L10" i="6"/>
  <c r="L11" i="6"/>
  <c r="L12" i="6"/>
  <c r="L13" i="6"/>
  <c r="L14" i="6"/>
  <c r="L15" i="6"/>
  <c r="L16" i="6"/>
  <c r="L17" i="6"/>
  <c r="L18" i="6"/>
  <c r="L19" i="6"/>
  <c r="L20" i="6"/>
  <c r="L21" i="6"/>
  <c r="L22" i="6"/>
  <c r="L23" i="6"/>
  <c r="L24" i="6"/>
  <c r="L25" i="6"/>
  <c r="L26" i="6"/>
  <c r="L37" i="6"/>
  <c r="L38" i="6"/>
  <c r="L39" i="6"/>
  <c r="L40" i="6"/>
  <c r="L41" i="6"/>
  <c r="L42" i="6"/>
  <c r="L43" i="6"/>
  <c r="L44" i="6"/>
  <c r="L45" i="6"/>
  <c r="L46" i="6"/>
  <c r="L47" i="6"/>
  <c r="L48" i="6"/>
  <c r="L49" i="6"/>
  <c r="L50" i="6"/>
  <c r="L51" i="6"/>
  <c r="L52" i="6"/>
  <c r="L53" i="6"/>
  <c r="L54" i="6"/>
  <c r="L55" i="6"/>
  <c r="L56" i="6"/>
  <c r="L57" i="6"/>
  <c r="L58" i="6"/>
  <c r="L197" i="6"/>
  <c r="K197" i="6"/>
  <c r="J197" i="6"/>
  <c r="G91" i="6"/>
  <c r="I91" i="6"/>
  <c r="I197" i="6"/>
  <c r="F197" i="6"/>
  <c r="G27" i="6"/>
  <c r="M27" i="6"/>
  <c r="M28" i="6"/>
  <c r="M29" i="6"/>
  <c r="G30" i="6"/>
  <c r="K30" i="6"/>
  <c r="M30" i="6"/>
  <c r="M31" i="6"/>
  <c r="M32" i="6"/>
  <c r="M33" i="6"/>
  <c r="G34" i="6"/>
  <c r="K34" i="6"/>
  <c r="M34" i="6"/>
  <c r="G35" i="6"/>
  <c r="K35" i="6"/>
  <c r="M35" i="6"/>
  <c r="M36" i="6"/>
  <c r="M59" i="6"/>
  <c r="M60" i="6"/>
  <c r="G61" i="6"/>
  <c r="K61" i="6"/>
  <c r="M61" i="6"/>
  <c r="M62" i="6"/>
  <c r="M63" i="6"/>
  <c r="G64" i="6"/>
  <c r="M64" i="6"/>
  <c r="G65" i="6"/>
  <c r="M65" i="6"/>
  <c r="G66" i="6"/>
  <c r="M66" i="6"/>
  <c r="M67" i="6"/>
  <c r="G68" i="6"/>
  <c r="M68" i="6"/>
  <c r="G69" i="6"/>
  <c r="M69" i="6"/>
  <c r="G70" i="6"/>
  <c r="M70" i="6"/>
  <c r="M71" i="6"/>
  <c r="M72" i="6"/>
  <c r="M73" i="6"/>
  <c r="M74" i="6"/>
  <c r="G75" i="6"/>
  <c r="M75" i="6"/>
  <c r="G76" i="6"/>
  <c r="M76" i="6"/>
  <c r="G77" i="6"/>
  <c r="M77" i="6"/>
  <c r="G78" i="6"/>
  <c r="M78" i="6"/>
  <c r="G79" i="6"/>
  <c r="M79" i="6"/>
  <c r="M80" i="6"/>
  <c r="M81" i="6"/>
  <c r="G82" i="6"/>
  <c r="M82" i="6"/>
  <c r="G83" i="6"/>
  <c r="M83" i="6"/>
  <c r="G84" i="6"/>
  <c r="M84" i="6"/>
  <c r="G85" i="6"/>
  <c r="M85" i="6"/>
  <c r="G86" i="6"/>
  <c r="M86" i="6"/>
  <c r="G87" i="6"/>
  <c r="M87" i="6"/>
  <c r="G88" i="6"/>
  <c r="M88" i="6"/>
  <c r="G89" i="6"/>
  <c r="M89" i="6"/>
  <c r="G90" i="6"/>
  <c r="M90" i="6"/>
  <c r="M91" i="6"/>
  <c r="M92" i="6"/>
  <c r="G93" i="6"/>
  <c r="K93" i="6"/>
  <c r="M93" i="6"/>
  <c r="G94" i="6"/>
  <c r="K94" i="6"/>
  <c r="M94" i="6"/>
  <c r="G95" i="6"/>
  <c r="K95" i="6"/>
  <c r="M95" i="6"/>
  <c r="M96" i="6"/>
  <c r="G97" i="6"/>
  <c r="M97" i="6"/>
  <c r="M98" i="6"/>
  <c r="M99" i="6"/>
  <c r="M100" i="6"/>
  <c r="M101" i="6"/>
  <c r="G102" i="6"/>
  <c r="K102" i="6"/>
  <c r="M102" i="6"/>
  <c r="M103" i="6"/>
  <c r="M104" i="6"/>
  <c r="M105" i="6"/>
  <c r="M106" i="6"/>
  <c r="M107" i="6"/>
  <c r="G108" i="6"/>
  <c r="M108" i="6"/>
  <c r="M109" i="6"/>
  <c r="M110" i="6"/>
  <c r="M111" i="6"/>
  <c r="G112" i="6"/>
  <c r="K112" i="6"/>
  <c r="M112" i="6"/>
  <c r="G113" i="6"/>
  <c r="M113" i="6"/>
  <c r="G114" i="6"/>
  <c r="M114" i="6"/>
  <c r="G115" i="6"/>
  <c r="M115" i="6"/>
  <c r="G116" i="6"/>
  <c r="M116" i="6"/>
  <c r="G117" i="6"/>
  <c r="M117" i="6"/>
  <c r="M118" i="6"/>
  <c r="G119" i="6"/>
  <c r="M119" i="6"/>
  <c r="G120" i="6"/>
  <c r="M120" i="6"/>
  <c r="M121" i="6"/>
  <c r="G122" i="6"/>
  <c r="M122" i="6"/>
  <c r="G123" i="6"/>
  <c r="M123" i="6"/>
  <c r="M124" i="6"/>
  <c r="M125" i="6"/>
  <c r="M126" i="6"/>
  <c r="G127" i="6"/>
  <c r="M127" i="6"/>
  <c r="G128" i="6"/>
  <c r="M128" i="6"/>
  <c r="M129" i="6"/>
  <c r="G130" i="6"/>
  <c r="M130" i="6"/>
  <c r="M131" i="6"/>
  <c r="M132" i="6"/>
  <c r="M133" i="6"/>
  <c r="M134" i="6"/>
  <c r="G135" i="6"/>
  <c r="M135" i="6"/>
  <c r="G136" i="6"/>
  <c r="M136" i="6"/>
  <c r="M137" i="6"/>
  <c r="M138" i="6"/>
  <c r="M139" i="6"/>
  <c r="M140" i="6"/>
  <c r="G141" i="6"/>
  <c r="M141" i="6"/>
  <c r="G142" i="6"/>
  <c r="M142" i="6"/>
  <c r="M143" i="6"/>
  <c r="M144" i="6"/>
  <c r="M145" i="6"/>
  <c r="G146" i="6"/>
  <c r="M146" i="6"/>
  <c r="M147" i="6"/>
  <c r="M148" i="6"/>
  <c r="G149" i="6"/>
  <c r="M149" i="6"/>
  <c r="G150" i="6"/>
  <c r="M150" i="6"/>
  <c r="M151" i="6"/>
  <c r="M152" i="6"/>
  <c r="M153" i="6"/>
  <c r="M154" i="6"/>
  <c r="M155" i="6"/>
  <c r="M156" i="6"/>
  <c r="M157" i="6"/>
  <c r="G158" i="6"/>
  <c r="M158" i="6"/>
  <c r="M159" i="6"/>
  <c r="M160" i="6"/>
  <c r="M161" i="6"/>
  <c r="M162" i="6"/>
  <c r="M163" i="6"/>
  <c r="M164" i="6"/>
  <c r="M165" i="6"/>
  <c r="M166" i="6"/>
  <c r="G167" i="6"/>
  <c r="M167" i="6"/>
  <c r="G168" i="6"/>
  <c r="M168" i="6"/>
  <c r="G169" i="6"/>
  <c r="M169" i="6"/>
  <c r="G170" i="6"/>
  <c r="M170" i="6"/>
  <c r="G171" i="6"/>
  <c r="M171" i="6"/>
  <c r="G172" i="6"/>
  <c r="K172" i="6"/>
  <c r="M172" i="6"/>
  <c r="G173" i="6"/>
  <c r="M173" i="6"/>
  <c r="G174" i="6"/>
  <c r="K174" i="6"/>
  <c r="M174" i="6"/>
  <c r="G175" i="6"/>
  <c r="M175" i="6"/>
  <c r="G176" i="6"/>
  <c r="M176" i="6"/>
  <c r="G177" i="6"/>
  <c r="M177" i="6"/>
  <c r="M178" i="6"/>
  <c r="G179" i="6"/>
  <c r="M179" i="6"/>
  <c r="G180" i="6"/>
  <c r="M180" i="6"/>
  <c r="G181" i="6"/>
  <c r="K181" i="6"/>
  <c r="M181" i="6"/>
  <c r="G182" i="6"/>
  <c r="M182" i="6"/>
  <c r="G183" i="6"/>
  <c r="K183" i="6"/>
  <c r="M183" i="6"/>
  <c r="G184" i="6"/>
  <c r="M184" i="6"/>
  <c r="G185" i="6"/>
  <c r="K185" i="6"/>
  <c r="M185" i="6"/>
  <c r="M186" i="6"/>
  <c r="G187" i="6"/>
  <c r="K187" i="6"/>
  <c r="M187" i="6"/>
  <c r="G188" i="6"/>
  <c r="K188" i="6"/>
  <c r="M188" i="6"/>
  <c r="G189" i="6"/>
  <c r="K189" i="6"/>
  <c r="M189" i="6"/>
  <c r="G190" i="6"/>
  <c r="K190" i="6"/>
  <c r="M190" i="6"/>
  <c r="G191" i="6"/>
  <c r="K191" i="6"/>
  <c r="M191" i="6"/>
  <c r="G192" i="6"/>
  <c r="K192" i="6"/>
  <c r="M192" i="6"/>
  <c r="G193" i="6"/>
  <c r="K193" i="6"/>
  <c r="M193" i="6"/>
  <c r="G194" i="6"/>
  <c r="K194" i="6"/>
  <c r="M194" i="6"/>
  <c r="M195" i="6"/>
  <c r="L195" i="6"/>
  <c r="K195" i="6"/>
  <c r="J195"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G195" i="6"/>
  <c r="F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36" i="6"/>
  <c r="L35" i="6"/>
  <c r="L34" i="6"/>
  <c r="L33" i="6"/>
  <c r="L32" i="6"/>
  <c r="L31" i="6"/>
  <c r="L30" i="6"/>
  <c r="L29" i="6"/>
  <c r="L28" i="6"/>
  <c r="L27" i="6"/>
  <c r="D201" i="5"/>
  <c r="C259" i="5"/>
  <c r="C260" i="5"/>
  <c r="F2" i="5"/>
  <c r="F3" i="5"/>
  <c r="F4" i="5"/>
  <c r="F5" i="5"/>
  <c r="F6" i="5"/>
  <c r="F7" i="5"/>
  <c r="F8" i="5"/>
  <c r="F9" i="5"/>
  <c r="F10" i="5"/>
  <c r="F11" i="5"/>
  <c r="F12" i="5"/>
  <c r="F13" i="5"/>
  <c r="F14" i="5"/>
  <c r="F15" i="5"/>
  <c r="F16" i="5"/>
  <c r="F17" i="5"/>
  <c r="F18" i="5"/>
  <c r="F19" i="5"/>
  <c r="F20" i="5"/>
  <c r="F21" i="5"/>
  <c r="F22" i="5"/>
  <c r="F23" i="5"/>
  <c r="F24" i="5"/>
  <c r="F25" i="5"/>
  <c r="F26" i="5"/>
  <c r="F257" i="5"/>
  <c r="D2" i="5"/>
  <c r="E2" i="5"/>
  <c r="D3" i="5"/>
  <c r="E3"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D127" i="5"/>
  <c r="E127" i="5"/>
  <c r="D128" i="5"/>
  <c r="E128" i="5"/>
  <c r="D129" i="5"/>
  <c r="E129" i="5"/>
  <c r="D130" i="5"/>
  <c r="E130" i="5"/>
  <c r="D131" i="5"/>
  <c r="E131" i="5"/>
  <c r="D132" i="5"/>
  <c r="E132" i="5"/>
  <c r="D133" i="5"/>
  <c r="E133" i="5"/>
  <c r="D134" i="5"/>
  <c r="E134" i="5"/>
  <c r="D135" i="5"/>
  <c r="E135" i="5"/>
  <c r="D136" i="5"/>
  <c r="E136" i="5"/>
  <c r="D137" i="5"/>
  <c r="E137" i="5"/>
  <c r="D138" i="5"/>
  <c r="E138" i="5"/>
  <c r="D139" i="5"/>
  <c r="E139" i="5"/>
  <c r="D140" i="5"/>
  <c r="E140" i="5"/>
  <c r="D141" i="5"/>
  <c r="E141" i="5"/>
  <c r="D142" i="5"/>
  <c r="E142" i="5"/>
  <c r="D143" i="5"/>
  <c r="E143" i="5"/>
  <c r="D144" i="5"/>
  <c r="E144" i="5"/>
  <c r="D145" i="5"/>
  <c r="E145" i="5"/>
  <c r="D146" i="5"/>
  <c r="E146" i="5"/>
  <c r="D147" i="5"/>
  <c r="E147" i="5"/>
  <c r="D148" i="5"/>
  <c r="E148" i="5"/>
  <c r="D149" i="5"/>
  <c r="E149" i="5"/>
  <c r="D150" i="5"/>
  <c r="E150" i="5"/>
  <c r="D151" i="5"/>
  <c r="E151" i="5"/>
  <c r="D152" i="5"/>
  <c r="E152" i="5"/>
  <c r="D153" i="5"/>
  <c r="E153" i="5"/>
  <c r="D154" i="5"/>
  <c r="E154" i="5"/>
  <c r="D155" i="5"/>
  <c r="E155" i="5"/>
  <c r="D156" i="5"/>
  <c r="E156" i="5"/>
  <c r="D157" i="5"/>
  <c r="E157" i="5"/>
  <c r="D158" i="5"/>
  <c r="E158" i="5"/>
  <c r="D159" i="5"/>
  <c r="E159" i="5"/>
  <c r="D160" i="5"/>
  <c r="E160" i="5"/>
  <c r="D161" i="5"/>
  <c r="E161" i="5"/>
  <c r="D162" i="5"/>
  <c r="E162" i="5"/>
  <c r="D163" i="5"/>
  <c r="E163" i="5"/>
  <c r="D164" i="5"/>
  <c r="E164" i="5"/>
  <c r="D165" i="5"/>
  <c r="E165" i="5"/>
  <c r="D166" i="5"/>
  <c r="E166" i="5"/>
  <c r="D167" i="5"/>
  <c r="E167" i="5"/>
  <c r="D168" i="5"/>
  <c r="E168" i="5"/>
  <c r="D169" i="5"/>
  <c r="E169" i="5"/>
  <c r="D170" i="5"/>
  <c r="E170" i="5"/>
  <c r="D171" i="5"/>
  <c r="E171" i="5"/>
  <c r="D172" i="5"/>
  <c r="E172" i="5"/>
  <c r="D173" i="5"/>
  <c r="E173" i="5"/>
  <c r="D174" i="5"/>
  <c r="E174" i="5"/>
  <c r="D175" i="5"/>
  <c r="E175" i="5"/>
  <c r="D176" i="5"/>
  <c r="E176" i="5"/>
  <c r="D177" i="5"/>
  <c r="E177" i="5"/>
  <c r="D178" i="5"/>
  <c r="E178" i="5"/>
  <c r="D179" i="5"/>
  <c r="E179" i="5"/>
  <c r="D180" i="5"/>
  <c r="E180" i="5"/>
  <c r="D181" i="5"/>
  <c r="E181" i="5"/>
  <c r="D182" i="5"/>
  <c r="E182" i="5"/>
  <c r="D183" i="5"/>
  <c r="E183" i="5"/>
  <c r="D184" i="5"/>
  <c r="E184" i="5"/>
  <c r="D185" i="5"/>
  <c r="E185" i="5"/>
  <c r="D186" i="5"/>
  <c r="E186" i="5"/>
  <c r="D187" i="5"/>
  <c r="E187" i="5"/>
  <c r="D188" i="5"/>
  <c r="E188" i="5"/>
  <c r="D189" i="5"/>
  <c r="E189" i="5"/>
  <c r="D190" i="5"/>
  <c r="E190" i="5"/>
  <c r="D191" i="5"/>
  <c r="E191" i="5"/>
  <c r="D192" i="5"/>
  <c r="E192" i="5"/>
  <c r="D193" i="5"/>
  <c r="E193" i="5"/>
  <c r="D194" i="5"/>
  <c r="E194" i="5"/>
  <c r="D195" i="5"/>
  <c r="E195" i="5"/>
  <c r="D196" i="5"/>
  <c r="E196" i="5"/>
  <c r="D197" i="5"/>
  <c r="E197" i="5"/>
  <c r="D198" i="5"/>
  <c r="E198" i="5"/>
  <c r="D199" i="5"/>
  <c r="E199" i="5"/>
  <c r="D200" i="5"/>
  <c r="E200" i="5"/>
  <c r="E201" i="5"/>
  <c r="D202" i="5"/>
  <c r="E202" i="5"/>
  <c r="D203" i="5"/>
  <c r="E203" i="5"/>
  <c r="D204" i="5"/>
  <c r="E204" i="5"/>
  <c r="D205" i="5"/>
  <c r="E205" i="5"/>
  <c r="D206" i="5"/>
  <c r="E206" i="5"/>
  <c r="D207" i="5"/>
  <c r="E207" i="5"/>
  <c r="D208" i="5"/>
  <c r="E208" i="5"/>
  <c r="D209" i="5"/>
  <c r="E209" i="5"/>
  <c r="D210" i="5"/>
  <c r="E210" i="5"/>
  <c r="D211" i="5"/>
  <c r="E211" i="5"/>
  <c r="D212" i="5"/>
  <c r="E212" i="5"/>
  <c r="D213" i="5"/>
  <c r="E213" i="5"/>
  <c r="D214" i="5"/>
  <c r="E214" i="5"/>
  <c r="D215" i="5"/>
  <c r="E215" i="5"/>
  <c r="D216" i="5"/>
  <c r="E216" i="5"/>
  <c r="D217" i="5"/>
  <c r="E217" i="5"/>
  <c r="D218" i="5"/>
  <c r="E218" i="5"/>
  <c r="D219" i="5"/>
  <c r="E219" i="5"/>
  <c r="D220" i="5"/>
  <c r="E220" i="5"/>
  <c r="D221" i="5"/>
  <c r="E221" i="5"/>
  <c r="D222" i="5"/>
  <c r="E222" i="5"/>
  <c r="D223" i="5"/>
  <c r="E223" i="5"/>
  <c r="D224" i="5"/>
  <c r="E224" i="5"/>
  <c r="D225" i="5"/>
  <c r="E225" i="5"/>
  <c r="D226" i="5"/>
  <c r="E226" i="5"/>
  <c r="D227" i="5"/>
  <c r="E227" i="5"/>
  <c r="D228" i="5"/>
  <c r="E228" i="5"/>
  <c r="D229" i="5"/>
  <c r="E229" i="5"/>
  <c r="D230" i="5"/>
  <c r="E230" i="5"/>
  <c r="D231" i="5"/>
  <c r="E231" i="5"/>
  <c r="D232" i="5"/>
  <c r="E232" i="5"/>
  <c r="D233" i="5"/>
  <c r="E233" i="5"/>
  <c r="D234" i="5"/>
  <c r="E234" i="5"/>
  <c r="D235" i="5"/>
  <c r="E235" i="5"/>
  <c r="D236" i="5"/>
  <c r="E236" i="5"/>
  <c r="D237" i="5"/>
  <c r="E237" i="5"/>
  <c r="D238" i="5"/>
  <c r="E238" i="5"/>
  <c r="D239" i="5"/>
  <c r="E239" i="5"/>
  <c r="D240" i="5"/>
  <c r="E240" i="5"/>
  <c r="D241" i="5"/>
  <c r="E241" i="5"/>
  <c r="E242" i="5"/>
  <c r="E243" i="5"/>
  <c r="E244" i="5"/>
  <c r="E245" i="5"/>
  <c r="E246" i="5"/>
  <c r="E247" i="5"/>
  <c r="E248" i="5"/>
  <c r="E249" i="5"/>
  <c r="E250" i="5"/>
  <c r="E251" i="5"/>
  <c r="E252" i="5"/>
  <c r="E253" i="5"/>
  <c r="E254" i="5"/>
  <c r="E255" i="5"/>
  <c r="E256" i="5"/>
  <c r="E257" i="5"/>
  <c r="D242" i="5"/>
  <c r="D243" i="5"/>
  <c r="D244" i="5"/>
  <c r="D245" i="5"/>
  <c r="D246" i="5"/>
  <c r="D247" i="5"/>
  <c r="D248" i="5"/>
  <c r="D249" i="5"/>
  <c r="D250" i="5"/>
  <c r="D251" i="5"/>
  <c r="D252" i="5"/>
  <c r="D253" i="5"/>
  <c r="D254" i="5"/>
  <c r="D255" i="5"/>
  <c r="D256" i="5"/>
  <c r="D257" i="5"/>
  <c r="C257" i="5"/>
  <c r="I256" i="5"/>
  <c r="G256" i="5"/>
  <c r="F256" i="5"/>
  <c r="I255" i="5"/>
  <c r="G255" i="5"/>
  <c r="F255" i="5"/>
  <c r="I254" i="5"/>
  <c r="G254" i="5"/>
  <c r="F254" i="5"/>
  <c r="I253" i="5"/>
  <c r="G253" i="5"/>
  <c r="F253" i="5"/>
  <c r="I252" i="5"/>
  <c r="G252" i="5"/>
  <c r="F252" i="5"/>
  <c r="I251" i="5"/>
  <c r="G251" i="5"/>
  <c r="F251" i="5"/>
  <c r="I250" i="5"/>
  <c r="G250" i="5"/>
  <c r="F250" i="5"/>
  <c r="I249" i="5"/>
  <c r="G249" i="5"/>
  <c r="F249" i="5"/>
  <c r="I248" i="5"/>
  <c r="G248" i="5"/>
  <c r="F248" i="5"/>
  <c r="I247" i="5"/>
  <c r="G247" i="5"/>
  <c r="F247" i="5"/>
  <c r="I246" i="5"/>
  <c r="G246" i="5"/>
  <c r="F246" i="5"/>
  <c r="I245" i="5"/>
  <c r="G245" i="5"/>
  <c r="F245" i="5"/>
  <c r="I244" i="5"/>
  <c r="G244" i="5"/>
  <c r="F244" i="5"/>
  <c r="I243" i="5"/>
  <c r="G243" i="5"/>
  <c r="F243" i="5"/>
  <c r="I242" i="5"/>
  <c r="G242" i="5"/>
  <c r="F242" i="5"/>
  <c r="I241" i="5"/>
  <c r="G241" i="5"/>
  <c r="F241" i="5"/>
  <c r="I240" i="5"/>
  <c r="G240" i="5"/>
  <c r="F240" i="5"/>
  <c r="I239" i="5"/>
  <c r="G239" i="5"/>
  <c r="F239" i="5"/>
  <c r="I238" i="5"/>
  <c r="G238" i="5"/>
  <c r="F238" i="5"/>
  <c r="I237" i="5"/>
  <c r="G237" i="5"/>
  <c r="F237" i="5"/>
  <c r="I236" i="5"/>
  <c r="G236" i="5"/>
  <c r="F236" i="5"/>
  <c r="I235" i="5"/>
  <c r="G235" i="5"/>
  <c r="F235" i="5"/>
  <c r="I234" i="5"/>
  <c r="G234" i="5"/>
  <c r="F234" i="5"/>
  <c r="I233" i="5"/>
  <c r="G233" i="5"/>
  <c r="F233" i="5"/>
  <c r="I232" i="5"/>
  <c r="G232" i="5"/>
  <c r="F232" i="5"/>
  <c r="I231" i="5"/>
  <c r="G231" i="5"/>
  <c r="F231" i="5"/>
  <c r="I230" i="5"/>
  <c r="G230" i="5"/>
  <c r="F230" i="5"/>
  <c r="I229" i="5"/>
  <c r="G229" i="5"/>
  <c r="F229" i="5"/>
  <c r="I228" i="5"/>
  <c r="G228" i="5"/>
  <c r="F228" i="5"/>
  <c r="I227" i="5"/>
  <c r="G227" i="5"/>
  <c r="F227" i="5"/>
  <c r="I226" i="5"/>
  <c r="G226" i="5"/>
  <c r="F226" i="5"/>
  <c r="I225" i="5"/>
  <c r="G225" i="5"/>
  <c r="F225" i="5"/>
  <c r="I224" i="5"/>
  <c r="G224" i="5"/>
  <c r="F224" i="5"/>
  <c r="I223" i="5"/>
  <c r="G223" i="5"/>
  <c r="F223" i="5"/>
  <c r="I222" i="5"/>
  <c r="G222" i="5"/>
  <c r="F222" i="5"/>
  <c r="I221" i="5"/>
  <c r="G221" i="5"/>
  <c r="F221" i="5"/>
  <c r="I220" i="5"/>
  <c r="G220" i="5"/>
  <c r="F220" i="5"/>
  <c r="I219" i="5"/>
  <c r="G219" i="5"/>
  <c r="F219" i="5"/>
  <c r="I218" i="5"/>
  <c r="G218" i="5"/>
  <c r="F218" i="5"/>
  <c r="I217" i="5"/>
  <c r="G217" i="5"/>
  <c r="F217" i="5"/>
  <c r="I216" i="5"/>
  <c r="G216" i="5"/>
  <c r="F216" i="5"/>
  <c r="I215" i="5"/>
  <c r="G215" i="5"/>
  <c r="F215" i="5"/>
  <c r="I214" i="5"/>
  <c r="G214" i="5"/>
  <c r="F214" i="5"/>
  <c r="I213" i="5"/>
  <c r="G213" i="5"/>
  <c r="F213" i="5"/>
  <c r="I212" i="5"/>
  <c r="G212" i="5"/>
  <c r="F212" i="5"/>
  <c r="I211" i="5"/>
  <c r="G211" i="5"/>
  <c r="F211" i="5"/>
  <c r="I210" i="5"/>
  <c r="G210" i="5"/>
  <c r="F210" i="5"/>
  <c r="I209" i="5"/>
  <c r="G209" i="5"/>
  <c r="F209" i="5"/>
  <c r="I208" i="5"/>
  <c r="G208" i="5"/>
  <c r="F208" i="5"/>
  <c r="I207" i="5"/>
  <c r="G207" i="5"/>
  <c r="F207" i="5"/>
  <c r="I206" i="5"/>
  <c r="G206" i="5"/>
  <c r="F206" i="5"/>
  <c r="I205" i="5"/>
  <c r="G205" i="5"/>
  <c r="F205" i="5"/>
  <c r="I204" i="5"/>
  <c r="G204" i="5"/>
  <c r="F204" i="5"/>
  <c r="I203" i="5"/>
  <c r="G203" i="5"/>
  <c r="F203" i="5"/>
  <c r="I202" i="5"/>
  <c r="G202" i="5"/>
  <c r="F202" i="5"/>
  <c r="I201" i="5"/>
  <c r="G201" i="5"/>
  <c r="F201" i="5"/>
  <c r="I200" i="5"/>
  <c r="G200" i="5"/>
  <c r="F200" i="5"/>
  <c r="I199" i="5"/>
  <c r="G199" i="5"/>
  <c r="F199" i="5"/>
  <c r="I198" i="5"/>
  <c r="G198" i="5"/>
  <c r="F198" i="5"/>
  <c r="I197" i="5"/>
  <c r="G197" i="5"/>
  <c r="F197" i="5"/>
  <c r="I196" i="5"/>
  <c r="G196" i="5"/>
  <c r="F196" i="5"/>
  <c r="I195" i="5"/>
  <c r="G195" i="5"/>
  <c r="F195" i="5"/>
  <c r="I194" i="5"/>
  <c r="G194" i="5"/>
  <c r="F194" i="5"/>
  <c r="I193" i="5"/>
  <c r="G193" i="5"/>
  <c r="F193" i="5"/>
  <c r="I192" i="5"/>
  <c r="G192" i="5"/>
  <c r="F192" i="5"/>
  <c r="I191" i="5"/>
  <c r="G191" i="5"/>
  <c r="F191" i="5"/>
  <c r="I190" i="5"/>
  <c r="G190" i="5"/>
  <c r="F190" i="5"/>
  <c r="I189" i="5"/>
  <c r="G189" i="5"/>
  <c r="F189" i="5"/>
  <c r="I188" i="5"/>
  <c r="G188" i="5"/>
  <c r="F188" i="5"/>
  <c r="I187" i="5"/>
  <c r="G187" i="5"/>
  <c r="F187" i="5"/>
  <c r="I186" i="5"/>
  <c r="G186" i="5"/>
  <c r="F186" i="5"/>
  <c r="I185" i="5"/>
  <c r="G185" i="5"/>
  <c r="F185" i="5"/>
  <c r="I184" i="5"/>
  <c r="G184" i="5"/>
  <c r="F184" i="5"/>
  <c r="I183" i="5"/>
  <c r="G183" i="5"/>
  <c r="F183" i="5"/>
  <c r="I182" i="5"/>
  <c r="G182" i="5"/>
  <c r="F182" i="5"/>
  <c r="I181" i="5"/>
  <c r="G181" i="5"/>
  <c r="F181" i="5"/>
  <c r="I180" i="5"/>
  <c r="G180" i="5"/>
  <c r="F180" i="5"/>
  <c r="I179" i="5"/>
  <c r="G179" i="5"/>
  <c r="F179" i="5"/>
  <c r="I178" i="5"/>
  <c r="G178" i="5"/>
  <c r="F178" i="5"/>
  <c r="I177" i="5"/>
  <c r="G177" i="5"/>
  <c r="F177" i="5"/>
  <c r="I176" i="5"/>
  <c r="G176" i="5"/>
  <c r="F176" i="5"/>
  <c r="I175" i="5"/>
  <c r="G175" i="5"/>
  <c r="F175" i="5"/>
  <c r="I174" i="5"/>
  <c r="G174" i="5"/>
  <c r="F174" i="5"/>
  <c r="I173" i="5"/>
  <c r="G173" i="5"/>
  <c r="F173" i="5"/>
  <c r="I172" i="5"/>
  <c r="G172" i="5"/>
  <c r="F172" i="5"/>
  <c r="I171" i="5"/>
  <c r="G171" i="5"/>
  <c r="F171" i="5"/>
  <c r="I170" i="5"/>
  <c r="G170" i="5"/>
  <c r="F170" i="5"/>
  <c r="I169" i="5"/>
  <c r="G169" i="5"/>
  <c r="F169" i="5"/>
  <c r="I168" i="5"/>
  <c r="G168" i="5"/>
  <c r="F168" i="5"/>
  <c r="I167" i="5"/>
  <c r="G167" i="5"/>
  <c r="F167" i="5"/>
  <c r="I166" i="5"/>
  <c r="G166" i="5"/>
  <c r="F166" i="5"/>
  <c r="I165" i="5"/>
  <c r="G165" i="5"/>
  <c r="F165" i="5"/>
  <c r="I164" i="5"/>
  <c r="G164" i="5"/>
  <c r="F164" i="5"/>
  <c r="I163" i="5"/>
  <c r="G163" i="5"/>
  <c r="F163" i="5"/>
  <c r="I162" i="5"/>
  <c r="G162" i="5"/>
  <c r="F162" i="5"/>
  <c r="I161" i="5"/>
  <c r="G161" i="5"/>
  <c r="F161" i="5"/>
  <c r="I160" i="5"/>
  <c r="G160" i="5"/>
  <c r="F160" i="5"/>
  <c r="I159" i="5"/>
  <c r="G159" i="5"/>
  <c r="F159" i="5"/>
  <c r="I158" i="5"/>
  <c r="G158" i="5"/>
  <c r="F158" i="5"/>
  <c r="I157" i="5"/>
  <c r="G157" i="5"/>
  <c r="F157" i="5"/>
  <c r="I156" i="5"/>
  <c r="G156" i="5"/>
  <c r="F156" i="5"/>
  <c r="I155" i="5"/>
  <c r="G155" i="5"/>
  <c r="F155" i="5"/>
  <c r="I154" i="5"/>
  <c r="G154" i="5"/>
  <c r="F154" i="5"/>
  <c r="I153" i="5"/>
  <c r="G153" i="5"/>
  <c r="F153" i="5"/>
  <c r="I152" i="5"/>
  <c r="G152" i="5"/>
  <c r="F152" i="5"/>
  <c r="I151" i="5"/>
  <c r="G151" i="5"/>
  <c r="F151" i="5"/>
  <c r="I150" i="5"/>
  <c r="G150" i="5"/>
  <c r="F150" i="5"/>
  <c r="I149" i="5"/>
  <c r="G149" i="5"/>
  <c r="F149" i="5"/>
  <c r="I148" i="5"/>
  <c r="G148" i="5"/>
  <c r="F148" i="5"/>
  <c r="I147" i="5"/>
  <c r="G147" i="5"/>
  <c r="F147" i="5"/>
  <c r="I146" i="5"/>
  <c r="G146" i="5"/>
  <c r="F146" i="5"/>
  <c r="I145" i="5"/>
  <c r="G145" i="5"/>
  <c r="F145" i="5"/>
  <c r="I144" i="5"/>
  <c r="G144" i="5"/>
  <c r="F144" i="5"/>
  <c r="I143" i="5"/>
  <c r="G143" i="5"/>
  <c r="F143" i="5"/>
  <c r="I142" i="5"/>
  <c r="G142" i="5"/>
  <c r="F142" i="5"/>
  <c r="I141" i="5"/>
  <c r="G141" i="5"/>
  <c r="F141" i="5"/>
  <c r="I140" i="5"/>
  <c r="G140" i="5"/>
  <c r="F140" i="5"/>
  <c r="I139" i="5"/>
  <c r="G139" i="5"/>
  <c r="F139" i="5"/>
  <c r="I138" i="5"/>
  <c r="G138" i="5"/>
  <c r="F138" i="5"/>
  <c r="I137" i="5"/>
  <c r="G137" i="5"/>
  <c r="F137" i="5"/>
  <c r="I136" i="5"/>
  <c r="G136" i="5"/>
  <c r="F136" i="5"/>
  <c r="I135" i="5"/>
  <c r="G135" i="5"/>
  <c r="F135" i="5"/>
  <c r="I134" i="5"/>
  <c r="G134" i="5"/>
  <c r="F134" i="5"/>
  <c r="I133" i="5"/>
  <c r="G133" i="5"/>
  <c r="F133" i="5"/>
  <c r="I132" i="5"/>
  <c r="G132" i="5"/>
  <c r="F132" i="5"/>
  <c r="I131" i="5"/>
  <c r="G131" i="5"/>
  <c r="F131" i="5"/>
  <c r="I130" i="5"/>
  <c r="G130" i="5"/>
  <c r="F130" i="5"/>
  <c r="I129" i="5"/>
  <c r="G129" i="5"/>
  <c r="F129" i="5"/>
  <c r="I128" i="5"/>
  <c r="G128" i="5"/>
  <c r="F128" i="5"/>
  <c r="I127" i="5"/>
  <c r="G127" i="5"/>
  <c r="F127" i="5"/>
  <c r="I126" i="5"/>
  <c r="G126" i="5"/>
  <c r="F126" i="5"/>
  <c r="I125" i="5"/>
  <c r="G125" i="5"/>
  <c r="F125" i="5"/>
  <c r="I124" i="5"/>
  <c r="G124" i="5"/>
  <c r="F124" i="5"/>
  <c r="I123" i="5"/>
  <c r="G123" i="5"/>
  <c r="F123" i="5"/>
  <c r="I122" i="5"/>
  <c r="G122" i="5"/>
  <c r="F122" i="5"/>
  <c r="I121" i="5"/>
  <c r="G121" i="5"/>
  <c r="F121" i="5"/>
  <c r="I120" i="5"/>
  <c r="G120" i="5"/>
  <c r="F120" i="5"/>
  <c r="I119" i="5"/>
  <c r="G119" i="5"/>
  <c r="F119" i="5"/>
  <c r="I118" i="5"/>
  <c r="G118" i="5"/>
  <c r="F118" i="5"/>
  <c r="I117" i="5"/>
  <c r="G117" i="5"/>
  <c r="F117" i="5"/>
  <c r="I116" i="5"/>
  <c r="G116" i="5"/>
  <c r="F116" i="5"/>
  <c r="I115" i="5"/>
  <c r="G115" i="5"/>
  <c r="F115" i="5"/>
  <c r="I114" i="5"/>
  <c r="G114" i="5"/>
  <c r="F114" i="5"/>
  <c r="I113" i="5"/>
  <c r="G113" i="5"/>
  <c r="F113" i="5"/>
  <c r="I112" i="5"/>
  <c r="G112" i="5"/>
  <c r="F112" i="5"/>
  <c r="I111" i="5"/>
  <c r="G111" i="5"/>
  <c r="F111" i="5"/>
  <c r="I110" i="5"/>
  <c r="G110" i="5"/>
  <c r="F110" i="5"/>
  <c r="I109" i="5"/>
  <c r="G109" i="5"/>
  <c r="F109" i="5"/>
  <c r="I108" i="5"/>
  <c r="G108" i="5"/>
  <c r="F108" i="5"/>
  <c r="I107" i="5"/>
  <c r="G107" i="5"/>
  <c r="F107" i="5"/>
  <c r="I106" i="5"/>
  <c r="G106" i="5"/>
  <c r="F106" i="5"/>
  <c r="I105" i="5"/>
  <c r="G105" i="5"/>
  <c r="F105" i="5"/>
  <c r="I104" i="5"/>
  <c r="G104" i="5"/>
  <c r="F104" i="5"/>
  <c r="I103" i="5"/>
  <c r="G103" i="5"/>
  <c r="F103" i="5"/>
  <c r="I102" i="5"/>
  <c r="G102" i="5"/>
  <c r="F102" i="5"/>
  <c r="I101" i="5"/>
  <c r="G101" i="5"/>
  <c r="F101" i="5"/>
  <c r="I100" i="5"/>
  <c r="G100" i="5"/>
  <c r="F100" i="5"/>
  <c r="I99" i="5"/>
  <c r="G99" i="5"/>
  <c r="F99" i="5"/>
  <c r="I98" i="5"/>
  <c r="G98" i="5"/>
  <c r="F98" i="5"/>
  <c r="I97" i="5"/>
  <c r="G97" i="5"/>
  <c r="F97" i="5"/>
  <c r="I96" i="5"/>
  <c r="G96" i="5"/>
  <c r="F96" i="5"/>
  <c r="I95" i="5"/>
  <c r="G95" i="5"/>
  <c r="F95" i="5"/>
  <c r="I94" i="5"/>
  <c r="G94" i="5"/>
  <c r="F94" i="5"/>
  <c r="I93" i="5"/>
  <c r="G93" i="5"/>
  <c r="F93" i="5"/>
  <c r="I92" i="5"/>
  <c r="G92" i="5"/>
  <c r="F92" i="5"/>
  <c r="I91" i="5"/>
  <c r="G91" i="5"/>
  <c r="F91" i="5"/>
  <c r="I90" i="5"/>
  <c r="G90" i="5"/>
  <c r="F90" i="5"/>
  <c r="I89" i="5"/>
  <c r="G89" i="5"/>
  <c r="F89" i="5"/>
  <c r="I88" i="5"/>
  <c r="G88" i="5"/>
  <c r="F88" i="5"/>
  <c r="I87" i="5"/>
  <c r="G87" i="5"/>
  <c r="F87" i="5"/>
  <c r="I86" i="5"/>
  <c r="G86" i="5"/>
  <c r="F86" i="5"/>
  <c r="I85" i="5"/>
  <c r="G85" i="5"/>
  <c r="F85" i="5"/>
  <c r="I84" i="5"/>
  <c r="G84" i="5"/>
  <c r="F84" i="5"/>
  <c r="I83" i="5"/>
  <c r="G83" i="5"/>
  <c r="F83" i="5"/>
  <c r="I82" i="5"/>
  <c r="G82" i="5"/>
  <c r="F82" i="5"/>
  <c r="I81" i="5"/>
  <c r="G81" i="5"/>
  <c r="F81" i="5"/>
  <c r="I80" i="5"/>
  <c r="G80" i="5"/>
  <c r="F80" i="5"/>
  <c r="I79" i="5"/>
  <c r="G79" i="5"/>
  <c r="F79" i="5"/>
  <c r="I78" i="5"/>
  <c r="G78" i="5"/>
  <c r="F78" i="5"/>
  <c r="I77" i="5"/>
  <c r="G77" i="5"/>
  <c r="F77" i="5"/>
  <c r="I76" i="5"/>
  <c r="G76" i="5"/>
  <c r="F76" i="5"/>
  <c r="I75" i="5"/>
  <c r="G75" i="5"/>
  <c r="F75" i="5"/>
  <c r="I74" i="5"/>
  <c r="G74" i="5"/>
  <c r="F74" i="5"/>
  <c r="I73" i="5"/>
  <c r="G73" i="5"/>
  <c r="F73" i="5"/>
  <c r="I72" i="5"/>
  <c r="G72" i="5"/>
  <c r="F72" i="5"/>
  <c r="I71" i="5"/>
  <c r="G71" i="5"/>
  <c r="F71" i="5"/>
  <c r="I70" i="5"/>
  <c r="G70" i="5"/>
  <c r="F70" i="5"/>
  <c r="I69" i="5"/>
  <c r="G69" i="5"/>
  <c r="F69" i="5"/>
  <c r="I68" i="5"/>
  <c r="G68" i="5"/>
  <c r="F68" i="5"/>
  <c r="I67" i="5"/>
  <c r="G67" i="5"/>
  <c r="F67" i="5"/>
  <c r="I66" i="5"/>
  <c r="G66" i="5"/>
  <c r="F66" i="5"/>
  <c r="I65" i="5"/>
  <c r="G65" i="5"/>
  <c r="F65" i="5"/>
  <c r="I64" i="5"/>
  <c r="G64" i="5"/>
  <c r="F64" i="5"/>
  <c r="I63" i="5"/>
  <c r="G63" i="5"/>
  <c r="F63" i="5"/>
  <c r="I62" i="5"/>
  <c r="G62" i="5"/>
  <c r="F62" i="5"/>
  <c r="I61" i="5"/>
  <c r="G61" i="5"/>
  <c r="F61" i="5"/>
  <c r="I60" i="5"/>
  <c r="G60" i="5"/>
  <c r="F60" i="5"/>
  <c r="I59" i="5"/>
  <c r="G59" i="5"/>
  <c r="F59" i="5"/>
  <c r="I58" i="5"/>
  <c r="G58" i="5"/>
  <c r="F58" i="5"/>
  <c r="I57" i="5"/>
  <c r="G57" i="5"/>
  <c r="F57" i="5"/>
  <c r="I56" i="5"/>
  <c r="G56" i="5"/>
  <c r="F56" i="5"/>
  <c r="I55" i="5"/>
  <c r="G55" i="5"/>
  <c r="F55" i="5"/>
  <c r="I54" i="5"/>
  <c r="G54" i="5"/>
  <c r="F54" i="5"/>
  <c r="I53" i="5"/>
  <c r="G53" i="5"/>
  <c r="F53" i="5"/>
  <c r="I52" i="5"/>
  <c r="G52" i="5"/>
  <c r="F52" i="5"/>
  <c r="I51" i="5"/>
  <c r="G51" i="5"/>
  <c r="F51" i="5"/>
  <c r="I50" i="5"/>
  <c r="G50" i="5"/>
  <c r="F50" i="5"/>
  <c r="I49" i="5"/>
  <c r="G49" i="5"/>
  <c r="F49" i="5"/>
  <c r="I48" i="5"/>
  <c r="G48" i="5"/>
  <c r="F48" i="5"/>
  <c r="I47" i="5"/>
  <c r="G47" i="5"/>
  <c r="F47" i="5"/>
  <c r="I46" i="5"/>
  <c r="G46" i="5"/>
  <c r="F46" i="5"/>
  <c r="I45" i="5"/>
  <c r="G45" i="5"/>
  <c r="F45" i="5"/>
  <c r="I44" i="5"/>
  <c r="G44" i="5"/>
  <c r="F44" i="5"/>
  <c r="I43" i="5"/>
  <c r="G43" i="5"/>
  <c r="F43" i="5"/>
  <c r="I42" i="5"/>
  <c r="G42" i="5"/>
  <c r="F42" i="5"/>
  <c r="I41" i="5"/>
  <c r="G41" i="5"/>
  <c r="F41" i="5"/>
  <c r="I40" i="5"/>
  <c r="G40" i="5"/>
  <c r="F40" i="5"/>
  <c r="I39" i="5"/>
  <c r="G39" i="5"/>
  <c r="F39" i="5"/>
  <c r="I38" i="5"/>
  <c r="G38" i="5"/>
  <c r="F38" i="5"/>
  <c r="I37" i="5"/>
  <c r="G37" i="5"/>
  <c r="F37" i="5"/>
  <c r="I36" i="5"/>
  <c r="G36" i="5"/>
  <c r="F36" i="5"/>
  <c r="I35" i="5"/>
  <c r="G35" i="5"/>
  <c r="F35" i="5"/>
  <c r="I34" i="5"/>
  <c r="G34" i="5"/>
  <c r="F34" i="5"/>
  <c r="I33" i="5"/>
  <c r="G33" i="5"/>
  <c r="F33" i="5"/>
  <c r="I32" i="5"/>
  <c r="G32" i="5"/>
  <c r="F32" i="5"/>
  <c r="I31" i="5"/>
  <c r="G31" i="5"/>
  <c r="F31" i="5"/>
  <c r="I30" i="5"/>
  <c r="G30" i="5"/>
  <c r="F30" i="5"/>
  <c r="I29" i="5"/>
  <c r="G29" i="5"/>
  <c r="F29" i="5"/>
  <c r="I28" i="5"/>
  <c r="G28" i="5"/>
  <c r="F28" i="5"/>
  <c r="I27" i="5"/>
  <c r="G27" i="5"/>
  <c r="F27" i="5"/>
  <c r="I26" i="5"/>
  <c r="G26" i="5"/>
  <c r="I25" i="5"/>
  <c r="G25" i="5"/>
  <c r="I24" i="5"/>
  <c r="G24" i="5"/>
  <c r="I23" i="5"/>
  <c r="G23" i="5"/>
  <c r="I22" i="5"/>
  <c r="G22" i="5"/>
  <c r="I21" i="5"/>
  <c r="G21" i="5"/>
  <c r="I20" i="5"/>
  <c r="G20" i="5"/>
  <c r="I19" i="5"/>
  <c r="G19" i="5"/>
  <c r="I18" i="5"/>
  <c r="G18" i="5"/>
  <c r="I17" i="5"/>
  <c r="G17" i="5"/>
  <c r="I16" i="5"/>
  <c r="G16" i="5"/>
  <c r="I15" i="5"/>
  <c r="G15" i="5"/>
  <c r="I14" i="5"/>
  <c r="G14" i="5"/>
  <c r="I13" i="5"/>
  <c r="G13" i="5"/>
  <c r="I12" i="5"/>
  <c r="G12" i="5"/>
  <c r="I11" i="5"/>
  <c r="G11" i="5"/>
  <c r="I10" i="5"/>
  <c r="G10" i="5"/>
  <c r="I9" i="5"/>
  <c r="G9" i="5"/>
  <c r="I8" i="5"/>
  <c r="G8" i="5"/>
  <c r="I7" i="5"/>
  <c r="G7" i="5"/>
  <c r="I6" i="5"/>
  <c r="G6" i="5"/>
  <c r="I5" i="5"/>
  <c r="G5" i="5"/>
  <c r="I4" i="5"/>
  <c r="G4" i="5"/>
  <c r="I3" i="5"/>
  <c r="G3" i="5"/>
  <c r="I2" i="5"/>
  <c r="G2" i="5"/>
  <c r="C76" i="3"/>
  <c r="B76" i="3"/>
</calcChain>
</file>

<file path=xl/comments1.xml><?xml version="1.0" encoding="utf-8"?>
<comments xmlns="http://schemas.openxmlformats.org/spreadsheetml/2006/main">
  <authors>
    <author>USER</author>
  </authors>
  <commentList>
    <comment ref="C104" authorId="0" shapeId="0">
      <text>
        <r>
          <rPr>
            <b/>
            <sz val="9"/>
            <rFont val="Tahoma"/>
            <family val="2"/>
          </rPr>
          <t>USER:</t>
        </r>
        <r>
          <rPr>
            <sz val="9"/>
            <rFont val="Tahoma"/>
            <family val="2"/>
          </rPr>
          <t xml:space="preserve">
</t>
        </r>
        <r>
          <rPr>
            <sz val="9"/>
            <rFont val="宋体"/>
            <family val="3"/>
            <charset val="134"/>
          </rPr>
          <t>付总包开票税款</t>
        </r>
      </text>
    </comment>
    <comment ref="C105" authorId="0" shapeId="0">
      <text>
        <r>
          <rPr>
            <b/>
            <sz val="9"/>
            <rFont val="Tahoma"/>
            <family val="2"/>
          </rPr>
          <t>USER:</t>
        </r>
        <r>
          <rPr>
            <sz val="9"/>
            <rFont val="Tahoma"/>
            <family val="2"/>
          </rPr>
          <t xml:space="preserve">
</t>
        </r>
        <r>
          <rPr>
            <sz val="9"/>
            <rFont val="宋体"/>
            <family val="3"/>
            <charset val="134"/>
          </rPr>
          <t>付第一笔工程款</t>
        </r>
      </text>
    </comment>
    <comment ref="C106" authorId="0" shapeId="0">
      <text>
        <r>
          <rPr>
            <b/>
            <sz val="9"/>
            <rFont val="Tahoma"/>
            <family val="2"/>
          </rPr>
          <t>USER:</t>
        </r>
        <r>
          <rPr>
            <sz val="9"/>
            <rFont val="Tahoma"/>
            <family val="2"/>
          </rPr>
          <t xml:space="preserve">
</t>
        </r>
        <r>
          <rPr>
            <sz val="9"/>
            <rFont val="宋体"/>
            <family val="3"/>
            <charset val="134"/>
          </rPr>
          <t>示范区挡墙第一笔</t>
        </r>
      </text>
    </comment>
    <comment ref="C107" authorId="0" shapeId="0">
      <text>
        <r>
          <rPr>
            <b/>
            <sz val="9"/>
            <rFont val="Tahoma"/>
            <family val="2"/>
          </rPr>
          <t>USER:</t>
        </r>
        <r>
          <rPr>
            <sz val="9"/>
            <rFont val="Tahoma"/>
            <family val="2"/>
          </rPr>
          <t xml:space="preserve">
</t>
        </r>
        <r>
          <rPr>
            <sz val="9"/>
            <rFont val="宋体"/>
            <family val="3"/>
            <charset val="134"/>
          </rPr>
          <t>支取农民工预储第一笔</t>
        </r>
      </text>
    </comment>
    <comment ref="C120" authorId="0" shapeId="0">
      <text>
        <r>
          <rPr>
            <b/>
            <sz val="9"/>
            <rFont val="Tahoma"/>
            <family val="2"/>
          </rPr>
          <t>USER:</t>
        </r>
        <r>
          <rPr>
            <sz val="9"/>
            <rFont val="Tahoma"/>
            <family val="2"/>
          </rPr>
          <t xml:space="preserve">
</t>
        </r>
        <r>
          <rPr>
            <sz val="9"/>
            <rFont val="Tahoma"/>
            <family val="2"/>
          </rPr>
          <t>1</t>
        </r>
        <r>
          <rPr>
            <sz val="9"/>
            <rFont val="宋体"/>
            <family val="3"/>
            <charset val="134"/>
          </rPr>
          <t>月工程进度款</t>
        </r>
      </text>
    </comment>
    <comment ref="C127" authorId="0" shapeId="0">
      <text>
        <r>
          <rPr>
            <b/>
            <sz val="9"/>
            <rFont val="Tahoma"/>
            <family val="2"/>
          </rPr>
          <t>USER:</t>
        </r>
        <r>
          <rPr>
            <sz val="9"/>
            <rFont val="Tahoma"/>
            <family val="2"/>
          </rPr>
          <t xml:space="preserve">
</t>
        </r>
        <r>
          <rPr>
            <sz val="9"/>
            <rFont val="宋体"/>
            <family val="3"/>
            <charset val="134"/>
          </rPr>
          <t>工程进度款</t>
        </r>
      </text>
    </comment>
    <comment ref="C134" authorId="0" shapeId="0">
      <text>
        <r>
          <rPr>
            <b/>
            <sz val="9"/>
            <rFont val="Tahoma"/>
            <family val="2"/>
          </rPr>
          <t>USER:</t>
        </r>
        <r>
          <rPr>
            <sz val="9"/>
            <rFont val="Tahoma"/>
            <family val="2"/>
          </rPr>
          <t xml:space="preserve">
</t>
        </r>
        <r>
          <rPr>
            <sz val="9"/>
            <rFont val="宋体"/>
            <family val="3"/>
            <charset val="134"/>
          </rPr>
          <t>付总包开票税款</t>
        </r>
      </text>
    </comment>
    <comment ref="C149" authorId="0" shapeId="0">
      <text>
        <r>
          <rPr>
            <b/>
            <sz val="9"/>
            <rFont val="Tahoma"/>
            <family val="2"/>
          </rPr>
          <t>USER:</t>
        </r>
        <r>
          <rPr>
            <sz val="9"/>
            <rFont val="Tahoma"/>
            <family val="2"/>
          </rPr>
          <t xml:space="preserve">
</t>
        </r>
        <r>
          <rPr>
            <sz val="9"/>
            <rFont val="宋体"/>
            <family val="3"/>
            <charset val="134"/>
          </rPr>
          <t>工程进度款</t>
        </r>
      </text>
    </comment>
    <comment ref="C152" authorId="0" shapeId="0">
      <text>
        <r>
          <rPr>
            <b/>
            <sz val="9"/>
            <rFont val="Tahoma"/>
            <family val="2"/>
          </rPr>
          <t>USER:</t>
        </r>
        <r>
          <rPr>
            <sz val="9"/>
            <rFont val="Tahoma"/>
            <family val="2"/>
          </rPr>
          <t xml:space="preserve">
</t>
        </r>
        <r>
          <rPr>
            <sz val="9"/>
            <rFont val="宋体"/>
            <family val="3"/>
            <charset val="134"/>
          </rPr>
          <t>工程进度款</t>
        </r>
      </text>
    </comment>
    <comment ref="C175" authorId="0" shapeId="0">
      <text>
        <r>
          <rPr>
            <b/>
            <sz val="9"/>
            <rFont val="Tahoma"/>
            <family val="2"/>
          </rPr>
          <t>USER:</t>
        </r>
        <r>
          <rPr>
            <sz val="9"/>
            <rFont val="Tahoma"/>
            <family val="2"/>
          </rPr>
          <t xml:space="preserve">
</t>
        </r>
        <r>
          <rPr>
            <sz val="9"/>
            <rFont val="宋体"/>
            <family val="3"/>
            <charset val="134"/>
          </rPr>
          <t>总包从建委提取农民工储蓄</t>
        </r>
      </text>
    </comment>
    <comment ref="C176" authorId="0" shapeId="0">
      <text>
        <r>
          <rPr>
            <b/>
            <sz val="9"/>
            <rFont val="Tahoma"/>
            <family val="2"/>
          </rPr>
          <t>USER:</t>
        </r>
        <r>
          <rPr>
            <sz val="9"/>
            <rFont val="Tahoma"/>
            <family val="2"/>
          </rPr>
          <t xml:space="preserve">
</t>
        </r>
        <r>
          <rPr>
            <sz val="9"/>
            <rFont val="宋体"/>
            <family val="3"/>
            <charset val="134"/>
          </rPr>
          <t>工程进度款</t>
        </r>
      </text>
    </comment>
    <comment ref="C184" authorId="0" shapeId="0">
      <text>
        <r>
          <rPr>
            <b/>
            <sz val="9"/>
            <rFont val="Tahoma"/>
            <family val="2"/>
          </rPr>
          <t>USER:</t>
        </r>
        <r>
          <rPr>
            <sz val="9"/>
            <rFont val="Tahoma"/>
            <family val="2"/>
          </rPr>
          <t xml:space="preserve">
</t>
        </r>
        <r>
          <rPr>
            <sz val="9"/>
            <rFont val="宋体"/>
            <family val="3"/>
            <charset val="134"/>
          </rPr>
          <t>付工程进度款</t>
        </r>
      </text>
    </comment>
    <comment ref="C185" authorId="0" shapeId="0">
      <text>
        <r>
          <rPr>
            <b/>
            <sz val="9"/>
            <rFont val="Tahoma"/>
            <family val="2"/>
          </rPr>
          <t>USER:</t>
        </r>
        <r>
          <rPr>
            <sz val="9"/>
            <rFont val="Tahoma"/>
            <family val="2"/>
          </rPr>
          <t xml:space="preserve">
</t>
        </r>
        <r>
          <rPr>
            <sz val="9"/>
            <rFont val="宋体"/>
            <family val="3"/>
            <charset val="134"/>
          </rPr>
          <t>提取农民工预储</t>
        </r>
      </text>
    </comment>
    <comment ref="C191" authorId="0" shapeId="0">
      <text>
        <r>
          <rPr>
            <b/>
            <sz val="9"/>
            <rFont val="Tahoma"/>
            <family val="2"/>
          </rPr>
          <t>USER:</t>
        </r>
        <r>
          <rPr>
            <sz val="9"/>
            <rFont val="Tahoma"/>
            <family val="2"/>
          </rPr>
          <t xml:space="preserve">
</t>
        </r>
        <r>
          <rPr>
            <sz val="9"/>
            <rFont val="宋体"/>
            <family val="3"/>
            <charset val="134"/>
          </rPr>
          <t>财务没返此单</t>
        </r>
      </text>
    </comment>
    <comment ref="C196" authorId="0" shapeId="0">
      <text>
        <r>
          <rPr>
            <b/>
            <sz val="9"/>
            <rFont val="Tahoma"/>
            <family val="2"/>
          </rPr>
          <t>USER:</t>
        </r>
        <r>
          <rPr>
            <sz val="9"/>
            <rFont val="Tahoma"/>
            <family val="2"/>
          </rPr>
          <t xml:space="preserve">
</t>
        </r>
        <r>
          <rPr>
            <sz val="9"/>
            <rFont val="宋体"/>
            <family val="3"/>
            <charset val="134"/>
          </rPr>
          <t>第十三笔工程进度款</t>
        </r>
      </text>
    </comment>
  </commentList>
</comments>
</file>

<file path=xl/comments2.xml><?xml version="1.0" encoding="utf-8"?>
<comments xmlns="http://schemas.openxmlformats.org/spreadsheetml/2006/main">
  <authors>
    <author>USER</author>
  </authors>
  <commentList>
    <comment ref="A31" authorId="0" shapeId="0">
      <text>
        <r>
          <rPr>
            <b/>
            <sz val="9"/>
            <rFont val="Tahoma"/>
            <family val="2"/>
          </rPr>
          <t>USER:</t>
        </r>
        <r>
          <rPr>
            <sz val="9"/>
            <rFont val="Tahoma"/>
            <family val="2"/>
          </rPr>
          <t xml:space="preserve">
</t>
        </r>
        <r>
          <rPr>
            <sz val="9"/>
            <rFont val="Tahoma"/>
            <family val="2"/>
          </rPr>
          <t>28-30</t>
        </r>
        <r>
          <rPr>
            <sz val="9"/>
            <rFont val="宋体"/>
            <family val="3"/>
            <charset val="134"/>
          </rPr>
          <t>号合同没给行政</t>
        </r>
      </text>
    </comment>
    <comment ref="F62" authorId="0" shapeId="0">
      <text>
        <r>
          <rPr>
            <sz val="9"/>
            <rFont val="宋体"/>
            <family val="3"/>
            <charset val="134"/>
          </rPr>
          <t xml:space="preserve">USER:
</t>
        </r>
        <r>
          <rPr>
            <sz val="9"/>
            <rFont val="宋体"/>
            <family val="3"/>
            <charset val="134"/>
          </rPr>
          <t>甲方替总包先行垫付，后期从总包工程款中扣回。</t>
        </r>
      </text>
    </comment>
    <comment ref="F91" authorId="0" shapeId="0">
      <text>
        <r>
          <rPr>
            <sz val="9"/>
            <rFont val="宋体"/>
            <family val="3"/>
            <charset val="134"/>
          </rPr>
          <t xml:space="preserve">USER:
</t>
        </r>
        <r>
          <rPr>
            <sz val="9"/>
            <rFont val="宋体"/>
            <family val="3"/>
            <charset val="134"/>
          </rPr>
          <t>0.4元/平米（地上建筑面积—幼儿园—托老所）</t>
        </r>
      </text>
    </comment>
    <comment ref="F99" authorId="0" shapeId="0">
      <text>
        <r>
          <rPr>
            <b/>
            <sz val="9"/>
            <rFont val="Tahoma"/>
            <family val="2"/>
          </rPr>
          <t>USER:</t>
        </r>
        <r>
          <rPr>
            <sz val="9"/>
            <rFont val="Tahoma"/>
            <family val="2"/>
          </rPr>
          <t xml:space="preserve">
</t>
        </r>
        <r>
          <rPr>
            <sz val="9"/>
            <rFont val="宋体"/>
            <family val="3"/>
            <charset val="134"/>
          </rPr>
          <t>原合同</t>
        </r>
        <r>
          <rPr>
            <sz val="9"/>
            <rFont val="Tahoma"/>
            <family val="2"/>
          </rPr>
          <t>5</t>
        </r>
        <r>
          <rPr>
            <sz val="9"/>
            <rFont val="宋体"/>
            <family val="3"/>
            <charset val="134"/>
          </rPr>
          <t>万，因由此单位施工，故设计费不收。</t>
        </r>
      </text>
    </comment>
    <comment ref="D102" authorId="0" shapeId="0">
      <text>
        <r>
          <rPr>
            <sz val="9"/>
            <rFont val="宋体"/>
            <family val="3"/>
            <charset val="134"/>
          </rPr>
          <t xml:space="preserve">USER:
</t>
        </r>
        <r>
          <rPr>
            <sz val="9"/>
            <rFont val="宋体"/>
            <family val="3"/>
            <charset val="134"/>
          </rPr>
          <t>此费用包含在总包施工合同价款中，从总包合同工程款中扣除</t>
        </r>
      </text>
    </comment>
    <comment ref="D106" authorId="0" shapeId="0">
      <text>
        <r>
          <rPr>
            <sz val="9"/>
            <rFont val="宋体"/>
            <family val="3"/>
            <charset val="134"/>
          </rPr>
          <t xml:space="preserve">USER:
</t>
        </r>
        <r>
          <rPr>
            <sz val="9"/>
            <rFont val="宋体"/>
            <family val="3"/>
            <charset val="134"/>
          </rPr>
          <t>预付款保函20%</t>
        </r>
      </text>
    </comment>
    <comment ref="D111" authorId="0" shapeId="0">
      <text>
        <r>
          <rPr>
            <b/>
            <sz val="9"/>
            <rFont val="Tahoma"/>
            <family val="2"/>
          </rPr>
          <t>USER:</t>
        </r>
        <r>
          <rPr>
            <sz val="9"/>
            <rFont val="Tahoma"/>
            <family val="2"/>
          </rPr>
          <t xml:space="preserve">
</t>
        </r>
        <r>
          <rPr>
            <sz val="9"/>
            <rFont val="宋体"/>
            <family val="3"/>
            <charset val="134"/>
          </rPr>
          <t>预付款保函</t>
        </r>
        <r>
          <rPr>
            <sz val="9"/>
            <rFont val="Tahoma"/>
            <family val="2"/>
          </rPr>
          <t>10%</t>
        </r>
      </text>
    </comment>
    <comment ref="D118" authorId="0" shapeId="0">
      <text>
        <r>
          <rPr>
            <b/>
            <sz val="9"/>
            <rFont val="Tahoma"/>
            <family val="2"/>
          </rPr>
          <t>USER:</t>
        </r>
        <r>
          <rPr>
            <sz val="9"/>
            <rFont val="Tahoma"/>
            <family val="2"/>
          </rPr>
          <t xml:space="preserve">
</t>
        </r>
        <r>
          <rPr>
            <sz val="9"/>
            <rFont val="宋体"/>
            <family val="3"/>
            <charset val="134"/>
          </rPr>
          <t>预付款保函（一标的</t>
        </r>
        <r>
          <rPr>
            <sz val="9"/>
            <rFont val="Tahoma"/>
            <family val="2"/>
          </rPr>
          <t>20%</t>
        </r>
        <r>
          <rPr>
            <sz val="9"/>
            <rFont val="宋体"/>
            <family val="3"/>
            <charset val="134"/>
          </rPr>
          <t>；二三四标的</t>
        </r>
        <r>
          <rPr>
            <sz val="9"/>
            <rFont val="Tahoma"/>
            <family val="2"/>
          </rPr>
          <t>5%</t>
        </r>
        <r>
          <rPr>
            <sz val="9"/>
            <rFont val="宋体"/>
            <family val="3"/>
            <charset val="134"/>
          </rPr>
          <t>）</t>
        </r>
      </text>
    </comment>
    <comment ref="D153" authorId="0" shapeId="0">
      <text>
        <r>
          <rPr>
            <b/>
            <sz val="9"/>
            <rFont val="Tahoma"/>
            <family val="2"/>
          </rPr>
          <t>USER:</t>
        </r>
        <r>
          <rPr>
            <sz val="9"/>
            <rFont val="Tahoma"/>
            <family val="2"/>
          </rPr>
          <t xml:space="preserve">
</t>
        </r>
        <r>
          <rPr>
            <sz val="9"/>
            <rFont val="宋体"/>
            <family val="3"/>
            <charset val="134"/>
          </rPr>
          <t>此合同没入</t>
        </r>
        <r>
          <rPr>
            <sz val="9"/>
            <rFont val="Tahoma"/>
            <family val="2"/>
          </rPr>
          <t>2015</t>
        </r>
        <r>
          <rPr>
            <sz val="9"/>
            <rFont val="宋体"/>
            <family val="3"/>
            <charset val="134"/>
          </rPr>
          <t>年动态成本发生额</t>
        </r>
      </text>
    </comment>
    <comment ref="F170" authorId="0" shapeId="0">
      <text>
        <r>
          <rPr>
            <b/>
            <sz val="9"/>
            <rFont val="Tahoma"/>
            <family val="2"/>
          </rPr>
          <t>USER:</t>
        </r>
        <r>
          <rPr>
            <sz val="9"/>
            <rFont val="Tahoma"/>
            <family val="2"/>
          </rPr>
          <t xml:space="preserve">
</t>
        </r>
        <r>
          <rPr>
            <sz val="9"/>
            <rFont val="宋体"/>
            <family val="3"/>
            <charset val="134"/>
          </rPr>
          <t>其中：二期</t>
        </r>
        <r>
          <rPr>
            <sz val="9"/>
            <rFont val="Tahoma"/>
            <family val="2"/>
          </rPr>
          <t>17782.5</t>
        </r>
        <r>
          <rPr>
            <sz val="9"/>
            <rFont val="宋体"/>
            <family val="3"/>
            <charset val="134"/>
          </rPr>
          <t>元；三期</t>
        </r>
        <r>
          <rPr>
            <sz val="9"/>
            <rFont val="Tahoma"/>
            <family val="2"/>
          </rPr>
          <t>34337.85</t>
        </r>
        <r>
          <rPr>
            <sz val="9"/>
            <rFont val="宋体"/>
            <family val="3"/>
            <charset val="134"/>
          </rPr>
          <t>元</t>
        </r>
      </text>
    </comment>
    <comment ref="F175" authorId="0" shapeId="0">
      <text>
        <r>
          <rPr>
            <b/>
            <sz val="9"/>
            <rFont val="Tahoma"/>
            <family val="2"/>
          </rPr>
          <t>USER:</t>
        </r>
        <r>
          <rPr>
            <sz val="9"/>
            <rFont val="Tahoma"/>
            <family val="2"/>
          </rPr>
          <t xml:space="preserve">
</t>
        </r>
        <r>
          <rPr>
            <sz val="9"/>
            <rFont val="宋体"/>
            <family val="3"/>
            <charset val="134"/>
          </rPr>
          <t>土建站：</t>
        </r>
        <r>
          <rPr>
            <sz val="9"/>
            <rFont val="Tahoma"/>
            <family val="2"/>
          </rPr>
          <t>240800</t>
        </r>
        <r>
          <rPr>
            <sz val="9"/>
            <rFont val="宋体"/>
            <family val="3"/>
            <charset val="134"/>
          </rPr>
          <t>元（</t>
        </r>
        <r>
          <rPr>
            <sz val="9"/>
            <rFont val="Tahoma"/>
            <family val="2"/>
          </rPr>
          <t xml:space="preserve">2800*86m2)
</t>
        </r>
        <r>
          <rPr>
            <sz val="9"/>
            <rFont val="Tahoma"/>
            <family val="2"/>
          </rPr>
          <t>CF</t>
        </r>
        <r>
          <rPr>
            <sz val="9"/>
            <rFont val="宋体"/>
            <family val="3"/>
            <charset val="134"/>
          </rPr>
          <t>箱基础：</t>
        </r>
        <r>
          <rPr>
            <sz val="9"/>
            <rFont val="Tahoma"/>
            <family val="2"/>
          </rPr>
          <t>28</t>
        </r>
        <r>
          <rPr>
            <sz val="9"/>
            <rFont val="宋体"/>
            <family val="3"/>
            <charset val="134"/>
          </rPr>
          <t xml:space="preserve">个
</t>
        </r>
        <r>
          <rPr>
            <sz val="9"/>
            <rFont val="宋体"/>
            <family val="3"/>
            <charset val="134"/>
          </rPr>
          <t>环网柜基础：</t>
        </r>
        <r>
          <rPr>
            <sz val="9"/>
            <rFont val="Tahoma"/>
            <family val="2"/>
          </rPr>
          <t>1</t>
        </r>
        <r>
          <rPr>
            <sz val="9"/>
            <rFont val="宋体"/>
            <family val="3"/>
            <charset val="134"/>
          </rPr>
          <t xml:space="preserve">个
</t>
        </r>
        <r>
          <rPr>
            <sz val="9"/>
            <rFont val="宋体"/>
            <family val="3"/>
            <charset val="134"/>
          </rPr>
          <t>箱式站基础：</t>
        </r>
        <r>
          <rPr>
            <sz val="9"/>
            <rFont val="Tahoma"/>
            <family val="2"/>
          </rPr>
          <t>3</t>
        </r>
        <r>
          <rPr>
            <sz val="9"/>
            <rFont val="宋体"/>
            <family val="3"/>
            <charset val="134"/>
          </rPr>
          <t>个</t>
        </r>
      </text>
    </comment>
  </commentList>
</comments>
</file>

<file path=xl/comments3.xml><?xml version="1.0" encoding="utf-8"?>
<comments xmlns="http://schemas.openxmlformats.org/spreadsheetml/2006/main">
  <authors>
    <author>dell</author>
  </authors>
  <commentList>
    <comment ref="C116" authorId="0" shapeId="0">
      <text>
        <r>
          <rPr>
            <sz val="9"/>
            <rFont val="宋体"/>
            <family val="3"/>
            <charset val="134"/>
          </rPr>
          <t>dell:普通住宅28，公寓别墅40</t>
        </r>
      </text>
    </comment>
  </commentList>
</comments>
</file>

<file path=xl/comments4.xml><?xml version="1.0" encoding="utf-8"?>
<comments xmlns="http://schemas.openxmlformats.org/spreadsheetml/2006/main">
  <authors>
    <author>USER</author>
  </authors>
  <commentList>
    <comment ref="E4" authorId="0" shapeId="0">
      <text>
        <r>
          <rPr>
            <sz val="9"/>
            <rFont val="宋体"/>
            <family val="3"/>
            <charset val="134"/>
          </rPr>
          <t xml:space="preserve">USER:
</t>
        </r>
        <r>
          <rPr>
            <sz val="9"/>
            <rFont val="宋体"/>
            <family val="3"/>
            <charset val="134"/>
          </rPr>
          <t>甲方替总包先行垫付，后期从总包工程款中扣回。</t>
        </r>
      </text>
    </comment>
    <comment ref="C8" authorId="0" shapeId="0">
      <text>
        <r>
          <rPr>
            <sz val="9"/>
            <rFont val="宋体"/>
            <family val="3"/>
            <charset val="134"/>
          </rPr>
          <t xml:space="preserve">USER:
</t>
        </r>
        <r>
          <rPr>
            <sz val="9"/>
            <rFont val="宋体"/>
            <family val="3"/>
            <charset val="134"/>
          </rPr>
          <t>此费用包含在总包施工合同价款中，从总包合同工程款中扣除</t>
        </r>
      </text>
    </comment>
    <comment ref="C9" authorId="0" shapeId="0">
      <text>
        <r>
          <rPr>
            <sz val="9"/>
            <rFont val="宋体"/>
            <family val="3"/>
            <charset val="134"/>
          </rPr>
          <t xml:space="preserve">USER:
</t>
        </r>
        <r>
          <rPr>
            <sz val="9"/>
            <rFont val="宋体"/>
            <family val="3"/>
            <charset val="134"/>
          </rPr>
          <t>验收后退回</t>
        </r>
      </text>
    </comment>
  </commentList>
</comments>
</file>

<file path=xl/sharedStrings.xml><?xml version="1.0" encoding="utf-8"?>
<sst xmlns="http://schemas.openxmlformats.org/spreadsheetml/2006/main" count="3557" uniqueCount="1873">
  <si>
    <r>
      <rPr>
        <b/>
        <u/>
        <sz val="24"/>
        <rFont val="华文行楷"/>
        <family val="3"/>
        <charset val="134"/>
      </rPr>
      <t>〈博轩园〉</t>
    </r>
    <r>
      <rPr>
        <b/>
        <sz val="24"/>
        <rFont val="华文行楷"/>
        <family val="3"/>
        <charset val="134"/>
      </rPr>
      <t>合同拨款台帐统计</t>
    </r>
  </si>
  <si>
    <t>天津博智置业发展有限公司</t>
  </si>
  <si>
    <r>
      <rPr>
        <sz val="12"/>
        <rFont val="方正姚体"/>
        <family val="3"/>
        <charset val="134"/>
      </rPr>
      <t>运</t>
    </r>
    <r>
      <rPr>
        <sz val="12"/>
        <rFont val="Times New Roman"/>
        <family val="1"/>
      </rPr>
      <t xml:space="preserve">    </t>
    </r>
    <r>
      <rPr>
        <sz val="12"/>
        <rFont val="方正姚体"/>
        <family val="3"/>
        <charset val="134"/>
      </rPr>
      <t>营</t>
    </r>
    <r>
      <rPr>
        <sz val="12"/>
        <rFont val="Times New Roman"/>
        <family val="1"/>
      </rPr>
      <t xml:space="preserve">    </t>
    </r>
    <r>
      <rPr>
        <sz val="12"/>
        <rFont val="方正姚体"/>
        <family val="3"/>
        <charset val="134"/>
      </rPr>
      <t>部</t>
    </r>
  </si>
  <si>
    <t>2009年</t>
  </si>
  <si>
    <t>台帐使用说明</t>
  </si>
  <si>
    <t>1.本合同台帐分为拨款台帐、合同台帐、简表、成本明细四部分。</t>
  </si>
  <si>
    <t>2.发生新合同时填齐合同台帐表列各项，此表可查询合同编号、合同类别、合同名称、施工单位、合同造价、累计拨款、付款方式等信息。</t>
  </si>
  <si>
    <t>3.拨款台帐记录每次拨款信息，此表可查询各个合同的每笔拨款的日期、拨款数量、累计拨款、余额等。</t>
  </si>
  <si>
    <t>4.在发生新合同时，将其按照类别分别计入成本明细表，此表可查询每项成本的单价控制指标、成本总额，并根据 已发生平米造价、已发生合同额，得出盈亏对比指标。</t>
  </si>
  <si>
    <t>5.新发生合同填入成本明细表后，单项已发生合同额会自动生成，已发生合同总额会随之改变，同时简表中实际总投资会发生变化，并与之相等。即成本明细已发生合同额、简表实际总投资为同一值。</t>
  </si>
  <si>
    <t>6.当拨款台帐中，拨款数量一栏变化时，拨款台帐中余额会自动生成，同时合同台帐中累计拨款、拨款率，成本明细中累计拨款均会随之发生变化。即拨款台帐累计拨款、合同台帐累计拨款、成本明细合同累计拨款为同一值。</t>
  </si>
  <si>
    <t>博智运营部</t>
  </si>
  <si>
    <t>2010年</t>
  </si>
  <si>
    <t>累计</t>
  </si>
  <si>
    <t>预算</t>
  </si>
  <si>
    <t>DG-033</t>
  </si>
  <si>
    <t>DG-069</t>
  </si>
  <si>
    <t>DG-077</t>
  </si>
  <si>
    <t>DG-078W</t>
  </si>
  <si>
    <t>DG-079</t>
  </si>
  <si>
    <t>DG-080</t>
  </si>
  <si>
    <t>DG-082W</t>
  </si>
  <si>
    <t>DG-083</t>
  </si>
  <si>
    <t>DG-084</t>
  </si>
  <si>
    <t>DG-086</t>
  </si>
  <si>
    <t>DG-087</t>
  </si>
  <si>
    <t>DG-088</t>
  </si>
  <si>
    <t>DG-089</t>
  </si>
  <si>
    <t>DG-092</t>
  </si>
  <si>
    <t>DG-098</t>
  </si>
  <si>
    <t>DG-099</t>
  </si>
  <si>
    <t>DG-100</t>
  </si>
  <si>
    <t>DG-106</t>
  </si>
  <si>
    <t>DG-108</t>
  </si>
  <si>
    <t>DG-109</t>
  </si>
  <si>
    <t>DG-111</t>
  </si>
  <si>
    <t>DG-117</t>
  </si>
  <si>
    <t>DG-119</t>
  </si>
  <si>
    <t>DG-125</t>
  </si>
  <si>
    <t>DG-126</t>
  </si>
  <si>
    <t>DG-127</t>
  </si>
  <si>
    <t>DG-128</t>
  </si>
  <si>
    <t>DG-129</t>
  </si>
  <si>
    <t>DG-131</t>
  </si>
  <si>
    <t>DG-132</t>
  </si>
  <si>
    <t>DG-133</t>
  </si>
  <si>
    <t>DG-134</t>
  </si>
  <si>
    <t>DG-137</t>
  </si>
  <si>
    <t>DG-138</t>
  </si>
  <si>
    <t>DG-139</t>
  </si>
  <si>
    <t>DG-140</t>
  </si>
  <si>
    <t>DG-142</t>
  </si>
  <si>
    <t>DG-145</t>
  </si>
  <si>
    <t>DG-146</t>
  </si>
  <si>
    <t>DG-147</t>
  </si>
  <si>
    <t>DG-148</t>
  </si>
  <si>
    <t>DG-149</t>
  </si>
  <si>
    <t>DG-151</t>
  </si>
  <si>
    <t>DG-152</t>
  </si>
  <si>
    <t>DG-154</t>
  </si>
  <si>
    <t>DG-155</t>
  </si>
  <si>
    <t>DG-156</t>
  </si>
  <si>
    <t>DG-157</t>
  </si>
  <si>
    <t>DG-162</t>
  </si>
  <si>
    <t>DG-167</t>
  </si>
  <si>
    <t>DG-168</t>
  </si>
  <si>
    <t>DG-169</t>
  </si>
  <si>
    <t>DG-170</t>
  </si>
  <si>
    <t>DG-174</t>
  </si>
  <si>
    <t>DG-175</t>
  </si>
  <si>
    <t>DG-178</t>
  </si>
  <si>
    <t>DG-182</t>
  </si>
  <si>
    <t>DG-184</t>
  </si>
  <si>
    <t>DG-185</t>
  </si>
  <si>
    <t>DG-186</t>
  </si>
  <si>
    <t>DG-188</t>
  </si>
  <si>
    <t>DG-189</t>
  </si>
  <si>
    <t>DG-190</t>
  </si>
  <si>
    <t>DG-191</t>
  </si>
  <si>
    <t>DG-192</t>
  </si>
  <si>
    <t>DG-197</t>
  </si>
  <si>
    <t>DG-198</t>
  </si>
  <si>
    <t>DG-199</t>
  </si>
  <si>
    <t>DG-202</t>
  </si>
  <si>
    <t>DG-205</t>
  </si>
  <si>
    <t>DG-206</t>
  </si>
  <si>
    <t>DG-210</t>
  </si>
  <si>
    <t>DG-212</t>
  </si>
  <si>
    <t>DG-213</t>
  </si>
  <si>
    <t>合计</t>
  </si>
  <si>
    <t>DG-021</t>
  </si>
  <si>
    <t>DG-074</t>
  </si>
  <si>
    <t>DG-102</t>
  </si>
  <si>
    <t>DG-122</t>
  </si>
  <si>
    <t>编号</t>
  </si>
  <si>
    <r>
      <rPr>
        <sz val="12"/>
        <rFont val="宋体"/>
        <family val="3"/>
        <charset val="134"/>
      </rPr>
      <t>拨款</t>
    </r>
    <r>
      <rPr>
        <sz val="12"/>
        <rFont val="Times New Roman"/>
        <family val="1"/>
      </rPr>
      <t xml:space="preserve">   </t>
    </r>
    <r>
      <rPr>
        <sz val="12"/>
        <rFont val="宋体"/>
        <family val="3"/>
        <charset val="134"/>
      </rPr>
      <t>日期</t>
    </r>
  </si>
  <si>
    <t>拨款数量（元）</t>
  </si>
  <si>
    <t>累计拨款</t>
  </si>
  <si>
    <t>余额（元）</t>
  </si>
  <si>
    <t>项目名称</t>
  </si>
  <si>
    <t>施工单位</t>
  </si>
  <si>
    <r>
      <rPr>
        <sz val="12"/>
        <rFont val="宋体"/>
        <family val="3"/>
        <charset val="134"/>
      </rPr>
      <t>拨款单</t>
    </r>
    <r>
      <rPr>
        <sz val="12"/>
        <rFont val="宋体"/>
        <family val="3"/>
        <charset val="134"/>
      </rPr>
      <t>号</t>
    </r>
  </si>
  <si>
    <t>备注</t>
  </si>
  <si>
    <t>JXA-001</t>
  </si>
  <si>
    <t>2013.7.5</t>
  </si>
  <si>
    <t>FK1</t>
  </si>
  <si>
    <t>JXA-002</t>
  </si>
  <si>
    <t>2013.6.24</t>
  </si>
  <si>
    <t>JXA-003</t>
  </si>
  <si>
    <t>2013.11.25</t>
  </si>
  <si>
    <t>JXA-004</t>
  </si>
  <si>
    <t>2013.8.21</t>
  </si>
  <si>
    <t>2013.11.28</t>
  </si>
  <si>
    <t>FK2</t>
  </si>
  <si>
    <t>2014.1.25</t>
  </si>
  <si>
    <t>FK3</t>
  </si>
  <si>
    <t>JXA-005</t>
  </si>
  <si>
    <t>2013.5.23</t>
  </si>
  <si>
    <t>2013.7.2</t>
  </si>
  <si>
    <t>2013.10.21</t>
  </si>
  <si>
    <t>JXA-006W</t>
  </si>
  <si>
    <t>2013.10.24</t>
  </si>
  <si>
    <t>JXA-007W</t>
  </si>
  <si>
    <t>2013.10.29</t>
  </si>
  <si>
    <t>JXA-008W</t>
  </si>
  <si>
    <t>JXA-009W</t>
  </si>
  <si>
    <t>JXA-010W</t>
  </si>
  <si>
    <t>2013.8.31</t>
  </si>
  <si>
    <t>JXA-011W</t>
  </si>
  <si>
    <t>2013.11.21</t>
  </si>
  <si>
    <t>JXA-012W</t>
  </si>
  <si>
    <t>JXA-013</t>
  </si>
  <si>
    <t>2014.1.7</t>
  </si>
  <si>
    <t>2014.1.15</t>
  </si>
  <si>
    <t>JXA-014W</t>
  </si>
  <si>
    <t>2014.3.12</t>
  </si>
  <si>
    <t>JXA-016B</t>
  </si>
  <si>
    <t>2014.1.21</t>
  </si>
  <si>
    <t>JXA-017W</t>
  </si>
  <si>
    <t>JXA-019W</t>
  </si>
  <si>
    <t>2013.12.25</t>
  </si>
  <si>
    <t>JXA-020W</t>
  </si>
  <si>
    <t>JXA-021W</t>
  </si>
  <si>
    <t>JXA-022W</t>
  </si>
  <si>
    <t>2014.3.28</t>
  </si>
  <si>
    <t>JXA-018</t>
  </si>
  <si>
    <t>2014.4.11</t>
  </si>
  <si>
    <t>JXA-034W</t>
  </si>
  <si>
    <t>2014.4.15</t>
  </si>
  <si>
    <t>2014.4.24</t>
  </si>
  <si>
    <t>JXA-035</t>
  </si>
  <si>
    <t>2014.5.16</t>
  </si>
  <si>
    <t>JXA-041W</t>
  </si>
  <si>
    <t>2014.5.20</t>
  </si>
  <si>
    <t>2014.5.22</t>
  </si>
  <si>
    <t>JXA-038</t>
  </si>
  <si>
    <t>2014.5.27</t>
  </si>
  <si>
    <t>2014.5.23</t>
  </si>
  <si>
    <t>FK4</t>
  </si>
  <si>
    <t>JXA-037</t>
  </si>
  <si>
    <t>JXA-047</t>
  </si>
  <si>
    <t>2014.5.30</t>
  </si>
  <si>
    <t>JXA-045W</t>
  </si>
  <si>
    <t>2014.6.12</t>
  </si>
  <si>
    <t>JXA-052W</t>
  </si>
  <si>
    <t>2014.6.17</t>
  </si>
  <si>
    <t>JXA-051</t>
  </si>
  <si>
    <t>2014.6.18</t>
  </si>
  <si>
    <t>JXA-039W</t>
  </si>
  <si>
    <t>2014.6.24</t>
  </si>
  <si>
    <t>JXA-054W</t>
  </si>
  <si>
    <t>JXA-055W</t>
  </si>
  <si>
    <t>JXA-044</t>
  </si>
  <si>
    <t>2014.6.26</t>
  </si>
  <si>
    <t>JXA-049</t>
  </si>
  <si>
    <t>JXA-043</t>
  </si>
  <si>
    <t>JXA-058W</t>
  </si>
  <si>
    <t>2014.7.9</t>
  </si>
  <si>
    <t>JXA-060W</t>
  </si>
  <si>
    <t>2014.7.16</t>
  </si>
  <si>
    <t>JXA-062W</t>
  </si>
  <si>
    <t>JXA-063W</t>
  </si>
  <si>
    <t>JXA-065W</t>
  </si>
  <si>
    <t>2014.7.21</t>
  </si>
  <si>
    <t>JXA-036</t>
  </si>
  <si>
    <t>2014.7.23</t>
  </si>
  <si>
    <t>JXA-050</t>
  </si>
  <si>
    <t>JXA-067W</t>
  </si>
  <si>
    <t>2014.7.22</t>
  </si>
  <si>
    <t>JXA-066</t>
  </si>
  <si>
    <t>2014.7.24</t>
  </si>
  <si>
    <t>JXA-068</t>
  </si>
  <si>
    <r>
      <rPr>
        <sz val="10"/>
        <rFont val="Times New Roman"/>
        <family val="1"/>
      </rPr>
      <t>JXA-069</t>
    </r>
    <r>
      <rPr>
        <sz val="10"/>
        <rFont val="宋体"/>
        <family val="3"/>
        <charset val="134"/>
      </rPr>
      <t>（</t>
    </r>
    <r>
      <rPr>
        <sz val="10"/>
        <rFont val="Times New Roman"/>
        <family val="1"/>
      </rPr>
      <t>1</t>
    </r>
    <r>
      <rPr>
        <sz val="10"/>
        <rFont val="宋体"/>
        <family val="3"/>
        <charset val="134"/>
      </rPr>
      <t>）</t>
    </r>
  </si>
  <si>
    <t>JXA-071</t>
  </si>
  <si>
    <t>2014.7.29</t>
  </si>
  <si>
    <t>JXA-072</t>
  </si>
  <si>
    <t>JXA-074W</t>
  </si>
  <si>
    <t>JXA-075W</t>
  </si>
  <si>
    <t>JXA-023</t>
  </si>
  <si>
    <t>2014.8.7</t>
  </si>
  <si>
    <t>FK5</t>
  </si>
  <si>
    <t>JXA-077</t>
  </si>
  <si>
    <t>2014.8.8</t>
  </si>
  <si>
    <t>2014.8.6</t>
  </si>
  <si>
    <t>JXA-079W</t>
  </si>
  <si>
    <t>JXA-078W</t>
  </si>
  <si>
    <t>JXA-080W</t>
  </si>
  <si>
    <t>JXA-081W</t>
  </si>
  <si>
    <t>2014.8.12</t>
  </si>
  <si>
    <t>JXA-082W</t>
  </si>
  <si>
    <t>JXA-076</t>
  </si>
  <si>
    <t>2014.8.1</t>
  </si>
  <si>
    <t>JXA-085W</t>
  </si>
  <si>
    <t>2014.8.13</t>
  </si>
  <si>
    <t>JXA-087W</t>
  </si>
  <si>
    <t>JXA-089W</t>
  </si>
  <si>
    <t>2014.8.15</t>
  </si>
  <si>
    <t>2014.8.22</t>
  </si>
  <si>
    <t>2014.8.20</t>
  </si>
  <si>
    <t>JXA-084</t>
  </si>
  <si>
    <t>JXA-086W</t>
  </si>
  <si>
    <t>2014.8.14</t>
  </si>
  <si>
    <t>JXA-094W</t>
  </si>
  <si>
    <t>2014.8.21</t>
  </si>
  <si>
    <t>JXA-092</t>
  </si>
  <si>
    <t>2014.9.02</t>
  </si>
  <si>
    <t>JXA-042</t>
  </si>
  <si>
    <t>2014.9.03</t>
  </si>
  <si>
    <t>2014.9.04</t>
  </si>
  <si>
    <t>2014.9.11</t>
  </si>
  <si>
    <t>JXA-095W</t>
  </si>
  <si>
    <t>2014.9.24</t>
  </si>
  <si>
    <t>JXA-096</t>
  </si>
  <si>
    <t>2014.9.25</t>
  </si>
  <si>
    <t>JXA-131</t>
  </si>
  <si>
    <t>2014.9.26</t>
  </si>
  <si>
    <t>2014.10.13</t>
  </si>
  <si>
    <t>2014.10.23</t>
  </si>
  <si>
    <t>JXA-088</t>
  </si>
  <si>
    <t>JXA-025w</t>
  </si>
  <si>
    <t>2014.12.25</t>
  </si>
  <si>
    <t>JXA-083w</t>
  </si>
  <si>
    <t>2014.12.26</t>
  </si>
  <si>
    <t>JXA-026w</t>
  </si>
  <si>
    <t>JXA-015</t>
  </si>
  <si>
    <t>JXA-100</t>
  </si>
  <si>
    <t>JXA-048</t>
  </si>
  <si>
    <t>JXA-102</t>
  </si>
  <si>
    <t>JXA-027W</t>
  </si>
  <si>
    <t>2014.12.29</t>
  </si>
  <si>
    <t>JXA-028W</t>
  </si>
  <si>
    <t>JXA-029W</t>
  </si>
  <si>
    <t>JXA-030W</t>
  </si>
  <si>
    <t>2015.1.22</t>
  </si>
  <si>
    <t>JXA-073</t>
  </si>
  <si>
    <t>JXA-031W</t>
  </si>
  <si>
    <t>JXA-032W</t>
  </si>
  <si>
    <t>JXA-090</t>
  </si>
  <si>
    <t>2015.1.29</t>
  </si>
  <si>
    <t>JXA-101</t>
  </si>
  <si>
    <t>2015.2.5</t>
  </si>
  <si>
    <t>JXA-053</t>
  </si>
  <si>
    <t>JXA-064</t>
  </si>
  <si>
    <t>JXA-097</t>
  </si>
  <si>
    <t>2015.2.4</t>
  </si>
  <si>
    <t>JXA-073B</t>
  </si>
  <si>
    <t>2015.2.6</t>
  </si>
  <si>
    <t>2015.2.12</t>
  </si>
  <si>
    <t>JXA-068B</t>
  </si>
  <si>
    <t>2015.3.26</t>
  </si>
  <si>
    <t>2015.3.22</t>
  </si>
  <si>
    <t>2015.4.2</t>
  </si>
  <si>
    <t>JXA-061W</t>
  </si>
  <si>
    <t>2015.4.1</t>
  </si>
  <si>
    <t>JXA-070</t>
  </si>
  <si>
    <t>JXA-133</t>
  </si>
  <si>
    <t>2015.4.7</t>
  </si>
  <si>
    <t>JXA-105W</t>
  </si>
  <si>
    <t>2015.4.9</t>
  </si>
  <si>
    <t>JXA-112W</t>
  </si>
  <si>
    <t>2015.4.15</t>
  </si>
  <si>
    <t>JXA-113</t>
  </si>
  <si>
    <t>2015.4.22</t>
  </si>
  <si>
    <t>JXA-046W</t>
  </si>
  <si>
    <t>JXA-110</t>
  </si>
  <si>
    <t>2015.5.7</t>
  </si>
  <si>
    <t>JXA-103</t>
  </si>
  <si>
    <t>JXA-098</t>
  </si>
  <si>
    <t>JXA-114</t>
  </si>
  <si>
    <t>2015.5.8</t>
  </si>
  <si>
    <t>JXA-119</t>
  </si>
  <si>
    <t>JXA-109</t>
  </si>
  <si>
    <t>2015.5.13</t>
  </si>
  <si>
    <t>JXA-117W</t>
  </si>
  <si>
    <t>2015.5.14</t>
  </si>
  <si>
    <t>2015.5.25</t>
  </si>
  <si>
    <t>2015.5.26</t>
  </si>
  <si>
    <t>JXA-068C</t>
  </si>
  <si>
    <t>2015.6.4</t>
  </si>
  <si>
    <t>JXA-107</t>
  </si>
  <si>
    <t>2015.6.5</t>
  </si>
  <si>
    <t>2015.6.12</t>
  </si>
  <si>
    <t>JXA-121</t>
  </si>
  <si>
    <t>JXA-125W</t>
  </si>
  <si>
    <t>JXA-126W</t>
  </si>
  <si>
    <t>JXA-108</t>
  </si>
  <si>
    <t>JXA-127W</t>
  </si>
  <si>
    <t>2015.6.19</t>
  </si>
  <si>
    <t>JXA-118</t>
  </si>
  <si>
    <t>JXA-123</t>
  </si>
  <si>
    <t>2015.6.25</t>
  </si>
  <si>
    <t>JXA-111</t>
  </si>
  <si>
    <t>2015.7.2</t>
  </si>
  <si>
    <t>JXA-130W</t>
  </si>
  <si>
    <t>2015.7.10</t>
  </si>
  <si>
    <t>JXA-040</t>
  </si>
  <si>
    <t>2015.7.13</t>
  </si>
  <si>
    <t>JXA-024</t>
  </si>
  <si>
    <t>2015.7.16</t>
  </si>
  <si>
    <t>JXA-068D</t>
  </si>
  <si>
    <t>2015.7.29</t>
  </si>
  <si>
    <t>2015.8.1</t>
  </si>
  <si>
    <t>2015.8.7</t>
  </si>
  <si>
    <t>JXA-128</t>
  </si>
  <si>
    <t>2015.8.10</t>
  </si>
  <si>
    <t>JXA-134W</t>
  </si>
  <si>
    <t>2015.8.11</t>
  </si>
  <si>
    <t>JXA-138W</t>
  </si>
  <si>
    <t>2015.8.25</t>
  </si>
  <si>
    <t>2015.8.27</t>
  </si>
  <si>
    <t>2015.9.24</t>
  </si>
  <si>
    <t>2015.9.25</t>
  </si>
  <si>
    <t>2015.10.17</t>
  </si>
  <si>
    <t>JXA-140W</t>
  </si>
  <si>
    <t>JXA-115</t>
  </si>
  <si>
    <t>2015.10.19</t>
  </si>
  <si>
    <t>2015.11.5</t>
  </si>
  <si>
    <t>JXA-132</t>
  </si>
  <si>
    <t>2015.11.12</t>
  </si>
  <si>
    <t>2015.11.20</t>
  </si>
  <si>
    <t>JXA-116</t>
  </si>
  <si>
    <t>2015.12.1</t>
  </si>
  <si>
    <t>JXA-153w</t>
  </si>
  <si>
    <t>JXA-160w</t>
  </si>
  <si>
    <t>JXA-159w</t>
  </si>
  <si>
    <t>JXA-161w</t>
  </si>
  <si>
    <t>JXA-162w</t>
  </si>
  <si>
    <t>JXA-158w</t>
  </si>
  <si>
    <t>JXA-164w</t>
  </si>
  <si>
    <t>JXA-149</t>
  </si>
  <si>
    <t>JXA-167</t>
  </si>
  <si>
    <t>JXA-168</t>
  </si>
  <si>
    <t>JXA-142</t>
  </si>
  <si>
    <t>JXA-135</t>
  </si>
  <si>
    <t>JXA-124</t>
  </si>
  <si>
    <t>JXA-057</t>
  </si>
  <si>
    <t>JXA-033</t>
  </si>
  <si>
    <t>JXA-147</t>
  </si>
  <si>
    <t>JXA-120</t>
  </si>
  <si>
    <t>JXA-169</t>
  </si>
  <si>
    <t>JXA-136</t>
  </si>
  <si>
    <t xml:space="preserve"> </t>
  </si>
  <si>
    <t>工程合同及拨款统计</t>
  </si>
  <si>
    <t>新编号</t>
  </si>
  <si>
    <t>签定日期</t>
  </si>
  <si>
    <t>费用
类别</t>
  </si>
  <si>
    <t>工程项目</t>
  </si>
  <si>
    <t>合同造价（元）</t>
  </si>
  <si>
    <t>结算造价（元）</t>
  </si>
  <si>
    <t>本月拨款（元）</t>
  </si>
  <si>
    <t>结算合同值</t>
  </si>
  <si>
    <t>签证总额</t>
  </si>
  <si>
    <t>累计拨款（元）</t>
  </si>
  <si>
    <r>
      <rPr>
        <sz val="12"/>
        <rFont val="宋体"/>
        <family val="3"/>
        <charset val="134"/>
      </rPr>
      <t>拨款率</t>
    </r>
    <r>
      <rPr>
        <sz val="12"/>
        <rFont val="Times New Roman"/>
        <family val="1"/>
      </rPr>
      <t xml:space="preserve">   %</t>
    </r>
  </si>
  <si>
    <t>预提款（元）</t>
  </si>
  <si>
    <t>部门</t>
  </si>
  <si>
    <t>付款方式</t>
  </si>
  <si>
    <t>质保</t>
  </si>
  <si>
    <t>未付</t>
  </si>
  <si>
    <t>2013.7.19</t>
  </si>
  <si>
    <t>前核地</t>
  </si>
  <si>
    <t>南郡蓝山核定用地图合同</t>
  </si>
  <si>
    <t>天津市蓟县测绘队</t>
  </si>
  <si>
    <t>工程部</t>
  </si>
  <si>
    <t>取得测绘成果后一次性付清合同款</t>
  </si>
  <si>
    <t>前勘绘</t>
  </si>
  <si>
    <t>天津蓟县项目地形图测绘合同</t>
  </si>
  <si>
    <t>签订起3日内支付全部合同款</t>
  </si>
  <si>
    <t>2013.8.9</t>
  </si>
  <si>
    <t>前勘勘</t>
  </si>
  <si>
    <t>初勘合同</t>
  </si>
  <si>
    <t>天津市勘察院</t>
  </si>
  <si>
    <t>乙方提交正式勘察成果资料后并办理完结算手续10天内，发包人应一次性付清结算价款</t>
  </si>
  <si>
    <t>2013.8.19</t>
  </si>
  <si>
    <t>前设设</t>
  </si>
  <si>
    <t>建筑方案及施工图设计合同</t>
  </si>
  <si>
    <t>北京新纪元建筑工程设计有限公司</t>
  </si>
  <si>
    <t>1)合同签订生效后七个工作日内，甲方向乙方支付总设计费用的15%作为定金；
2)乙方向甲方提交规划方案设计成果且甲方确认后七个工作日内，甲方向乙方支付设计费为总设
  计费用的15%;
3)乙方配合甲方完成修建性详细规划报审工作并取得《修建性详细规划审定通知书》后七个工作
  日内，甲方向乙方支付设计费为总设计费用的5%;
4)乙方向甲方提交建筑单体方案设计成果且甲方确认后七个工作日内，甲方向乙方支付设计费为
  总设计费用的15%;
5)乙方配合甲方完成建筑单体方案设计报审工作并取得《建设工程设计方案审定通知书》后七个
  工作日内，甲方向乙方支付设计费为总设计费用的5%;
6)乙方向甲方提交建筑单体方案深化设计成果且甲方确认后七个工作日内，甲方向乙方支付设计
  费为总设计费用的5%;
7)乙方配合甲方完成报建工作并取得《建设工程规划许可证》后七个工作日内，甲方向乙方支付
  设计费为总设计费用的5%;
8)乙方完成全部施工图，经甲方专业设计师审核无问题后，甲方向乙方支付设计费为总设计费用
  的10%;
9)施工图通过各专业主管部门外审部门审查合格后，甲方向乙方支付设计费为总设计费用的10%;
10)结构主体封顶，甲方向乙方支付设计费为总设计费用的5%;
11)工程竣工验收合格后，甲方向乙方付清余款。
    注：甲方向乙方支付款项时，乙方须向甲方提供符合天津市税务部门要求的正式等额发票，
    否则甲方有权拒付款项，且不属于甲方违约</t>
  </si>
  <si>
    <t>土土</t>
  </si>
  <si>
    <t>天津市国有建设用地使用权出让合同</t>
  </si>
  <si>
    <t>天津市国土资源和房屋管理局蓟县国土资源分局</t>
  </si>
  <si>
    <t>开发部</t>
  </si>
  <si>
    <t>合同签订之日起30日内，缴付不低于50%土地出让款。合同签订之日起90日内，缴齐全部土地出让金</t>
  </si>
  <si>
    <t>2013.10.23</t>
  </si>
  <si>
    <t>土交</t>
  </si>
  <si>
    <t>代理代办费（蓟县国土收取）</t>
  </si>
  <si>
    <t>一次性</t>
  </si>
  <si>
    <t>土其</t>
  </si>
  <si>
    <t>国有土地使用权登记费</t>
  </si>
  <si>
    <t>天津市蓟县地籍管理中心</t>
  </si>
  <si>
    <t>土地交易代理代办费</t>
  </si>
  <si>
    <t>天津市土地交易中心</t>
  </si>
  <si>
    <t>土地交易手续费</t>
  </si>
  <si>
    <t>土拍</t>
  </si>
  <si>
    <t>土地拍卖佣金（蓟县063号）</t>
  </si>
  <si>
    <t>宁波富地企业管理咨询服务有限公司</t>
  </si>
  <si>
    <t>2013.11.14</t>
  </si>
  <si>
    <t>管线实测费（买图）</t>
  </si>
  <si>
    <t>天津市蓟县地下空间规划信息中心</t>
  </si>
  <si>
    <t>2013.11.20</t>
  </si>
  <si>
    <t>管线实测费</t>
  </si>
  <si>
    <t>2013.11.27</t>
  </si>
  <si>
    <t>建环内</t>
  </si>
  <si>
    <t>蓟县苗木采购与种植养护工程施工合同</t>
  </si>
  <si>
    <t>天津市静海县泽森苗圃</t>
  </si>
  <si>
    <t xml:space="preserve">3.1 本工程采用固定单价包干，固定综合单价见附件一《天津蓟县苗木工程报价表》，不再调整。
3.1.1  签订合同后，截止到2014年2月28日之前，若甲方实际采购数量有变动，乙方需无偿按附件一中固定单价提供苗木给甲方。
3.1.2  若因甲方原因实际从基地移栽到项目现场的苗木数量发生减少， 则此批苗木由甲方自行处理。
3.1.3  若部分苗木在基地内的养殖周期未达到合同规定的2年时间时，甲方支付当年养管费时会按月扣减未实施养管月份的费用，月度扣减费用按附件一中2年总报价平均均摊到月度的方式计算。
3.1.4  若部分苗木在养殖苗圃内的养殖周期超过合同规定的2年时间时，超出时间的养殖费用待工程结算时甲方支付给乙方，计算原则按附件一中2年总报价平均均摊到月度，再核算超出的月份数量计算。
3.1.5 工程结算时，乙方需提供苗木批次采购、移栽、养管情况统计等文件签收依据，相关管理部门检测合格依据，水费用结清单，甲方签字确认的工程竣工验收单等甲方需乙方提供的全部结算资料后，并配合甲方到现场清点实际苗木，确认成活率后，方可启动结算手续，并按附件中的固定单价计算本工程结算总价款。
</t>
  </si>
  <si>
    <t>履约保函</t>
  </si>
  <si>
    <t>2014.3.10</t>
  </si>
  <si>
    <t>前设图</t>
  </si>
  <si>
    <t>图纸打印</t>
  </si>
  <si>
    <t>王为</t>
  </si>
  <si>
    <t>2013.12.3</t>
  </si>
  <si>
    <t>前标咨</t>
  </si>
  <si>
    <t>（一、三期）造价咨询合同</t>
  </si>
  <si>
    <t>天津中天华建工程咨询有限公司</t>
  </si>
  <si>
    <t>成本部</t>
  </si>
  <si>
    <t xml:space="preserve">1、咨询费的支付以单个楼座为单位，下条中的“咨询费”均指乙方所咨询的栋号相应的咨询费。
2、乙方提供预算书及清单标底标的文件并经甲方抽验合格确认无误并与施工单位核对完毕，提供双方认定的成果文件后15日内支付至咨询费的50％；工程竣工后，乙方递交所有第三方的工程最终结算书，经双方盖章确认后30日内，付至咨询费的90%；咨询结果提供后6个月后15日内，不出现任何争议支付至咨询费的100％。 
3、乙方应在甲方付每笔咨询费前，提供等额合法有效发票。如未能提供，甲方有权扣留其咨询费直至乙方开具等额的有效发票。
4、咨询费采用转账支票支付。
</t>
  </si>
  <si>
    <t>2013.1.21</t>
  </si>
  <si>
    <t>前临土</t>
  </si>
  <si>
    <t>场地平整</t>
  </si>
  <si>
    <t>天津市蓟县振东建筑有限责任公司</t>
  </si>
  <si>
    <t>土契</t>
  </si>
  <si>
    <t>土地契税</t>
  </si>
  <si>
    <t>蓟县国土资源分局</t>
  </si>
  <si>
    <t>财务部</t>
  </si>
  <si>
    <r>
      <rPr>
        <sz val="10"/>
        <rFont val="宋体"/>
        <family val="3"/>
        <charset val="134"/>
      </rPr>
      <t>2013.2.26</t>
    </r>
  </si>
  <si>
    <t>前其他</t>
  </si>
  <si>
    <t>模型制作合同</t>
  </si>
  <si>
    <t>北京恩思轩宇模型科技有限公司</t>
  </si>
  <si>
    <t>研发部</t>
  </si>
  <si>
    <r>
      <rPr>
        <sz val="10"/>
        <rFont val="宋体"/>
        <family val="3"/>
        <charset val="134"/>
      </rPr>
      <t>2013.11.27</t>
    </r>
  </si>
  <si>
    <t>技术服务费《2014年造价信息参考》</t>
  </si>
  <si>
    <t>天津市建设工程造价信息中心</t>
  </si>
  <si>
    <t>运营部</t>
  </si>
  <si>
    <r>
      <rPr>
        <sz val="10"/>
        <rFont val="宋体"/>
        <family val="3"/>
        <charset val="134"/>
      </rPr>
      <t>2013.11.28</t>
    </r>
  </si>
  <si>
    <t>技术咨询费《2014年工程造价信息》</t>
  </si>
  <si>
    <t>天津市建设工程造价和招标管理协会</t>
  </si>
  <si>
    <r>
      <rPr>
        <sz val="10"/>
        <rFont val="宋体"/>
        <family val="3"/>
        <charset val="134"/>
      </rPr>
      <t>2013.11.29</t>
    </r>
  </si>
  <si>
    <t>彩色打印效果图39张</t>
  </si>
  <si>
    <t>天津市蓟县东方打印室</t>
  </si>
  <si>
    <t>销售部</t>
  </si>
  <si>
    <r>
      <rPr>
        <sz val="10"/>
        <rFont val="宋体"/>
        <family val="3"/>
        <charset val="134"/>
      </rPr>
      <t>2013.11.30</t>
    </r>
  </si>
  <si>
    <t>天津富多彩数码快印有限公司</t>
  </si>
  <si>
    <t>2014.3.14</t>
  </si>
  <si>
    <t>前临障</t>
  </si>
  <si>
    <t>柿子树补偿协议书</t>
  </si>
  <si>
    <t>渔阳镇七里峰村民委员会</t>
  </si>
  <si>
    <t>2015.1.6</t>
  </si>
  <si>
    <t>苗木增补协议</t>
  </si>
  <si>
    <t>JXA-025W</t>
  </si>
  <si>
    <t>前道口</t>
  </si>
  <si>
    <t>南侧道路开口</t>
  </si>
  <si>
    <t>天津市蓟县公路路政支队</t>
  </si>
  <si>
    <t>JXA-026W</t>
  </si>
  <si>
    <t>西侧道路开口</t>
  </si>
  <si>
    <t>一期在建工程评估费</t>
  </si>
  <si>
    <t>天津杰诺德房地产价格评估咨询有限公司</t>
  </si>
  <si>
    <t>图纸复印费</t>
  </si>
  <si>
    <t>天津市宝坻区汇彩打字复印服务中心</t>
  </si>
  <si>
    <t>不可预见</t>
  </si>
  <si>
    <t>专家论证费</t>
  </si>
  <si>
    <t>天津忆江南企业管理咨询服务有限公司</t>
  </si>
  <si>
    <t>图纸打印费</t>
  </si>
  <si>
    <t>天津市蓟县张雷办公用品商店</t>
  </si>
  <si>
    <r>
      <rPr>
        <sz val="10"/>
        <rFont val="宋体"/>
        <family val="3"/>
        <charset val="134"/>
      </rPr>
      <t>201</t>
    </r>
    <r>
      <rPr>
        <sz val="10"/>
        <rFont val="宋体"/>
        <family val="3"/>
        <charset val="134"/>
      </rPr>
      <t>5</t>
    </r>
    <r>
      <rPr>
        <sz val="10"/>
        <rFont val="宋体"/>
        <family val="3"/>
        <charset val="134"/>
      </rPr>
      <t>.1.9</t>
    </r>
  </si>
  <si>
    <t>一期工程在建工程（15个楼）房屋所有权登记费</t>
  </si>
  <si>
    <t>天津市财政局</t>
  </si>
  <si>
    <t>账务部</t>
  </si>
  <si>
    <t>蓟县在建工程保费</t>
  </si>
  <si>
    <t>太平财产保险有限公司天津分公司</t>
  </si>
  <si>
    <t>2015.12.28</t>
  </si>
  <si>
    <t>建安</t>
  </si>
  <si>
    <t>维修改建工程（集团办公室精装）</t>
  </si>
  <si>
    <t>天津市锦适名研装饰设计有限公司</t>
  </si>
  <si>
    <t>2014.4.20</t>
  </si>
  <si>
    <t>建设工程勘察合同(详勘）</t>
  </si>
  <si>
    <t>天津华北工程勘察设计有限公司</t>
  </si>
  <si>
    <t>勘察人出具中间勘察成果报告且勘察人提供相应金额的合规发票后支付至合同价款的30%；提交完整勘察成果报告后三个月内，或在此期间经市建委审图部门审查合格后且勘察人提供相应金额的合规发票后支付至合同价款的70%；提交完整勘察成果报告后二年内，或在此期间内地基工程全部验收合格且勘察人提供至结算价全额的合规发票后支付至结算价的100%，其中地基工程验收分为三期，每期支付合同价款的10%。如勘察人不及时提供发票，则发包人有权拒付或顺延付款时间。勘察人需配合发包人进行竣工验收备案手续的相关工作。</t>
  </si>
  <si>
    <t>2014.4.23</t>
  </si>
  <si>
    <t>建环外</t>
  </si>
  <si>
    <t>挡土墙施工合同（西侧、南侧）</t>
  </si>
  <si>
    <t xml:space="preserve">（1） 砖挡土墙施工完成后，待甲方验收合格后30日内支付已完成工程的合同价款的70%  。                                                
（2）施工完成钢筋砼挡土墙墙长300m后，待甲方验收合格后30日内支付已完成工程的合同价款的70%  。                                                               
（3） 工程全部完工后，待甲方验收合格后30日内支付至已完成工程的合同价款的70%  。                                                                                                                                                  
（4） 工程验收合格，乙方办理完工程交接手续及竣工资料移交手续，乙方向甲方递交合格竣工结算报告及完整的结算资料，结算资料必须符合甲方审核要求，工程结算完成后45日内支付至结算价款的95%  。                                                                                                             
（5）质保期满两年后30日内支付结算总价的5%，（本金不计息）。
</t>
  </si>
  <si>
    <t>2014.4.</t>
  </si>
  <si>
    <t>前设其</t>
  </si>
  <si>
    <t>地库及人防设计合同</t>
  </si>
  <si>
    <t>天津冶金规划设计院</t>
  </si>
  <si>
    <t xml:space="preserve">8.1本协议生效后一周内，委托方支付设计费总额的30％作为定金（协议结算时，定金抵作设计费）。8.2完成初步设计文件并经过人防审图审批通过时，支付设计费的20%；8.3取得施工图时，支付设计费的总额的40%；取得人防验收合格后，支付设计费总额的10%。
</t>
  </si>
  <si>
    <t>2014.4.18</t>
  </si>
  <si>
    <t>前设景</t>
  </si>
  <si>
    <t>景观设计合同</t>
  </si>
  <si>
    <t>天津宏石筑景景观设计有限公司（更名为：砂樘（天津）城市设计有限公司）</t>
  </si>
  <si>
    <t>1、定金20% 2、概念设计10% 3、方案设计15% 4、扩初设计初稿20% 5、扩初设计终稿15% 6、施工图设计10% 7、尾款10%。</t>
  </si>
  <si>
    <t>2014.5.19</t>
  </si>
  <si>
    <t>公告展示牌（报修详）</t>
  </si>
  <si>
    <t>前期部</t>
  </si>
  <si>
    <t>2014.5.21</t>
  </si>
  <si>
    <t>前临围</t>
  </si>
  <si>
    <t>博御园临时围墙工程</t>
  </si>
  <si>
    <t>天津宏鑫鼎泰建筑工程有限公司</t>
  </si>
  <si>
    <t xml:space="preserve">工程全部完工并验收合格后15日内支付至合同价款的80%，，结算完成后十五日内付至结算额95%，余款质保期满后15日内付清，本金不计利息。本工程质量保修期为两年。
工程款的支付：甲方将以支票的方式支付，甲方支付以上款项时，乙方须先提供工程所在地区有效的等额发票，如不提供，甲方有权顺延付款。甲、乙双方办妥结算手续后，甲方支付除保修金外的最后一笔结算款同时，乙方向甲方提供的发票金额应当包含保修金金额。
</t>
  </si>
  <si>
    <t>2014.5.26</t>
  </si>
  <si>
    <t>基电工</t>
  </si>
  <si>
    <t>一期电力配套费</t>
  </si>
  <si>
    <t>天津市电力公司蓟县分公司</t>
  </si>
  <si>
    <t>2014.4.28</t>
  </si>
  <si>
    <t>前标代</t>
  </si>
  <si>
    <t>招投标代理（设计、勘察、工程、监理）</t>
  </si>
  <si>
    <t>天津建安建设项目管理有限公司</t>
  </si>
  <si>
    <t xml:space="preserve">招标代理合同签署后，七日内支付招标代理服务费的30%，勘察、设计、监理招标手续完成后支付招标代理服务费的40%，施工招标分三个阶段，完成施工招标第一阶段支付招标代理服务费的10% ；完成施工招标第二阶段支付招标代理服务费的10%；完成施工招标第三阶段支付招标代理服务费的10% </t>
  </si>
  <si>
    <t>前能评</t>
  </si>
  <si>
    <t>固定资产投资项目合理用能评估合同（能评）</t>
  </si>
  <si>
    <t>天津天发源环境保护事务代理中心有限公司</t>
  </si>
  <si>
    <t xml:space="preserve">（1）  签订本合同后，开始出具报告五个工作日内，支付60%咨询费，共计大写：人民币陆万叁仟元整（￥63000.00元）。 
（2）节能评估文件通过当地相关主管部门审批，取得关于本项目的能评批复后5个工作日内，支付40%咨询费，计大写：人民币肆万贰仟元整（￥42000.00元）。 
</t>
  </si>
  <si>
    <t>前环评</t>
  </si>
  <si>
    <t>技术咨询合同(环评）</t>
  </si>
  <si>
    <t>天津市环境保护科学研究院</t>
  </si>
  <si>
    <t xml:space="preserve">（1）本项目取得天津市环境工程评估中心技术评估意见后3个工作日内甲方支付报酬总额80%，即大写：人民币壹拾叁万贰仟元整（￥132000.00元整）；
（2）取得当地环境行政主管部门关于本项目的环境批复后3个工作日内甲方支付报酬总额的20%，即大写：人民币叁万叁仟元整（￥33000.00元整）；
</t>
  </si>
  <si>
    <t>2014.5.4</t>
  </si>
  <si>
    <t>拨地定桩（红线测绘）</t>
  </si>
  <si>
    <t>一期电力配套费（泵房、供热站动力负荷）</t>
  </si>
  <si>
    <t>2014.6.11</t>
  </si>
  <si>
    <t>前临电</t>
  </si>
  <si>
    <t>临时电设计费</t>
  </si>
  <si>
    <t>天津市龙宇电力工程设计有限公司</t>
  </si>
  <si>
    <t>发包人取活时及提交文件时一次性付清所有设计费用不留尾款。</t>
  </si>
  <si>
    <t>2014.6.</t>
  </si>
  <si>
    <t>建监</t>
  </si>
  <si>
    <t>监理工程</t>
  </si>
  <si>
    <t>天津市环外监理有限公司</t>
  </si>
  <si>
    <t>1、工程正式开工且监理已开展工作30天后付5% 2、地基备案验收合格后付15% 3、基础备案完付15% 4、主体备案完付30% 5、通过工程竣工验收合格后付10% 6、整理完成全部备案资料并督促施工单位整理备案资料，备案完成后付10% 7景观工程完成且验收合格后付8% 8、配套工程完毕组织业主进住完成付2% 9、余款5%待工程保修期满后10内付清</t>
  </si>
  <si>
    <t>彩钢临时围挡</t>
  </si>
  <si>
    <t xml:space="preserve">工程全部完工并验收合格后15日内支付合同价款的100% </t>
  </si>
  <si>
    <t>地下障碍物拆除</t>
  </si>
  <si>
    <t>天津渔阳建工集团机械施工有限公司</t>
  </si>
  <si>
    <t>工程全部完工并验收合格后15日内支付合同价款的100% 。</t>
  </si>
  <si>
    <t>2014.6.16</t>
  </si>
  <si>
    <t>临电工程费</t>
  </si>
  <si>
    <t>天津市信弘德电力工程有限公司蓟县分公司</t>
  </si>
  <si>
    <t>1、合同签订3日内付90% 2、余款验收合格并送电后一周内付清</t>
  </si>
  <si>
    <t>前标服</t>
  </si>
  <si>
    <t>勘察、设计交易服务费（全项目）</t>
  </si>
  <si>
    <t>天津市工程建设交易服务中心</t>
  </si>
  <si>
    <t>挡土墙施工合同（重签）</t>
  </si>
  <si>
    <t>天津市蓟县宏拓建筑有限公司</t>
  </si>
  <si>
    <t>6.1西侧挡墙（含级配砂石）：总价共计￥588486元。
（1）西侧挡墙施工完成后，待甲方验收合格后30日内支付已完成工程的剩余工程款（即支付：￥38896.5元）。（截止2014.12.24已就已完工程支付“天津市蓟县振东建筑有限责任公司”工程款1243479元，本次支付为剩余工程款）。
（2）工程验收合格，乙方办理完工程交接手续及竣工资料移交手续，乙方向甲方递交合格竣工结算报告及完整的结算资料，结算资料必须符合甲方审核要求，工程结算完成后45日内支付至结算价款的95%（即支付：￥457991.25元）。
（3）质保期满两年后30日内支付结算总价的5%（即支付：￥91598.25元），（本金不计息）。
6.2南侧挡墙：总价共计￥2550000元
（1）南侧挡墙施工完成后，待甲方验收合格后30日内支付已完成工程的合同价款的70%（即支付：￥1785000元）。
（2）工程验收合格，乙方办理完工程交接手续及竣工资料移交手续，乙方向甲方递交合格竣工结算报告及完整的结算资料，结算资料必须符合甲方审核要求，工程结算完成后45日内支付至结算价款的95%（即支付：￥637500元）。
（3）质保期满两年后30日内支付结算总价的5%（即支付：￥127500元），（本金不计息）。</t>
  </si>
  <si>
    <t>2014.6.27</t>
  </si>
  <si>
    <t>负荷管理装置费、外部供电工程费</t>
  </si>
  <si>
    <t>天津市电力分公司蓟县分公司</t>
  </si>
  <si>
    <t>公路占路费</t>
  </si>
  <si>
    <t>天津市蓟县路政支队</t>
  </si>
  <si>
    <t>JXA-056</t>
  </si>
  <si>
    <t>2015.12.4</t>
  </si>
  <si>
    <t>变压器移位（一台）</t>
  </si>
  <si>
    <t>天津市聚鑫达建设工程有限公司</t>
  </si>
  <si>
    <t>合同签定后一次性付清</t>
  </si>
  <si>
    <t>2015.12.11</t>
  </si>
  <si>
    <t>建主建</t>
  </si>
  <si>
    <t>清运拉圾（三期）</t>
  </si>
  <si>
    <t>完工后一个月内付至总价的90%，打桩单位进场，现场满足打村庄要求后一个月内付清余款。</t>
  </si>
  <si>
    <t>蓟县土地评估费</t>
  </si>
  <si>
    <t>一次性付款</t>
  </si>
  <si>
    <t>JXA-059</t>
  </si>
  <si>
    <t>装表临时用电高压供电合同</t>
  </si>
  <si>
    <t>国网天津市电力公司蓟县供电分公司</t>
  </si>
  <si>
    <t>抄表日为每月19日，每月25日前 缴纳电费</t>
  </si>
  <si>
    <t>建定测</t>
  </si>
  <si>
    <t>建筑物放线（一期楼座测绘）</t>
  </si>
  <si>
    <t>基电箱</t>
  </si>
  <si>
    <t>配电站电力设计费</t>
  </si>
  <si>
    <t>天津市龙宇达电力工程设计有限公司</t>
  </si>
  <si>
    <t>公配小</t>
  </si>
  <si>
    <t>小配套费（一期）</t>
  </si>
  <si>
    <t>蓟县建设管理委员会</t>
  </si>
  <si>
    <t>前墙</t>
  </si>
  <si>
    <t>墙改费（一期）</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</si>
  <si>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6</t>
    </r>
  </si>
  <si>
    <t>二期放线、检线报告</t>
  </si>
  <si>
    <t>前人建</t>
  </si>
  <si>
    <t>人防易地建设费</t>
  </si>
  <si>
    <t>蓟县人民政府人民防空办公室</t>
  </si>
  <si>
    <t>前人档</t>
  </si>
  <si>
    <t>人防工程资料编制费</t>
  </si>
  <si>
    <t>天津市人防工程建设管理站</t>
  </si>
  <si>
    <t>前地</t>
  </si>
  <si>
    <t>地名标志费及地名公告费</t>
  </si>
  <si>
    <t>蓟县规划局</t>
  </si>
  <si>
    <t>前设审</t>
  </si>
  <si>
    <t>博御园施工图审查（一期）</t>
  </si>
  <si>
    <t>天津华苑建筑工程咨询有限公司</t>
  </si>
  <si>
    <t>2015.3.03</t>
  </si>
  <si>
    <t>一期施工图审查变更补充协议</t>
  </si>
  <si>
    <t>2015.3.27</t>
  </si>
  <si>
    <t>一期施工图审查（中部地下室变更）</t>
  </si>
  <si>
    <t>2015.7.6</t>
  </si>
  <si>
    <t>一期施工图审查（1.2.3.23#变更）</t>
  </si>
  <si>
    <t>基热工</t>
  </si>
  <si>
    <t>供热配套合同（工程建设费）</t>
  </si>
  <si>
    <t>天津市蓟县供热服务中心</t>
  </si>
  <si>
    <r>
      <rPr>
        <sz val="10"/>
        <rFont val="Times New Roman"/>
        <family val="1"/>
      </rPr>
      <t>JXA-069</t>
    </r>
    <r>
      <rPr>
        <sz val="10"/>
        <rFont val="宋体"/>
        <family val="3"/>
        <charset val="134"/>
      </rPr>
      <t>（</t>
    </r>
    <r>
      <rPr>
        <sz val="10"/>
        <rFont val="Times New Roman"/>
        <family val="1"/>
      </rPr>
      <t>2</t>
    </r>
    <r>
      <rPr>
        <sz val="10"/>
        <rFont val="宋体"/>
        <family val="3"/>
        <charset val="134"/>
      </rPr>
      <t>）</t>
    </r>
  </si>
  <si>
    <t>基热表</t>
  </si>
  <si>
    <t>供热配套合同（热计量装配费）</t>
  </si>
  <si>
    <t>2014.8.5</t>
  </si>
  <si>
    <t>基热内</t>
  </si>
  <si>
    <t>供用热协议书（二次管网）</t>
  </si>
  <si>
    <t>蓟县鑫泰物业管理有限公司</t>
  </si>
  <si>
    <t>2014.10.29</t>
  </si>
  <si>
    <t>基水用</t>
  </si>
  <si>
    <t>用水报告书技术服务合同</t>
  </si>
  <si>
    <t>天津市润野水资源开发技术咨询有限公司</t>
  </si>
  <si>
    <t>基水保</t>
  </si>
  <si>
    <t>水土保持方案报告书技术服务合同</t>
  </si>
  <si>
    <t>天津市蓟县水土保持技术咨询服务站</t>
  </si>
  <si>
    <t>建基</t>
  </si>
  <si>
    <t>示范区强夯工程合同</t>
  </si>
  <si>
    <t>天津华勘集团有限公司</t>
  </si>
  <si>
    <t xml:space="preserve">1  工程完工50％时甲方向乙方付总工程款的25％；
2  全部工程完工经验收合格后甲方向乙方付至总工程款的75％；
3  地基验收合格检测报告出具后，甲方向乙方付清结算工程款的95％：
4  留结算工程款的5％为工程质量保证金，竣工验收满一年后无息返还。
5  若乙方在施工中使用甲方水、电等费用，从工程款中扣除。
</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</si>
  <si>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5</t>
    </r>
  </si>
  <si>
    <t>一期强夯工程补充合同</t>
  </si>
  <si>
    <t>基水地</t>
  </si>
  <si>
    <t>地下水资源费</t>
  </si>
  <si>
    <t>天津市蓟县节约用水事务管理中心</t>
  </si>
  <si>
    <t>基水补</t>
  </si>
  <si>
    <t>水土保持设施补偿费</t>
  </si>
  <si>
    <t>天津市蓟县水土保持检查监督站</t>
  </si>
  <si>
    <t>2014.8.4</t>
  </si>
  <si>
    <t>前环</t>
  </si>
  <si>
    <t>环境报告评估合同</t>
  </si>
  <si>
    <t>天津市环境工程评估中心</t>
  </si>
  <si>
    <t>前标担</t>
  </si>
  <si>
    <t>支付委托保证合同（一期）</t>
  </si>
  <si>
    <t>天津融诚挚信投资担保有限公司</t>
  </si>
  <si>
    <t>2014.8.9</t>
  </si>
  <si>
    <t>前泥</t>
  </si>
  <si>
    <t>水泥基金（一期）</t>
  </si>
  <si>
    <t>2014.8.11</t>
  </si>
  <si>
    <t>土配</t>
  </si>
  <si>
    <t>大配套费（一期）</t>
  </si>
  <si>
    <t>2014.9.3</t>
  </si>
  <si>
    <t>基气源</t>
  </si>
  <si>
    <t>气源发展费（一期）(蓟县另收）</t>
  </si>
  <si>
    <t>建设工程交易服务费（一期）</t>
  </si>
  <si>
    <t>工程监理交易服务费（全项目）</t>
  </si>
  <si>
    <t>JXA-083W</t>
  </si>
  <si>
    <t>物业招标服务费（全项目）</t>
  </si>
  <si>
    <t>天津市物业管理招标服务中心</t>
  </si>
  <si>
    <t>前临水</t>
  </si>
  <si>
    <t>临时水施工费</t>
  </si>
  <si>
    <t>蓟县自来水管理所</t>
  </si>
  <si>
    <t>前稳</t>
  </si>
  <si>
    <t>一标段稳定保证金（一期）</t>
  </si>
  <si>
    <t>前</t>
  </si>
  <si>
    <t>农民工资预储工资</t>
  </si>
  <si>
    <t>文明施工措施费</t>
  </si>
  <si>
    <t>前设网</t>
  </si>
  <si>
    <t>蓟县项目综合管网设计合同（方案）</t>
  </si>
  <si>
    <t>天津华厦建筑设计有限公司</t>
  </si>
  <si>
    <t>建安设备交易服务费（一期）蓟县收取</t>
  </si>
  <si>
    <t>2014.8.19</t>
  </si>
  <si>
    <t>区内外挡土墙及边坡支护设计合同</t>
  </si>
  <si>
    <t>JXA-091</t>
  </si>
  <si>
    <t>2014.12.11</t>
  </si>
  <si>
    <t>智能化设计合同</t>
  </si>
  <si>
    <t>天津北方金誉科技发展有限公司</t>
  </si>
  <si>
    <t>设计人提交设计文件并通过后15天内，支付100%设计费。</t>
  </si>
  <si>
    <t>2014.9.18</t>
  </si>
  <si>
    <t>临水施工占路及修复费</t>
  </si>
  <si>
    <t>JXA-093</t>
  </si>
  <si>
    <t>2014.8.28</t>
  </si>
  <si>
    <t>一期工程强夯检测（一期）</t>
  </si>
  <si>
    <t>天津市津海岩土工程有限责任公司</t>
  </si>
  <si>
    <t>全部成果报告提交后一周内一次性付清。</t>
  </si>
  <si>
    <t>临时用水水费（一期）</t>
  </si>
  <si>
    <t>2014.9.23</t>
  </si>
  <si>
    <t>前面</t>
  </si>
  <si>
    <t>前置面积测量（一期）</t>
  </si>
  <si>
    <t>天津市国土资源测绘和房屋测量中心</t>
  </si>
  <si>
    <t>领取前置测量测绘成果前需一次性付清</t>
  </si>
  <si>
    <t>2014.9.19</t>
  </si>
  <si>
    <t>前设</t>
  </si>
  <si>
    <t>售楼处样板间精装设计合同</t>
  </si>
  <si>
    <t>北京米罗那装饰设计有限公司</t>
  </si>
  <si>
    <t>2014.11.5</t>
  </si>
  <si>
    <t>综合管网（给水、中水、雨水、污水配套工程设计）（施工图）</t>
  </si>
  <si>
    <t>天津华夏建筑设计有限公司</t>
  </si>
  <si>
    <t>（1）出图后7日内支付设计费的80%；（2）各专业管线施工完成，验收后7日内支付设计费的20%。</t>
  </si>
  <si>
    <t>建主</t>
  </si>
  <si>
    <t>一期配电箱采购合同（含电表箱）</t>
  </si>
  <si>
    <t>天津市隆裕电器有限公司</t>
  </si>
  <si>
    <t>合同签订后5天内丙方提供合同额20%的履约保函（银行保函或企业保函），甲方收到丙方履约保函15天内付合同金额的20％作为预付款；货运至现场，经甲方及监理单位验收合格后，拨付合同价款（按每批实际供货数量计算）的50％；待全部工程竣工验收合格后支付至合同总价款的80%，完成结算后15天内，拨付至结算价款的95％；余款在设备投入正式使用贰年后的一个月内结清。</t>
  </si>
  <si>
    <t>JXA-099</t>
  </si>
  <si>
    <t>2014.12.1</t>
  </si>
  <si>
    <t>建沉</t>
  </si>
  <si>
    <t>沉降观测合同</t>
  </si>
  <si>
    <t>天津市房屋质量安全鉴定检测中心</t>
  </si>
  <si>
    <t xml:space="preserve"> 乙方一期（56540.62m2）全部工程布点完毕后，甲方支付一期对应监测费的50%，即22616.2元；提供一期建筑物沉降监测技术总结报告后付清一期监测费余款，即22616.2元；乙方二、三期（47338.17m2）全部工程布点完毕后，甲方支付二、三期对应监测费的50%，即18935.3元；提供二、三期建筑物沉降监测技术总结报告后付清二、三期对应监测费余款，即18935.3元。</t>
  </si>
  <si>
    <t>物业招投标代理合同</t>
  </si>
  <si>
    <t>天津市晓波房地产物业管理有限公司</t>
  </si>
  <si>
    <t xml:space="preserve">第一期：甲方在签订本协议后七个工作日内向乙方支付费用70000 元（大写： 柒万元整 ）；
第二期：甲方招投标完毕并确定中标人且乙方向甲方移交全部相关资料后(中标通知书)，甲方向乙方支付费用70000 元（大写：柒万元整  ）； 
</t>
  </si>
  <si>
    <r>
      <rPr>
        <sz val="10"/>
        <rFont val="宋体"/>
        <family val="3"/>
        <charset val="134"/>
      </rPr>
      <t>201</t>
    </r>
    <r>
      <rPr>
        <sz val="10"/>
        <rFont val="宋体"/>
        <family val="3"/>
        <charset val="134"/>
      </rPr>
      <t>5</t>
    </r>
    <r>
      <rPr>
        <sz val="10"/>
        <rFont val="宋体"/>
        <family val="3"/>
        <charset val="134"/>
      </rPr>
      <t>.1.</t>
    </r>
    <r>
      <rPr>
        <sz val="10"/>
        <rFont val="宋体"/>
        <family val="3"/>
        <charset val="134"/>
      </rPr>
      <t>7</t>
    </r>
  </si>
  <si>
    <t>界外地景观</t>
  </si>
  <si>
    <t>天津兰苑绿化工程有限公司</t>
  </si>
  <si>
    <t xml:space="preserve">1.2014年12月底前支付已完工程总产值的70%；
2.2015年开始按月支付各月已完产值的70%；
3.所有变更、签证不在产值付款中考虑；
4.工程移交资料，现场整理完毕、清理干净经甲方验收合格、甲丙双方结算完成、签订工程竣工结算文件并与甲方签订尾保和养管协议书后付至结算价款的90%；
5.质保、养护期满一年后15日，由甲方出具确认配合无误证明后15日内付至总款的95%；
6.工程质保及苗木养护期满（均为两年）后15日后无任何质量问题付清余款。
7.质保期自工程竣工验收合格、资料交齐之日起算。
</t>
  </si>
  <si>
    <t>总包一期工程</t>
  </si>
  <si>
    <t>天津泉州建设工程集团有限公司</t>
  </si>
  <si>
    <t>一期断桥铝合金门窗安装</t>
  </si>
  <si>
    <t>天津江胜建筑工程有限公司</t>
  </si>
  <si>
    <t>A、第一标段（25#--42#及附属用房楼）：面积共计：3680.4㎡，合同总额为人民币：  ￥2774581元整（大写：贰佰柒拾柒万肆仟伍佰捌拾壹元整），付款如下：
1. 签订合同后14工作日，甲方向乙方支付本标段合同价款10％，人民币277458元（大写：贰拾柒万柒仟肆佰伍拾捌元整）作为预付款，同时乙方向甲方提供等额的预付款保函（企业保函）。
2. 门窗框扇安装完成50%，经甲方及监理单位验收合格后，拨付该标段合同价款的20％，人民币554916元（大写：伍拾伍万肆仟玖佰壹拾陆元整）给乙方；
3. 门窗框扇安装完成，打胶封口完毕后，经甲方及监理单位验收合格后，拨付该标段合同价款的45％，人民币1248561元（大写：壹佰贰拾肆万捌仟伍佰陆拾壹元整）给乙方；
4. 总包整体竣工验收合格后7日内，拨付该标段合同价款的5%，人民币138729元（大写：壹拾叁万捌仟柒佰贰拾玖元整）给乙方；
5. 工程全部验收合格且按土建洞口尺寸结算完成后14天内，拨付至结算价款的95％；
6. 余款在工程整体竣工一年后视工程保修情况结清。
B、第二标段（12#--24#楼）：面积共计：3250.5㎡，合同总额为人民币：￥2450488元整（大写：贰佰肆拾伍万零肆佰捌拾捌元整），付款如下：
1. 进场前30日甲方向乙方发放生产通知单，乙方接到通知单后开始生产，甲方向乙方支付本标段合同价款10％，人民币245049元（大写：贰拾肆万伍仟零肆拾玖元整）作为预付款。
2. 门窗框扇安装完成50%，经甲方及监理单位验收合格后，拨付该标段合同价款的20％，人民币490098元（大写：肆拾玖万零玖拾捌元整）25％给乙方；
3. 门窗框扇安装完成，打胶完毕后，经甲方及监理单位验收合格后，拨付该标段合同价款的45％，人民币1102720元（大写：壹佰壹拾万零贰仟柒佰贰拾元整）给乙方；
4. 总包整体竣工验收合格后7日内，拨付该标段合同价款的5%，人民币122524元（大写：壹拾贰万贰仟伍佰贰拾肆元整）给乙方；
5. 工程全部验收合格且按土建洞口尺寸结算完成后14天内，拨付至结算价款的95％；
6. 余款在工程整体竣工一年后视工程保修情况结清。
C、第三标段（1#--11#楼）：面积共计：2090.94㎡，合同总额为人民币：￥1576318元整（大写：壹佰伍拾柒万陆仟叁佰壹拾捌元整），付款如下：
1. 进场前30日甲方向乙方发放生产通知单，乙方接到通知单后开始生产，甲方向乙方支付本标段合同价款10％，人民币157632元（大写：壹拾伍万柒仟陆佰叁拾贰元整）。
2. 门窗框扇安装完成50%，经甲方及监理单位验收合格后，拨付该标段合同价款的45％，人民币709343元（大写：柒拾万零玖仟叁佰肆拾叁元整）给乙方；
3. 门窗工程全部完成后，再拨付该标段合同价款的20％，人民币315264元（大写：叁拾壹万伍仟贰佰陆拾肆元整）给乙方；
4. 总包整体竣工验收合格后7日内，拨付该标段合同价款的5%，人民币78816元（大写：柒万捌仟捌佰壹拾陆元整）给乙方；
5. 工程全部验收合格且按土建洞口尺寸结算完成后14天内，拨付至结算价款的95％；
6. 余款在工程整体竣工一年后视工程保修情况结清。</t>
  </si>
  <si>
    <t>JXA-104</t>
  </si>
  <si>
    <t>基中工</t>
  </si>
  <si>
    <t>一期中水配套工程</t>
  </si>
  <si>
    <t>合同签订后付40万，示范区通水付50万，余款416534元于下一期进场施工前一次性付清。</t>
  </si>
  <si>
    <t>2015.3.31</t>
  </si>
  <si>
    <t>基中水</t>
  </si>
  <si>
    <t>一期自来水配套工程</t>
  </si>
  <si>
    <t>示范区进场前付65万元</t>
  </si>
  <si>
    <t>JXA-106</t>
  </si>
  <si>
    <t>2015.4.28</t>
  </si>
  <si>
    <t>基视</t>
  </si>
  <si>
    <t>政务网IP电视及宽带接入协议</t>
  </si>
  <si>
    <t>天津新众影视传媒有限公司</t>
  </si>
  <si>
    <t>售楼处中央空调安装合同</t>
  </si>
  <si>
    <t>天津荣润世纪科技有限公司</t>
  </si>
  <si>
    <t xml:space="preserve">（1）全部室内机及主要材料送至现场后，甲方支付丙方合同总价的40％，即人民币180245.00元（大写：壹拾捌万零贰佰肆拾伍元整）。
（2）全部设备安装完毕验收合格后七日内，甲方支付合同总价的55％，即人民币247836.00元（大写：贰拾肆万柒仟捌佰叁拾陆元整）。
（3）尾款：合同总价的5%作为质量保证金，在质保期满后七日内付清（保质期为贰年）即人民币22531元（大写：贰万贰仟伍佰叁拾壹元整）。
</t>
  </si>
  <si>
    <t>2015.4.23</t>
  </si>
  <si>
    <t>示范区景观</t>
  </si>
  <si>
    <t>天津兰苑园林绿化工程有限公司</t>
  </si>
  <si>
    <t xml:space="preserve">3.3.1.完成以下工程节点，经甲方及监理验收合格后10日内，甲方向乙方支付合同总价款的30％，即¥2849584.00元，（大写：人民币贰佰捌拾肆万玖仟伍佰捌拾肆元整）：
3.3.1.1.水系防水、泊岸、堆砌等完成80％；
3.3.1.2.路床结构完成80％；
3.3.1.3.小品（包括：喷泉、廊架、涌泉等构筑物）结构完成50％；
3.3.1.4.地形堆砌完成60％；
3.3.2.全部工程完工，经甲方、监理验收合格后一个月，甲方向乙方支付合同总价款的20％，即¥1899723.00元，（大写：人民币壹佰捌拾玖万玖仟柒佰贰拾叁元整）；
3.3.3.全部工程完工，经甲方、监理验收合格后三个月，甲方向乙方支付合同总价款的30％，即¥2849584.00元，（大写：人民币贰佰捌拾肆万玖仟伍佰捌拾肆元整）；
3.3.4.全部工程完工，经甲方、监理验收合格一年后，甲方向乙方支付至结算总价款的90％；
3.3.5.工程质保及苗木养护期满（均为两年）后15日后无任何质量问题付清余款。质保期自工程竣工验收合格、备案资料交齐之日起算。
</t>
  </si>
  <si>
    <t>基气工</t>
  </si>
  <si>
    <t>一期燃气配套工程</t>
  </si>
  <si>
    <t>津燃润燃气有限公司</t>
  </si>
  <si>
    <t>（1）签订合同后，付10%；（2）施工前付60%；（3）工程竣工乙方出具配套准许交付使用证前，支付30%。</t>
  </si>
  <si>
    <t>一期保温涂料线条线角</t>
  </si>
  <si>
    <t>天津万通达建筑工程有限公司</t>
  </si>
  <si>
    <t xml:space="preserve">（一）一标段（30—38#、40#-41#、配电站 共12个栋号）：
1. 2015年4月，甲方向乙方支付一标段总价的20％作为预付款，支付二、三、四标段总价5%（即：¥1705504.00元，大写：人民币壹佰柒拾万伍仟伍佰零肆元整）作为定金，锁定所有价格，同时乙方提供等额的预付款保函（企业保函），该企业保函待结算完成作废；
2. 一标段工程全部完工（含施工洞口），经甲方及监理验收合格，资料上交齐全后20日内付至合同价的75%（即：¥2111152.00元，大写：人民币贰佰壹拾壹万壹仟壹佰伍拾贰元整）；
（二）二标段（12--29#  共18个楼）：
1. 二标段开工前一个月甲方向乙方支付该标段总价的15％（即：¥1637707.00元，大写：人民币壹佰陆拾叁万柒仟柒佰零柒元整）作为预付款，同时乙方提供等额的预付款企业保函（一级资质企业）；
2. 二标段工程全部完工（含施工洞口），经甲方及监理验收合格，资料上交齐全后20日内付至合同价的75%（即：¥6004926.00元，大写：人民币陆佰万肆仟玖佰贰拾陆元整）；
（三）三标段（1--11#   共11个楼）：
1. 三标段开工前一个月甲方向乙方支付该标段总价的15％（即：¥978576.00元，大写：人民币玖拾柒万捌仟伍佰柒拾陆元整）作为预付款，同时乙方提供等额的预付款企业保函（一级资质企业）；
2. 三标段工程全部完工（含施工洞口），经甲方及监理验收合格，资料上交齐全后20日内付至合同价的75%（即：¥3588111.00元，大写：人民币叁佰伍拾捌万捌仟壹佰壹拾壹元整）；
（四）四标段（39#、42# 共2个楼）：
1. 四标段开工前一个月甲方向乙方支付该标段总价的15％（即：¥197152.00元，大写：人民币壹拾玖万柒仟壹佰伍拾贰元整）作为预付款，同时乙方提供等额的预付款企业保函（一级资质企业）；
2. 四标段工程全部完工（含施工洞口），经甲方及监理验收合格，资料上交齐全后20日内付至合同价的75%（即：¥722894.00元，大写：人民币柒拾贰万贰仟捌佰玖拾肆元整）；
（五）工程竣工备案验收合格、办理完成结算手续，经结算审核完成30天内付至决算价的90％；
（六）在工程竣工备案完成后，保修期满一年无质量问题后20日内，支付至结算造价的95%；
（七）在工程竣工备案完成后，保修期满两年无质量问题后20日内，付清全款。
</t>
  </si>
  <si>
    <t>联排样板间中央空调安装合同</t>
  </si>
  <si>
    <t xml:space="preserve">（1）全部室内机及主要材料送至现场后，甲方支付丙方合同总价的40％，即人民币31834.00元（大写：叁万壹仟捌佰叁拾肆元整）。
（2）全部设备安装完毕验收合格后七日内，甲方支付合同总价的55％，即人民币43771.00元（大写：肆万叁仟柒佰柒拾壹元整）。
（3）尾款：合同总价的5%作为质量保证金，在质保期满后七日内付清（保质期为贰年）即人民币3979元（大写：叁仟玖佰柒拾玖元整）。
</t>
  </si>
  <si>
    <t>2015.4.17</t>
  </si>
  <si>
    <t>基排工</t>
  </si>
  <si>
    <t>一期排水配套工程</t>
  </si>
  <si>
    <t>应先期缴纳899986元，剩余款项根据工程进度分期缴清</t>
  </si>
  <si>
    <t>二、三期图审合同</t>
  </si>
  <si>
    <t>2015.5.6</t>
  </si>
  <si>
    <t>一期排水配套工程挖土方</t>
  </si>
  <si>
    <t>天津聚宝龙投资有限公司</t>
  </si>
  <si>
    <t>示范区施工进场前付7万，示范区之外施工进场前付10万。</t>
  </si>
  <si>
    <t>弱电综合管网工程</t>
  </si>
  <si>
    <t>天津市玉宇建筑工程有限公司</t>
  </si>
  <si>
    <t>工程分三期进行，分别为一期（示范区）31-42号楼，二期为1-30号楼及公建地库，三期为43-72号楼。一期（示范区）完工后，甲方支付合同总价的20%；二期完工后支付合同总价的35%；三期完工后支付合同总价的30%；待工程全部完工、验收合格且结算完成后支付至结算总价的95%；余款5%作为质量保证金，贰年后付清。</t>
  </si>
  <si>
    <t>外檐石材一体板及保温（一期）</t>
  </si>
  <si>
    <t>山东华德隆建设有限公司</t>
  </si>
  <si>
    <t>2015.5.10</t>
  </si>
  <si>
    <t>前置测量购买本册费（一期）</t>
  </si>
  <si>
    <t>2015.5.22</t>
  </si>
  <si>
    <t>售楼处样板间精装修工程</t>
  </si>
  <si>
    <t>天津磊德建筑装饰工程有限公司</t>
  </si>
  <si>
    <t xml:space="preserve">1.本工程无预付款；
2.施工过程中不考虑支付工程款；
3.工程完工，经过甲方、监理共同验收合格后3日内，甲方向乙方支付至合同总价款的50％，即：¥1880397元，（大写：人民币壹佰捌拾捌万零叁佰玖拾柒元整）；
4.工程完工，经过甲方、监理共同验收合格后3个月后3日内，甲方向乙方支付至合同总价款的85％，即：¥1316278元，（大写：人民币壹佰叁拾壹万陆仟贰佰柒拾捌元整）；
5.工程验收合格并结算完毕后一个月内，甲方向乙方支付至结算价款的95％；
6.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</si>
  <si>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一期供热二次网工程土方挖填</t>
  </si>
  <si>
    <t>示范区施工进场前付7万，示范区之外施工进场前付13万。</t>
  </si>
  <si>
    <t>2015.5.29</t>
  </si>
  <si>
    <t>示范区智能化工程</t>
  </si>
  <si>
    <t xml:space="preserve">1. 全部智能化工程完工且验收合格，支付合同总额的70%；计￥359100元（大写：叁拾伍万玖仟壹佰元整）。
2. 待工程竣工且完成结算后一个月内支付到结算价款的95%；
3. 结算款额的5%作为本项目的保修款，保修期两年，保修期满后甲方一次无息支付乙方扣除必要的保修费用后的剩余款额，保修期为从竣工验收合格之日开始计算。
</t>
  </si>
  <si>
    <t>2015.5.11</t>
  </si>
  <si>
    <t>售楼处、样板间钢结构工程</t>
  </si>
  <si>
    <t>天津博斯特膜装饰工程有限公司</t>
  </si>
  <si>
    <t xml:space="preserve">1) 合同签订后10日内甲方向乙方支付10万元（大写：拾万元整）作为预付款；
2) 竣工验收完成后10日内甲方向乙方支付至合同总造价的90%，即：¥214712元（大写：人民币贰拾壹万肆仟柒佰壹拾贰元整）；
3) 全部工程通过竣工验收合格并结算完成后7个工作日内，甲方向乙方支付至结算价款的95%；
4) 剩余5%为质保金（质保期两年），甲方于乙方竣工验收合格2年后15个工作日内（不计利息）向乙方付清质保金，但应扣除在保修期期间内发生的由甲方先行支付的有关维修费用。
</t>
  </si>
  <si>
    <t>JXA-122</t>
  </si>
  <si>
    <t>2015.6.18</t>
  </si>
  <si>
    <t>建环</t>
  </si>
  <si>
    <t>示范区围墙（示范区部分大区及小院围墙）</t>
  </si>
  <si>
    <t xml:space="preserve">3.3.1.整体工程量完成50%，经甲方及监理验收合格后10日内，甲方向乙方支付合同总价款的30％，即¥339488.00元，（大写：人民币叁拾叁万玖仟肆佰捌拾捌元整）：
3.3.2.全部工程完工，经甲方、监理验收合格后一个月，甲方向乙方支付合同总价款的20％，即¥226328.00元，（大写：人民币贰拾贰万陆仟叁佰贰拾捌元整）；
3.3.3.全部工程完工，经甲方、监理验收合格后三个月，甲方向乙方支付合同总价款的30％，即¥339491.00元，（大写：人民币叁拾叁万玖仟肆佰玖拾壹元整）；
3.3.4.全部工程完工，经甲方、监理验收合格一年后，甲方向乙方支付至结算总价款的90％；
3.3.5.工程质保（为两年）后15日后无任何质量问题付清余款。质保期自工程竣工验收合格、备案资料交齐之日起算。
</t>
  </si>
  <si>
    <t>2015.6.24</t>
  </si>
  <si>
    <t>三期放、验线报告</t>
  </si>
  <si>
    <t>一期入户门采购安装合同</t>
  </si>
  <si>
    <t>黑龙江龙业木业有限责任公司</t>
  </si>
  <si>
    <t xml:space="preserve">1. 以30#~38#、40#、41#楼作为示范区标段，1#~29#、39#、42#楼作为一个标段，按标段进行工程款支付；
2. 30#~38#、40#、41#楼示范区标段：
1) 门数量：81樘，共计：¥401125.00元
2) 合同签订，甲方支付本标段工程造价的20%作为预付款，即：¥80225.00元（大写：人民币捌万零贰佰贰拾伍元整），同时乙方提供具备一级担保资质的担保单位提供的等额的预付款保函（企业保函）；
3) 本标段门全部安装完毕，经验收合格后15日内，甲方向乙方支付本标段合同额的50%，即：¥200563.00元（大写：人民币贰拾万零伍佰陆拾叁元整）；
3. 1#~29#、39#、42#楼标段：
1) 门数量：344樘，共计：1373572.00元
2) 该标的门进场前2个月支付本标段工程造价的20%作为预付款，即：¥274714.00元（大写：人民币贰拾柒万肆仟柒佰壹拾肆元整），同时乙方提供具备一级担保资质的担保单位提供的等额的预付款保函（企业保函）
3) 所有门全部安装完毕，经验收合格后15日内，甲方向乙方支付本标段合同额的50%，即：¥686786.00元（大写：人民币陆拾捌万陆仟柒佰捌拾陆元整）；
4. 全部工程通过竣工验收合格后15日内，甲方向乙方支付合同价款的90%，即：¥354939.00元（大写：人民币叁拾伍万肆仟玖佰叁拾玖元整）；
5. 甲乙双方完成办理结算手续后15日内，甲方向乙方支付合同价款的95%；
6. 剩余5%为一年质保金。甲方于乙方提供齐全的付款资料（出具的保修合格证明、相应金额的发票、请款说明等）15个工作日内支付乙方（不计利息），但应扣除在保修期期间内发生的由甲方先行支付的有关维修费用。
6. 每次付款时乙方需向甲方提供等额的正式增值税发票。
7. 乙方不得因任何原因延误供货和安装时间，否则应承担因延误给甲方及第三方带来的损失，按3‰/天记取。
</t>
  </si>
  <si>
    <t>2015.6.30</t>
  </si>
  <si>
    <t>前销</t>
  </si>
  <si>
    <t>商品房预售登记费（一期143套）</t>
  </si>
  <si>
    <t>销许公告费（一期22个楼的）</t>
  </si>
  <si>
    <t>天津蓝狮广告传播有限公司</t>
  </si>
  <si>
    <t>排水市政接口</t>
  </si>
  <si>
    <t>天津力恒市政工程有限公司</t>
  </si>
  <si>
    <t>示范区夜景照明</t>
  </si>
  <si>
    <t>天津鑫润达建筑工程有限公司</t>
  </si>
  <si>
    <t xml:space="preserve">1、按照工程进度支付工程款：工程完成60%，支付合同总额的40%，计人民币85380.00元（大写： 捌万伍仟叁佰捌拾 元）；全部夜景照明工程完工且验收合格，支付合同总额的40%；计人民币85380.00元（大写： 捌万伍仟叁佰捌拾 元）。
2、待工程竣工且完成结算后一个月内支付到结算价款的95%；结算款额的5%作为本项目的保修款，保修期两年，保修期满后甲方一次无息支付乙方扣除必要的保修费用后的剩余款额，保修期为从竣工验收合格之日开始计算。
</t>
  </si>
  <si>
    <t>JXA-129</t>
  </si>
  <si>
    <t>一期入户门感应密码锁采购安装</t>
  </si>
  <si>
    <t>广东坚朗五金制品股份有限公司</t>
  </si>
  <si>
    <t>5.1本合同工程预付款为合同价的20%，即50065元，大写伍万零陆拾伍元整。甲乙双方合同签订之日起15个工作日内甲方支付给乙方，同时乙方向甲方提供甲方认可之有担保资质的担保公司开具的等额企业保函作为预付款保函。
5.2感应密码锁正式插芯到场后，30日内甲方向乙方支付到该标段合同总额的50%；。
5.3感应密码锁送达甲方指定地点、甲方验收合格后30日内，甲方向乙方支付该标段的货款额达到本合同总货款80% ；分批供货的，分批送达甲方指定地点、甲方验收合格后30日内，甲方向乙方支付的货款额达到该批货款的80%后开始安装；
5.4感应密码锁安装完毕、甲乙双方验收合格之日起7日内甲方向乙方支付的货款额达到该标段合同总额的95%
5.5工程质保金为本合同总额的5%，质保期自该标段感应密码锁安装验收之日起两年，两年后7日内甲方向乙方付清全部余款。
5.6乙方需在甲方每笔付款前向甲方提供等额增值税务发票，乙方的发票不作为甲方已经向乙方支付货款的凭证，甲方向乙方账户汇款或开具支票的凭证与发票一起印证，作为向乙方支付了货款证据。</t>
  </si>
  <si>
    <t>房屋转让手续费（一期22个楼）产权登记</t>
  </si>
  <si>
    <t>蓟县房地产管理局</t>
  </si>
  <si>
    <t>2015.8.17</t>
  </si>
  <si>
    <t>大门入口外檐装饰</t>
  </si>
  <si>
    <t xml:space="preserve">1. 本工程无预付款；
2. 施工过程中不考虑支付工程款；
3. 工程验收合格后，乙方提供给甲方完善的工程竣工备案资料中乙方需提供的文件，经甲方及相关职能部门验收合格，乙方提供给甲方有管辖权的相关政府部门的验收合格证明等文件、结算资料并经甲方确认，办理完毕结算手续后 30 个工作日内，甲方向乙方支付至结算价款的95％；即：¥ 531684元，（大写：人民币伍拾叁万壹仟陆佰捌拾肆元整）；
4. 余款5％作为质保金，视维修情况予以拨款：若质保期内甲方售后部门通知维修，乙方累计三次未予以维修，甲方有权扣除乙方所有质保款作为维修款；若乙方能够履行及时维修义务，工程竣工验收合格1年（质保期满）后15日内一次性付清。在工程竣工备案完成后开始计算质保期。
5. 乙方应按照甲方要求提供工程所在地区等额有效财务发票，否则因此所造成的付款延误等相应责任，由乙方自行承担。
6. 工程进度款与质量挂钩，若所报工程的质量达不到验收规范要求，甲方有权暂缓支付该部分工程款。
</t>
  </si>
  <si>
    <t>33#楼公共部位精装修、门卫精装修</t>
  </si>
  <si>
    <t>天津市三鼎建筑工程有限公司</t>
  </si>
  <si>
    <t xml:space="preserve">1. 本工程无预付款；
2. 施工过程中不考虑支付工程款；
3. 工程完工，经过甲方、监理共同验收合格后30日内，甲方向乙方支付至合同总价款的50％，即：¥74507元，（大写：人民币柒万肆仟伍佰零柒元整）；
4. 该工程部位验收合格后，乙方提供给甲方完善的工程竣工备案资料中乙方需提供的文件，经甲方及监理方验收合格后，办理完毕结算手续后 30 个工作日内，甲方向乙方支付至结算价款的95％；即：¥67056元，（大写：人民币陆万柒仟零伍拾陆元整）；
5. 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</si>
  <si>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基水</t>
  </si>
  <si>
    <t>一期中水、自来水配套工程（含中水一次网，中水、自来水二次网，中水、自来水水表，室外消火栓、消防防险准备金）</t>
  </si>
  <si>
    <t>示范区进场前支付240万元，小区一期进场前支付余下330万元。</t>
  </si>
  <si>
    <t>2015.8.6</t>
  </si>
  <si>
    <t>前消档</t>
  </si>
  <si>
    <t>二期消防缩微费</t>
  </si>
  <si>
    <t>天津汉龙思琪科技发展有限公司</t>
  </si>
  <si>
    <t>33#楼宇门及样板单元首层楼梯间户门采购安装</t>
  </si>
  <si>
    <t>浙江福日工贸有限公司</t>
  </si>
  <si>
    <t xml:space="preserve">1) 所有门全部到场，经甲方、监理验收合格后、甲乙双方完成办理结算手续后15日内，甲方向乙方支付合同价款的95%；
2) 剩余5%为一年质保金。甲方于乙方提供齐全的付款资料（出具的保修合格证明、相应金额的发票、请款说明等）15个工作日内支付乙方（不计利息），但应扣除在保修期期间内发生的由甲方先行支付的有关维修费用。
</t>
  </si>
  <si>
    <t>2015.8.12</t>
  </si>
  <si>
    <t>33#楼空调铁艺护栏</t>
  </si>
  <si>
    <t>天津德须泰钢结构工程有限公司</t>
  </si>
  <si>
    <t xml:space="preserve">1. 乙方全部安装完成，经甲方、监理验收合格后、乙方办完结算手续后15天内，甲方支付合同价款的95%给乙方，即：11623 元；
2. 余款在工程竣工一年后视工程保修情况结清，即：612元。
</t>
  </si>
  <si>
    <t>JXA-137</t>
  </si>
  <si>
    <t>2015.9.6</t>
  </si>
  <si>
    <t>施工图优化技术服务合同</t>
  </si>
  <si>
    <t>天津滨海旺辉工程咨询有限公司</t>
  </si>
  <si>
    <t>1）优化成果经甲方、设计院共同认可并出具正式变更图纸（单）后，乙方根据变更图纸（单）完成提成金额计算，甲乙双方完成核对后，甲方向乙方支付至审减提成金额的80%。2）施工图优化成果确认后30日内，甲方向乙方支付剩余应付提成金额。</t>
  </si>
  <si>
    <t>景观（界外地、示范区、小院围墙）招标交易服务费</t>
  </si>
  <si>
    <t>JXA-139W</t>
  </si>
  <si>
    <t>2015.10.8</t>
  </si>
  <si>
    <t>销许公告费（一期6个楼的）</t>
  </si>
  <si>
    <t>2015.10.12</t>
  </si>
  <si>
    <t>预售登记费(一期72套）</t>
  </si>
  <si>
    <t>JXA-141W</t>
  </si>
  <si>
    <t>2015.11.17</t>
  </si>
  <si>
    <t>二、三期墙改费</t>
  </si>
  <si>
    <t>天津市蓟县墙体材料改革领导小组办公室</t>
  </si>
  <si>
    <t>2015.11.24</t>
  </si>
  <si>
    <t>招标代理费（界外地、示范区园林）</t>
  </si>
  <si>
    <t>一次性支付</t>
  </si>
  <si>
    <t>JXA-143</t>
  </si>
  <si>
    <t>2015.11.14</t>
  </si>
  <si>
    <t>现场监控设备采购安装</t>
  </si>
  <si>
    <t>天津森炎电子产品有限公司</t>
  </si>
  <si>
    <t>签订合同后3日内预付30%，货到现场安装调试完毕，所有设备使用无质量问题，验收合格后支付60%，自验收合格之日起5个工作日内付10%。</t>
  </si>
  <si>
    <t>JXA-144</t>
  </si>
  <si>
    <t>2015.12.31</t>
  </si>
  <si>
    <t>建桩</t>
  </si>
  <si>
    <t>三期桩基工程</t>
  </si>
  <si>
    <t>天津亿鑫市政建设有限公司</t>
  </si>
  <si>
    <t xml:space="preserve">6.1.1钻孔灌注桩完成50％工程量时支付合同价款的20% 。
6.1.2全部工程完成，乙方通过甲方组织的验收工作，乙方办理完工程交接手续及竣工资料移交手续后15天内向甲方递交合格竣工结算报告及完整的结算资料，结算资料必须符合甲方审核要求且资料齐全后支付合同价款的40% 。
6.1.3全部工程完成且结算完成办理完毕结算手续二个月10日内支付至该项工程总价款的95％。
6.1.4项目地上工程全部竣工验收后满一年后付清该项工程总价款的5%（本金不计息）。    
</t>
  </si>
  <si>
    <t>JXA-145</t>
  </si>
  <si>
    <t>2016.2.3</t>
  </si>
  <si>
    <t>东侧挡土墙</t>
  </si>
  <si>
    <t xml:space="preserve">（1） 博御园东侧挡土墙图示第3点至第10点施工完成后，待甲方验收合格后30日内支付已完成工程的70%工程款。
（2） 博御园东侧挡土墙图示第10点至第16点施工完成后，待甲方验收合格后30日内支付已完成工程的70%工程款。
（3） 博御园东侧挡土墙图示第17点至第22点施工完成后，待甲方验收合格后30日内支付已完成工程的70%工程款。
（4） 工程验收合格，乙方办理完工程交接手续及竣工资料移交手续，乙方向甲方递交合格竣工结算报告及完整的结算资料，结算资料必须符合甲方审核要求，工程结算完成后45日内支付至结算价款的95% 。
（5） 质保期满两年后30日内支付结算总价的5% （本金不计息）。
</t>
  </si>
  <si>
    <t>JXA-146-01</t>
  </si>
  <si>
    <t>2016.3.23</t>
  </si>
  <si>
    <t>二期总包工程</t>
  </si>
  <si>
    <t>江苏南通三建集团有限公司</t>
  </si>
  <si>
    <t xml:space="preserve">2.1二期工程主体封顶后10日内，支付进度总产值的70%；
2.2二期主体验收完10日内，支付至进度产值的70%；
2.3二期竣工验收合格后10日内，支付至进度产值的80%；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</si>
  <si>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JXA-146-02</t>
  </si>
  <si>
    <t>三期总包工程</t>
  </si>
  <si>
    <t xml:space="preserve">15.1.2.付款按以下三个标段为批次：
1、三期一标段：43#、44#、45#、46#、57#、58#、67#、68#楼
三期二标段：47-49#、52-56#、59#、60#、65#、66#、69#、70#楼
三期三标段：50#、51#、61-64#、71#、72#楼
2、付款节点：
2.1各标段工程主体封顶后10日内，支付进度总产值的70%；
2.2各标段主体验收完10日内，支付至进度产值的70%；
2.3竣工验收合格后10日内，支付至进度产值的80%；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</si>
  <si>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2015.12.3</t>
  </si>
  <si>
    <t>现场扬尘监测设备</t>
  </si>
  <si>
    <t>天津同阳科技发展有限公司</t>
  </si>
  <si>
    <t>甲方付款后乙方供货</t>
  </si>
  <si>
    <t>JXA-148</t>
  </si>
  <si>
    <t>2015.12.14</t>
  </si>
  <si>
    <t>现场监控组网服务</t>
  </si>
  <si>
    <t>中国联合网络通信有限公司天津分公司</t>
  </si>
  <si>
    <t>一次性缴纳费用后，乙方进行网络施工安装。</t>
  </si>
  <si>
    <t>2015.12.17</t>
  </si>
  <si>
    <t>（二期）造价咨询合同</t>
  </si>
  <si>
    <t>天津建工工程管理有限公司</t>
  </si>
  <si>
    <t xml:space="preserve">咨询方提供预算书及清单标底标的文件并经委托方抽验合格确认无误并与施工单位核对完毕，提供双方认定的成果文件后15日内支付至咨询费的50％；工程竣工后，咨询方递交所有第三方的工程最终结算书，经双方盖章确认后，付至咨询费的90%；咨询结果提供后6个月后15日内，不出现任何争议支付至咨询费的100％。 </t>
  </si>
  <si>
    <t>JXA-150W</t>
  </si>
  <si>
    <t>房屋转让手续费（一期6个楼）产权登记</t>
  </si>
  <si>
    <t>JXA-151W</t>
  </si>
  <si>
    <t>销许公告费（一期2个证、10个楼）</t>
  </si>
  <si>
    <t>领取销售许可证前一次性付款</t>
  </si>
  <si>
    <t>JXA-152W</t>
  </si>
  <si>
    <t>商品房预售登记费（一期106套）</t>
  </si>
  <si>
    <t>JXA-153W</t>
  </si>
  <si>
    <t>地形图测绘费（一期）</t>
  </si>
  <si>
    <t>领取项目位置图前一次性付款</t>
  </si>
  <si>
    <t>JXA-154</t>
  </si>
  <si>
    <t>建桩检</t>
  </si>
  <si>
    <t>三期桩基检测</t>
  </si>
  <si>
    <t xml:space="preserve">全部成果报告提交后甲方无异议后一次性支付到合同总价的100%
</t>
  </si>
  <si>
    <t>JXA-155</t>
  </si>
  <si>
    <t>以上为截止2015年底合同</t>
  </si>
  <si>
    <t>二期强夯检测</t>
  </si>
  <si>
    <t xml:space="preserve">全部成果报告提交后甲方无异议后一次性支付到合同总价的101%
</t>
  </si>
  <si>
    <t>JXA-156W</t>
  </si>
  <si>
    <t>2016.1.18</t>
  </si>
  <si>
    <t>三期桩基测绘费</t>
  </si>
  <si>
    <t>领取测绘成果后一次性付款</t>
  </si>
  <si>
    <t>JXA-157W</t>
  </si>
  <si>
    <t>房屋转让手续费（一期10个楼）</t>
  </si>
  <si>
    <t>JXA-158W</t>
  </si>
  <si>
    <t>2016.2.26</t>
  </si>
  <si>
    <t>（三期）小配套费</t>
  </si>
  <si>
    <t>JXA-159W</t>
  </si>
  <si>
    <t>（三期）招标交易服务费</t>
  </si>
  <si>
    <t>JXA-160W</t>
  </si>
  <si>
    <t>（二期）招标交易服务费</t>
  </si>
  <si>
    <t>JXA-161W</t>
  </si>
  <si>
    <t>（二、三期）水泥专项基金</t>
  </si>
  <si>
    <t>JXA-162W</t>
  </si>
  <si>
    <t>（三期）气源发展费</t>
  </si>
  <si>
    <t>JXA-163W</t>
  </si>
  <si>
    <t>JXA-164W</t>
  </si>
  <si>
    <t>（二、三期）大配套费</t>
  </si>
  <si>
    <t>JXA-165</t>
  </si>
  <si>
    <t>2016.3.8</t>
  </si>
  <si>
    <t>外墙内保温工程合同</t>
  </si>
  <si>
    <t>天津市博文通建筑安装工程有限公司</t>
  </si>
  <si>
    <t>JXA-166</t>
  </si>
  <si>
    <t>2016.2.2</t>
  </si>
  <si>
    <t>土建站、CF箱基础、箱式站基础、环网柜基础</t>
  </si>
  <si>
    <t>天津英博建筑工程有限公司</t>
  </si>
  <si>
    <t>进场前支付全部工程款</t>
  </si>
  <si>
    <t>2016.1.27</t>
  </si>
  <si>
    <t>支付委托保证合同（二期）</t>
  </si>
  <si>
    <t>支付委托保证合同（三期）</t>
  </si>
  <si>
    <t>2016.1.29</t>
  </si>
  <si>
    <t>示范区现场垃圾清运（结签证）</t>
  </si>
  <si>
    <t>JXA-170</t>
  </si>
  <si>
    <t>二次供水泵房精装修合同</t>
  </si>
  <si>
    <t>天津市岳鹏科技有限公司</t>
  </si>
  <si>
    <t>工程完工甲方自验后，经当地自来水管理所验收合格，付至合同价款的90%；工程竣工验收、泵房验收、通水验收合格后，支付至结算价款泊100%。</t>
  </si>
  <si>
    <t>JXA-171</t>
  </si>
  <si>
    <t>合同在乙方盖章</t>
  </si>
  <si>
    <t>基燃表</t>
  </si>
  <si>
    <t>一期燃气表购销合同</t>
  </si>
  <si>
    <t>天津市罡世燃气科工贸发展有限公司</t>
  </si>
  <si>
    <t>JXA-172</t>
  </si>
  <si>
    <t>一期空调铁艺栏杆合同（除33#楼）</t>
  </si>
  <si>
    <t>JXA-173</t>
  </si>
  <si>
    <t>基视讯</t>
  </si>
  <si>
    <t>通信线路工程设计合同</t>
  </si>
  <si>
    <t>天津市邮电设计院有限责任公司</t>
  </si>
  <si>
    <t>合同签订后乙方交付全套设计成果，支付全部设计费。</t>
  </si>
  <si>
    <t>JXA-174</t>
  </si>
  <si>
    <t>人防监理合同</t>
  </si>
  <si>
    <t>JXA-175</t>
  </si>
  <si>
    <t>给水、中水变频供水设备采购安装合同</t>
  </si>
  <si>
    <t>天津晨天自动化设备工程有限公司</t>
  </si>
  <si>
    <t xml:space="preserve">5.1.1 合同签订后供方需提供银行保函后15日内供方支付合同总价的 30 %作为预付款，即：人民币   叁拾壹万伍仟元整（￥315000元）   。
5.1.2 设备全部进场安装完成后，需方向供方支付合同总价的50 %，即人民币伍拾贰万伍仟元整（￥525000元）。
5.1.3 设备全部安装完毕后，且提供供方出具的安装调试验收合格报告后，需方向供方支付合同总价的  15% ，即人民币壹拾伍万柒仟伍佰元整（￥157500元）。
5.1.4 剩余尾款5%为质保金，待向需方提供当地直属自来水部门出具的安装验收合格后的贰年后付清。即：人民币伍万贰仟伍佰元整（￥52500元）。质保金付清后，质保期内，供方仍需继续对设备进行免费维保，直至质保期满。
</t>
  </si>
  <si>
    <t>JXA-176</t>
  </si>
  <si>
    <t>三期挡土墙施工</t>
  </si>
  <si>
    <t>JXA-177</t>
  </si>
  <si>
    <t>一期（复式）钢质防盗门采购安装（不含33#楼6樘门）</t>
  </si>
  <si>
    <t xml:space="preserve">1) 合同签订后甲方支付本合同额的20%作为预付款，即：¥128972.00元（大写：人民币拾贰万捌仟玖佰柒拾贰元整），同时乙方提供具备一级担保资质的担保单位提供的等额的预付款保函（企业保函）。
2) 门全部安装完毕，经验收合格后15日内，甲方向乙方支付合同额的50%，即：¥322430.00元（大写：人民币叁拾贰万贰仟肆佰叁拾元整）
3) 全部工程通过竣工验收合格后，甲方向乙方支付至合同价款的90%，即：¥128972.00元（大写：人民币拾贰万捌仟玖佰柒拾贰元整）
4) 甲乙双方完成办理结算手续后15日内，甲方向乙方支付至结算价款的95%，即：¥32243.00元（大写：人民币叁万贰仟贰佰肆拾叁元整）
5) 剩余5%为一年质保金。甲方于乙方提供齐全的付款资料（出具的保修合格证明、相应金额的发票、请款说明等）15个工作日内支付乙方（不计利息），但应扣除在保修期期间内发生的由甲方先行支付的有关维修费用。
</t>
  </si>
  <si>
    <t>JXA-178W</t>
  </si>
  <si>
    <t>二期测绘费</t>
  </si>
  <si>
    <t>JXA-179W</t>
  </si>
  <si>
    <t>二、三期前置面积测量费</t>
  </si>
  <si>
    <t>总计</t>
  </si>
  <si>
    <r>
      <rPr>
        <sz val="12"/>
        <rFont val="宋体"/>
        <family val="3"/>
        <charset val="134"/>
      </rPr>
      <t xml:space="preserve"> </t>
    </r>
    <r>
      <rPr>
        <sz val="12"/>
        <rFont val="宋体"/>
        <family val="3"/>
        <charset val="134"/>
      </rPr>
      <t xml:space="preserve">                                                                                                                                                                                                                                                                                                                                                                                                                                                                                                                                     </t>
    </r>
  </si>
  <si>
    <t>土地费</t>
  </si>
  <si>
    <t>土</t>
  </si>
  <si>
    <t>前期费</t>
  </si>
  <si>
    <t>基础设施费</t>
  </si>
  <si>
    <t>基</t>
  </si>
  <si>
    <t>建安费</t>
  </si>
  <si>
    <t>建</t>
  </si>
  <si>
    <t>市政配套费</t>
  </si>
  <si>
    <t>公</t>
  </si>
  <si>
    <t>销售费用</t>
  </si>
  <si>
    <t>销</t>
  </si>
  <si>
    <t>本月范围</t>
  </si>
  <si>
    <t>总条数</t>
  </si>
  <si>
    <t>合同（本月）</t>
  </si>
  <si>
    <t>月份</t>
  </si>
  <si>
    <t>本月</t>
  </si>
  <si>
    <t>总数</t>
  </si>
  <si>
    <t>销售累计付款额</t>
  </si>
  <si>
    <t>销售累计结算合同额</t>
  </si>
  <si>
    <t>本月销售合同额</t>
  </si>
  <si>
    <t>项目经济指标明细</t>
  </si>
  <si>
    <t>总规划面积</t>
  </si>
  <si>
    <t>多层住宅</t>
  </si>
  <si>
    <t>万平米</t>
  </si>
  <si>
    <t>总可售面积</t>
  </si>
  <si>
    <t>高层住宅</t>
  </si>
  <si>
    <t>项           目</t>
  </si>
  <si>
    <t>目标成本</t>
  </si>
  <si>
    <t>已发生（万元）</t>
  </si>
  <si>
    <t>待发生成本（万元）</t>
  </si>
  <si>
    <t>本月动态成本（万元）</t>
  </si>
  <si>
    <t>成本增加（动态-目标）</t>
  </si>
  <si>
    <t>差异说明</t>
  </si>
  <si>
    <t>截至上月已发生</t>
  </si>
  <si>
    <t>已发生成本</t>
  </si>
  <si>
    <t>分析</t>
  </si>
  <si>
    <t>待发生成本</t>
  </si>
  <si>
    <r>
      <rPr>
        <b/>
        <sz val="10"/>
        <rFont val="宋体"/>
        <family val="3"/>
        <charset val="134"/>
      </rPr>
      <t>控制指标</t>
    </r>
    <r>
      <rPr>
        <b/>
        <sz val="8"/>
        <rFont val="宋体"/>
        <family val="3"/>
        <charset val="134"/>
      </rPr>
      <t>（元/m3）</t>
    </r>
  </si>
  <si>
    <t>总投资（万元）</t>
  </si>
  <si>
    <t>合同值</t>
  </si>
  <si>
    <t>结算差异</t>
  </si>
  <si>
    <t>一</t>
  </si>
  <si>
    <t>土地及大配套费</t>
  </si>
  <si>
    <t>大配套费</t>
  </si>
  <si>
    <t>土地交易费</t>
  </si>
  <si>
    <t>其他</t>
  </si>
  <si>
    <t>二</t>
  </si>
  <si>
    <t>前期费用</t>
  </si>
  <si>
    <t>工程勘查费</t>
  </si>
  <si>
    <t>a</t>
  </si>
  <si>
    <t>地质勘查费</t>
  </si>
  <si>
    <t>b</t>
  </si>
  <si>
    <t>测绘费</t>
  </si>
  <si>
    <t>工程设计费</t>
  </si>
  <si>
    <t>设计费</t>
  </si>
  <si>
    <t>成品房设计费</t>
  </si>
  <si>
    <t>c</t>
  </si>
  <si>
    <t>景观方案设计费</t>
  </si>
  <si>
    <t>d</t>
  </si>
  <si>
    <t>综合管网设计费</t>
  </si>
  <si>
    <t>e</t>
  </si>
  <si>
    <t>前期咨询费</t>
  </si>
  <si>
    <t>f</t>
  </si>
  <si>
    <t>其他设计费</t>
  </si>
  <si>
    <t>临时设施及三通一平</t>
  </si>
  <si>
    <t>临电工程费红线外</t>
  </si>
  <si>
    <t>临水工程费红线外</t>
  </si>
  <si>
    <t>临路工程费</t>
  </si>
  <si>
    <t>填土及平整场地费</t>
  </si>
  <si>
    <t>临时设施</t>
  </si>
  <si>
    <t>地上障碍物拆除</t>
  </si>
  <si>
    <t>其他前期费</t>
  </si>
  <si>
    <t>环境评估费</t>
  </si>
  <si>
    <t>避雷监测费</t>
  </si>
  <si>
    <t>电力检测费</t>
  </si>
  <si>
    <t>室内环境检测费</t>
  </si>
  <si>
    <t>土地证</t>
  </si>
  <si>
    <t>地名费</t>
  </si>
  <si>
    <t>g</t>
  </si>
  <si>
    <t>招标监督服务费</t>
  </si>
  <si>
    <t>h</t>
  </si>
  <si>
    <t>招标代理费</t>
  </si>
  <si>
    <t>i</t>
  </si>
  <si>
    <t>合同审查费</t>
  </si>
  <si>
    <t>j</t>
  </si>
  <si>
    <t>施工图审查费</t>
  </si>
  <si>
    <t>k</t>
  </si>
  <si>
    <t>墙改费</t>
  </si>
  <si>
    <t>l</t>
  </si>
  <si>
    <t>水泥专项基金</t>
  </si>
  <si>
    <t>m</t>
  </si>
  <si>
    <t>地籍地形图、核地</t>
  </si>
  <si>
    <t>n</t>
  </si>
  <si>
    <t xml:space="preserve">销售许可证公告费 </t>
  </si>
  <si>
    <t>o</t>
  </si>
  <si>
    <t>道路开口费</t>
  </si>
  <si>
    <t>p</t>
  </si>
  <si>
    <t>消防存档费</t>
  </si>
  <si>
    <t>q</t>
  </si>
  <si>
    <t>准入证公告费</t>
  </si>
  <si>
    <t>r</t>
  </si>
  <si>
    <t>面积测量</t>
  </si>
  <si>
    <t>s</t>
  </si>
  <si>
    <t>产权初始登记费(预售）</t>
  </si>
  <si>
    <t>t</t>
  </si>
  <si>
    <t>房屋产权转让手续费（产权登记）</t>
  </si>
  <si>
    <t>u</t>
  </si>
  <si>
    <t>档案存档费</t>
  </si>
  <si>
    <t>v</t>
  </si>
  <si>
    <t>日照分析</t>
  </si>
  <si>
    <t>w</t>
  </si>
  <si>
    <t>其他建安费</t>
  </si>
  <si>
    <t>土建监理费</t>
  </si>
  <si>
    <t>沉降观测</t>
  </si>
  <si>
    <t>担保费</t>
  </si>
  <si>
    <t>人防监督及档案编制</t>
  </si>
  <si>
    <t>工程预算编制费</t>
  </si>
  <si>
    <t>三</t>
  </si>
  <si>
    <t>建安工程费</t>
  </si>
  <si>
    <t>桩基工程</t>
  </si>
  <si>
    <t>桩基础工程费</t>
  </si>
  <si>
    <t>试桩及桩检测费用</t>
  </si>
  <si>
    <t>主体建安</t>
  </si>
  <si>
    <t>一标段总包</t>
  </si>
  <si>
    <t>一标段外檐施工措施费</t>
  </si>
  <si>
    <t>二标段总包</t>
  </si>
  <si>
    <t>商业结构改造</t>
  </si>
  <si>
    <t>土方、降水费用</t>
  </si>
  <si>
    <t>住宅铝合金窗</t>
  </si>
  <si>
    <t>住宅户门</t>
  </si>
  <si>
    <t>住宅空调百叶</t>
  </si>
  <si>
    <t>住宅楼宇对讲门、汽车大堂门</t>
  </si>
  <si>
    <t>住宅外檐石材</t>
  </si>
  <si>
    <t>住宅外檐保温、涂料</t>
  </si>
  <si>
    <t>地下立体停车设备</t>
  </si>
  <si>
    <t>地库自流平地面及导识系统</t>
  </si>
  <si>
    <t>电梯</t>
  </si>
  <si>
    <t>住宅智能化</t>
  </si>
  <si>
    <t>商业智能化</t>
  </si>
  <si>
    <t>叠拼智能化（control 4系统）</t>
  </si>
  <si>
    <t>消防设备</t>
  </si>
  <si>
    <t>住宅新风系统</t>
  </si>
  <si>
    <t>地库机电设备</t>
  </si>
  <si>
    <t>地库人防设备</t>
  </si>
  <si>
    <t>商业机电安装</t>
  </si>
  <si>
    <t>商业一次精装修</t>
  </si>
  <si>
    <t>x</t>
  </si>
  <si>
    <t>商业二次精装修</t>
  </si>
  <si>
    <t>y</t>
  </si>
  <si>
    <t>商业外檐</t>
  </si>
  <si>
    <t>z</t>
  </si>
  <si>
    <t>售楼处中央空调系统</t>
  </si>
  <si>
    <t>aa</t>
  </si>
  <si>
    <t>公共部位精装修</t>
  </si>
  <si>
    <t>ab</t>
  </si>
  <si>
    <t>样板间智能家居</t>
  </si>
  <si>
    <t>ac</t>
  </si>
  <si>
    <t>变更及签证</t>
  </si>
  <si>
    <t>环境工程</t>
  </si>
  <si>
    <t>商业前广场</t>
  </si>
  <si>
    <t>区内景观</t>
  </si>
  <si>
    <t>样板间售楼处装修</t>
  </si>
  <si>
    <t>四</t>
  </si>
  <si>
    <t>小区基础设施费</t>
  </si>
  <si>
    <t>供电</t>
  </si>
  <si>
    <t>电力工程费</t>
  </si>
  <si>
    <t>一户一表费(含表箱)</t>
  </si>
  <si>
    <t>高层配电间</t>
  </si>
  <si>
    <t>土建站基础、箱式站基础</t>
  </si>
  <si>
    <t>内缆工程费</t>
  </si>
  <si>
    <t>原红号站、黑号站拆改费</t>
  </si>
  <si>
    <t>红号站设备</t>
  </si>
  <si>
    <t>供水</t>
  </si>
  <si>
    <t>自来水工程费</t>
  </si>
  <si>
    <t>自来水表</t>
  </si>
  <si>
    <t>二次管工程、设备费</t>
  </si>
  <si>
    <t>中水</t>
  </si>
  <si>
    <t>燃气</t>
  </si>
  <si>
    <t>燃气工程费</t>
  </si>
  <si>
    <t>表灶费</t>
  </si>
  <si>
    <t>煤气管及灶具</t>
  </si>
  <si>
    <t>气源发展基金</t>
  </si>
  <si>
    <t>土建调压站</t>
  </si>
  <si>
    <t>点火费</t>
  </si>
  <si>
    <t>供热</t>
  </si>
  <si>
    <t>热源费</t>
  </si>
  <si>
    <t>供热内网费</t>
  </si>
  <si>
    <t>热计量表</t>
  </si>
  <si>
    <t>换热站（土建）</t>
  </si>
  <si>
    <t>排水</t>
  </si>
  <si>
    <t>排水工程费</t>
  </si>
  <si>
    <t>排水破路施工费</t>
  </si>
  <si>
    <t>视讯</t>
  </si>
  <si>
    <t>电视线路安装费</t>
  </si>
  <si>
    <t>电视外网工程费</t>
  </si>
  <si>
    <t>通讯线路安装费</t>
  </si>
  <si>
    <t>其他基础设施费</t>
  </si>
  <si>
    <t>邮政设施</t>
  </si>
  <si>
    <t>配套监理费</t>
  </si>
  <si>
    <t>五</t>
  </si>
  <si>
    <t>公用配套设施</t>
  </si>
  <si>
    <t>小配套费</t>
  </si>
  <si>
    <t>物业管理费</t>
  </si>
  <si>
    <t>物业开办费</t>
  </si>
  <si>
    <t>验房费</t>
  </si>
  <si>
    <t>空房管理费</t>
  </si>
  <si>
    <t>前期配合费</t>
  </si>
  <si>
    <t>空房采暖费</t>
  </si>
  <si>
    <t>六</t>
  </si>
  <si>
    <t>不可预见费</t>
  </si>
  <si>
    <t>七</t>
  </si>
  <si>
    <t>直接成本小计</t>
  </si>
  <si>
    <t>八</t>
  </si>
  <si>
    <t>公共设施维修基金</t>
  </si>
  <si>
    <t>九</t>
  </si>
  <si>
    <t>销售收入</t>
  </si>
  <si>
    <t>十</t>
  </si>
  <si>
    <t>十一</t>
  </si>
  <si>
    <t>管理费用</t>
  </si>
  <si>
    <t>十二</t>
  </si>
  <si>
    <t>商业运营开办费</t>
  </si>
  <si>
    <t>十三</t>
  </si>
  <si>
    <t>资金成本</t>
  </si>
  <si>
    <t>十四</t>
  </si>
  <si>
    <t>营业税金</t>
  </si>
  <si>
    <t>十五</t>
  </si>
  <si>
    <t>土地增值税</t>
  </si>
  <si>
    <t>十六</t>
  </si>
  <si>
    <t>其他税金（印花税等）</t>
  </si>
  <si>
    <t>十七</t>
  </si>
  <si>
    <t>所得税</t>
  </si>
  <si>
    <t>十八</t>
  </si>
  <si>
    <t>税前成本合计</t>
  </si>
  <si>
    <t>十九</t>
  </si>
  <si>
    <t>税后利润</t>
  </si>
  <si>
    <t>二十</t>
  </si>
  <si>
    <t>税后净利润率</t>
  </si>
  <si>
    <t>合同</t>
  </si>
  <si>
    <r>
      <rPr>
        <sz val="10"/>
        <rFont val="宋体"/>
        <family val="3"/>
        <charset val="134"/>
      </rPr>
      <t>201</t>
    </r>
    <r>
      <rPr>
        <sz val="10"/>
        <rFont val="宋体"/>
        <family val="3"/>
        <charset val="134"/>
      </rPr>
      <t>4</t>
    </r>
    <r>
      <rPr>
        <sz val="10"/>
        <rFont val="宋体"/>
        <family val="3"/>
        <charset val="134"/>
      </rPr>
      <t>年</t>
    </r>
  </si>
  <si>
    <r>
      <rPr>
        <sz val="10"/>
        <rFont val="宋体"/>
        <family val="3"/>
        <charset val="134"/>
      </rPr>
      <t>201</t>
    </r>
    <r>
      <rPr>
        <sz val="10"/>
        <rFont val="宋体"/>
        <family val="3"/>
        <charset val="134"/>
      </rPr>
      <t>5</t>
    </r>
    <r>
      <rPr>
        <sz val="10"/>
        <rFont val="宋体"/>
        <family val="3"/>
        <charset val="134"/>
      </rPr>
      <t>年</t>
    </r>
  </si>
  <si>
    <r>
      <rPr>
        <sz val="10"/>
        <rFont val="宋体"/>
        <family val="3"/>
        <charset val="134"/>
      </rPr>
      <t>201</t>
    </r>
    <r>
      <rPr>
        <sz val="10"/>
        <rFont val="宋体"/>
        <family val="3"/>
        <charset val="134"/>
      </rPr>
      <t>6</t>
    </r>
    <r>
      <rPr>
        <sz val="10"/>
        <rFont val="宋体"/>
        <family val="3"/>
        <charset val="134"/>
      </rPr>
      <t>年</t>
    </r>
  </si>
  <si>
    <r>
      <rPr>
        <sz val="10"/>
        <rFont val="宋体"/>
        <family val="3"/>
        <charset val="134"/>
      </rPr>
      <t>2017</t>
    </r>
    <r>
      <rPr>
        <sz val="10"/>
        <rFont val="宋体"/>
        <family val="3"/>
        <charset val="134"/>
      </rPr>
      <t>年</t>
    </r>
  </si>
  <si>
    <r>
      <rPr>
        <sz val="10"/>
        <rFont val="宋体"/>
        <family val="3"/>
        <charset val="134"/>
      </rPr>
      <t>2</t>
    </r>
    <r>
      <rPr>
        <sz val="10"/>
        <rFont val="宋体"/>
        <family val="3"/>
        <charset val="134"/>
      </rPr>
      <t>018年</t>
    </r>
  </si>
  <si>
    <t>2019年</t>
  </si>
  <si>
    <t>整盘</t>
  </si>
  <si>
    <t>货量</t>
  </si>
  <si>
    <r>
      <rPr>
        <sz val="10"/>
        <color indexed="8"/>
        <rFont val="Arial"/>
        <family val="2"/>
      </rPr>
      <t>9</t>
    </r>
    <r>
      <rPr>
        <sz val="10"/>
        <color indexed="8"/>
        <rFont val="宋体"/>
        <family val="3"/>
        <charset val="134"/>
      </rPr>
      <t>月</t>
    </r>
  </si>
  <si>
    <r>
      <rPr>
        <sz val="10"/>
        <color indexed="8"/>
        <rFont val="Arial"/>
        <family val="2"/>
      </rPr>
      <t>10月</t>
    </r>
  </si>
  <si>
    <r>
      <rPr>
        <sz val="10"/>
        <color indexed="8"/>
        <rFont val="Arial"/>
        <family val="2"/>
      </rPr>
      <t>11月</t>
    </r>
  </si>
  <si>
    <r>
      <rPr>
        <sz val="10"/>
        <color indexed="8"/>
        <rFont val="Arial"/>
        <family val="2"/>
      </rPr>
      <t>12月</t>
    </r>
  </si>
  <si>
    <r>
      <rPr>
        <sz val="10"/>
        <rFont val="Arial"/>
        <family val="2"/>
      </rPr>
      <t>14</t>
    </r>
    <r>
      <rPr>
        <sz val="10"/>
        <rFont val="宋体"/>
        <family val="3"/>
        <charset val="134"/>
      </rPr>
      <t>年合计</t>
    </r>
  </si>
  <si>
    <r>
      <rPr>
        <sz val="10"/>
        <color indexed="8"/>
        <rFont val="Arial"/>
        <family val="2"/>
      </rPr>
      <t>1</t>
    </r>
    <r>
      <rPr>
        <sz val="10"/>
        <color indexed="8"/>
        <rFont val="宋体"/>
        <family val="3"/>
        <charset val="134"/>
      </rPr>
      <t>月</t>
    </r>
  </si>
  <si>
    <r>
      <rPr>
        <sz val="10"/>
        <color indexed="8"/>
        <rFont val="Arial"/>
        <family val="2"/>
      </rPr>
      <t>2月</t>
    </r>
  </si>
  <si>
    <r>
      <rPr>
        <sz val="10"/>
        <color indexed="8"/>
        <rFont val="Arial"/>
        <family val="2"/>
      </rPr>
      <t>3月</t>
    </r>
  </si>
  <si>
    <r>
      <rPr>
        <sz val="10"/>
        <color indexed="8"/>
        <rFont val="Arial"/>
        <family val="2"/>
      </rPr>
      <t>4月</t>
    </r>
  </si>
  <si>
    <r>
      <rPr>
        <sz val="10"/>
        <color indexed="8"/>
        <rFont val="Arial"/>
        <family val="2"/>
      </rPr>
      <t>5月</t>
    </r>
  </si>
  <si>
    <r>
      <rPr>
        <sz val="10"/>
        <color indexed="8"/>
        <rFont val="Arial"/>
        <family val="2"/>
      </rPr>
      <t>6月</t>
    </r>
  </si>
  <si>
    <r>
      <rPr>
        <sz val="10"/>
        <color indexed="8"/>
        <rFont val="Arial"/>
        <family val="2"/>
      </rPr>
      <t>8月</t>
    </r>
  </si>
  <si>
    <r>
      <rPr>
        <sz val="10"/>
        <color indexed="8"/>
        <rFont val="Arial"/>
        <family val="2"/>
      </rPr>
      <t>9月</t>
    </r>
  </si>
  <si>
    <r>
      <rPr>
        <sz val="10"/>
        <rFont val="Arial"/>
        <family val="2"/>
      </rPr>
      <t>15</t>
    </r>
    <r>
      <rPr>
        <sz val="10"/>
        <rFont val="宋体"/>
        <family val="3"/>
        <charset val="134"/>
      </rPr>
      <t>年合计</t>
    </r>
  </si>
  <si>
    <r>
      <rPr>
        <sz val="10"/>
        <color indexed="8"/>
        <rFont val="Arial"/>
        <family val="2"/>
      </rPr>
      <t>5</t>
    </r>
    <r>
      <rPr>
        <sz val="10"/>
        <color indexed="8"/>
        <rFont val="宋体"/>
        <family val="3"/>
        <charset val="134"/>
      </rPr>
      <t>月叠拼开盘</t>
    </r>
  </si>
  <si>
    <r>
      <rPr>
        <sz val="10"/>
        <color indexed="8"/>
        <rFont val="Arial"/>
        <family val="2"/>
      </rPr>
      <t>7月</t>
    </r>
  </si>
  <si>
    <r>
      <rPr>
        <sz val="10"/>
        <color indexed="8"/>
        <rFont val="Arial"/>
        <family val="2"/>
      </rPr>
      <t>10</t>
    </r>
    <r>
      <rPr>
        <sz val="10"/>
        <color indexed="8"/>
        <rFont val="宋体"/>
        <family val="3"/>
        <charset val="134"/>
      </rPr>
      <t>月</t>
    </r>
  </si>
  <si>
    <r>
      <rPr>
        <sz val="10"/>
        <color indexed="8"/>
        <rFont val="Arial"/>
        <family val="2"/>
      </rPr>
      <t>11</t>
    </r>
    <r>
      <rPr>
        <sz val="10"/>
        <color indexed="8"/>
        <rFont val="宋体"/>
        <family val="3"/>
        <charset val="134"/>
      </rPr>
      <t>月</t>
    </r>
  </si>
  <si>
    <r>
      <rPr>
        <sz val="10"/>
        <color indexed="8"/>
        <rFont val="Arial"/>
        <family val="2"/>
      </rPr>
      <t>12</t>
    </r>
    <r>
      <rPr>
        <sz val="10"/>
        <color indexed="8"/>
        <rFont val="宋体"/>
        <family val="3"/>
        <charset val="134"/>
      </rPr>
      <t>月</t>
    </r>
  </si>
  <si>
    <r>
      <rPr>
        <sz val="10"/>
        <rFont val="Arial"/>
        <family val="2"/>
      </rPr>
      <t>16</t>
    </r>
    <r>
      <rPr>
        <sz val="10"/>
        <rFont val="宋体"/>
        <family val="3"/>
        <charset val="134"/>
      </rPr>
      <t>年合计</t>
    </r>
  </si>
  <si>
    <r>
      <rPr>
        <sz val="10"/>
        <rFont val="Arial"/>
        <family val="2"/>
      </rPr>
      <t>17</t>
    </r>
    <r>
      <rPr>
        <sz val="10"/>
        <rFont val="宋体"/>
        <family val="3"/>
        <charset val="134"/>
      </rPr>
      <t>年合计</t>
    </r>
  </si>
  <si>
    <r>
      <rPr>
        <sz val="10"/>
        <rFont val="Arial"/>
        <family val="2"/>
      </rPr>
      <t>18</t>
    </r>
    <r>
      <rPr>
        <sz val="10"/>
        <rFont val="宋体"/>
        <family val="3"/>
        <charset val="134"/>
      </rPr>
      <t>年合计</t>
    </r>
  </si>
  <si>
    <r>
      <rPr>
        <sz val="10"/>
        <rFont val="Arial"/>
        <family val="2"/>
      </rPr>
      <t>1</t>
    </r>
    <r>
      <rPr>
        <sz val="10"/>
        <rFont val="宋体"/>
        <family val="3"/>
        <charset val="134"/>
      </rPr>
      <t>月</t>
    </r>
  </si>
  <si>
    <r>
      <rPr>
        <sz val="10"/>
        <rFont val="Arial"/>
        <family val="2"/>
      </rPr>
      <t>2月</t>
    </r>
  </si>
  <si>
    <r>
      <rPr>
        <sz val="10"/>
        <rFont val="Arial"/>
        <family val="2"/>
      </rPr>
      <t>3月</t>
    </r>
  </si>
  <si>
    <r>
      <rPr>
        <sz val="10"/>
        <rFont val="Arial"/>
        <family val="2"/>
      </rPr>
      <t>4月</t>
    </r>
  </si>
  <si>
    <r>
      <rPr>
        <sz val="10"/>
        <rFont val="Arial"/>
        <family val="2"/>
      </rPr>
      <t>5月</t>
    </r>
  </si>
  <si>
    <r>
      <rPr>
        <sz val="10"/>
        <rFont val="Arial"/>
        <family val="2"/>
      </rPr>
      <t>19</t>
    </r>
    <r>
      <rPr>
        <sz val="10"/>
        <rFont val="宋体"/>
        <family val="3"/>
        <charset val="134"/>
      </rPr>
      <t>年合计</t>
    </r>
  </si>
  <si>
    <t>销售节点</t>
  </si>
  <si>
    <t>示范区开放</t>
  </si>
  <si>
    <t>首次开盘</t>
  </si>
  <si>
    <t>加推</t>
  </si>
  <si>
    <t>加推复式9、10、11#；联排28#</t>
  </si>
  <si>
    <t>加推联排42、43、45#、叠拼46、57#</t>
  </si>
  <si>
    <t>加推叠拼58、67#、双拼55、52#</t>
  </si>
  <si>
    <t>加推联排44、47、48#；复式6、7、8#</t>
  </si>
  <si>
    <t>复式跃层</t>
  </si>
  <si>
    <t>一跃二</t>
  </si>
  <si>
    <t>套数</t>
  </si>
  <si>
    <t>面积</t>
  </si>
  <si>
    <t>单价</t>
  </si>
  <si>
    <t>销售额</t>
  </si>
  <si>
    <t>三跃四</t>
  </si>
  <si>
    <t>小计</t>
  </si>
  <si>
    <t>叠拼</t>
  </si>
  <si>
    <t xml:space="preserve">叠下 </t>
  </si>
  <si>
    <t xml:space="preserve">叠上 </t>
  </si>
  <si>
    <t>联排</t>
  </si>
  <si>
    <t>联排中户</t>
  </si>
  <si>
    <t>联排端户</t>
  </si>
  <si>
    <t>独栋</t>
  </si>
  <si>
    <t>双拼</t>
  </si>
  <si>
    <t>商业</t>
  </si>
  <si>
    <t>蓟县博御园项目目标及动态成本分析表</t>
  </si>
  <si>
    <t>原目标成本</t>
  </si>
  <si>
    <t>新目标成本</t>
  </si>
  <si>
    <t>差值（新目标-原目标）</t>
  </si>
  <si>
    <t>差值说明</t>
  </si>
  <si>
    <t>截止2016年2月</t>
  </si>
  <si>
    <t>印花税</t>
  </si>
  <si>
    <t>交易手续费</t>
  </si>
  <si>
    <t>拍卖佣金</t>
  </si>
  <si>
    <t>勘察测绘费</t>
  </si>
  <si>
    <t>2.1.1</t>
  </si>
  <si>
    <t>2.1.2</t>
  </si>
  <si>
    <t>测绘费（管线实测）</t>
  </si>
  <si>
    <t>2.1.3</t>
  </si>
  <si>
    <t>2.2.1</t>
  </si>
  <si>
    <t>设计费(建筑）</t>
  </si>
  <si>
    <t>2.2.2</t>
  </si>
  <si>
    <t>成品房设计费(样板间、售楼处)</t>
  </si>
  <si>
    <t>因增加了宝坻74#地公共部分精装设计3.329万元，故超成本2.9万元</t>
  </si>
  <si>
    <t>2.2.3</t>
  </si>
  <si>
    <t>景观设计费</t>
  </si>
  <si>
    <t>2.2.4</t>
  </si>
  <si>
    <t>2.2.5</t>
  </si>
  <si>
    <t>其他设计费（含人防设计费、挡墙设计费）</t>
  </si>
  <si>
    <t>地库非人防设计由冶金院设计31.11万</t>
  </si>
  <si>
    <t>2.2.6</t>
  </si>
  <si>
    <t>三通一平及临时设施</t>
  </si>
  <si>
    <t>2.3.1</t>
  </si>
  <si>
    <t>临电工程费红线内外</t>
  </si>
  <si>
    <t>增加原因是原在一期设置的2台变压器进行移位</t>
  </si>
  <si>
    <t>2.3.2</t>
  </si>
  <si>
    <t>临水工程费红线内外</t>
  </si>
  <si>
    <t>2.3.3</t>
  </si>
  <si>
    <t>临排工程费</t>
  </si>
  <si>
    <t>2.3.4</t>
  </si>
  <si>
    <t>平整场地</t>
  </si>
  <si>
    <t>预计结算值不超合同额</t>
  </si>
  <si>
    <t>2.3.5</t>
  </si>
  <si>
    <t>临时设施（临时围墙）</t>
  </si>
  <si>
    <t>2.3.6</t>
  </si>
  <si>
    <t>北侧二期商业增加一个道路开口</t>
  </si>
  <si>
    <t>2.3.7</t>
  </si>
  <si>
    <t>障碍物拆除费</t>
  </si>
  <si>
    <t>招标代理咨询费</t>
  </si>
  <si>
    <t>2.4.1</t>
  </si>
  <si>
    <t>招标代理费（建筑、监理、勘察、设计、物业）</t>
  </si>
  <si>
    <t>2.4.2</t>
  </si>
  <si>
    <t>工程建设交易服务费（建筑、监理、勘察、设计、物业）</t>
  </si>
  <si>
    <t>2.4.3</t>
  </si>
  <si>
    <t>工程支付款担保费</t>
  </si>
  <si>
    <t>2.4.4</t>
  </si>
  <si>
    <t>造价咨询费</t>
  </si>
  <si>
    <t>按照合同单价及目前建筑面积计算</t>
  </si>
  <si>
    <t>环境、能评费用</t>
  </si>
  <si>
    <t>2.5.1</t>
  </si>
  <si>
    <t>2.5.2</t>
  </si>
  <si>
    <t>环境验收费用</t>
  </si>
  <si>
    <t>2.5.3</t>
  </si>
  <si>
    <t>地质灾害评估</t>
  </si>
  <si>
    <t>2.5.4</t>
  </si>
  <si>
    <t>能源评估费</t>
  </si>
  <si>
    <t>2.5.5</t>
  </si>
  <si>
    <t>扬尘措施费</t>
  </si>
  <si>
    <t>新增收费项目</t>
  </si>
  <si>
    <t>2.5.6</t>
  </si>
  <si>
    <t>噪声污染措施费</t>
  </si>
  <si>
    <t>办理施工许可证费用</t>
  </si>
  <si>
    <t>2.6.1</t>
  </si>
  <si>
    <t>2.6.2</t>
  </si>
  <si>
    <t>2.6.3</t>
  </si>
  <si>
    <t>人防异地建设费</t>
  </si>
  <si>
    <t>2.6.4</t>
  </si>
  <si>
    <t>地名标志费</t>
  </si>
  <si>
    <t>2.6.5</t>
  </si>
  <si>
    <t>地名公告费</t>
  </si>
  <si>
    <t>2.6.6</t>
  </si>
  <si>
    <t>楼栋、单元标牌费</t>
  </si>
  <si>
    <t>检测费用</t>
  </si>
  <si>
    <t>2.7.1</t>
  </si>
  <si>
    <t>2.7.2</t>
  </si>
  <si>
    <t>电气消防安全检测费</t>
  </si>
  <si>
    <t>2.7.3</t>
  </si>
  <si>
    <t>2.7.4</t>
  </si>
  <si>
    <t>2.7.5</t>
  </si>
  <si>
    <t>2.7.6</t>
  </si>
  <si>
    <t>销售相关费用</t>
  </si>
  <si>
    <t>2.8.1</t>
  </si>
  <si>
    <t>2.8.2</t>
  </si>
  <si>
    <t>2.8.3</t>
  </si>
  <si>
    <t>预售登记费</t>
  </si>
  <si>
    <t>8.8.4</t>
  </si>
  <si>
    <t>分户土地登记费</t>
  </si>
  <si>
    <t>2.8.5</t>
  </si>
  <si>
    <t>2.8.6</t>
  </si>
  <si>
    <t>房产测绘费（面积测量）</t>
  </si>
  <si>
    <t>2.8.7</t>
  </si>
  <si>
    <t>房屋转让手续费（产权登记）</t>
  </si>
  <si>
    <t>桩基、土方、基坑支护工程</t>
  </si>
  <si>
    <t>3.1.1</t>
  </si>
  <si>
    <t>三期桩基单价已定，但工程量需按现场情况测量确定，暂按勘查报告和设计要求估算工程量，成本按700万元预估。</t>
  </si>
  <si>
    <t>3.1.2</t>
  </si>
  <si>
    <t>桩检测费用</t>
  </si>
  <si>
    <t>已签合同额18.49万元，因桩基工程费增加，桩基检测费相应增加</t>
  </si>
  <si>
    <t>3.1.3</t>
  </si>
  <si>
    <t>挖填土方</t>
  </si>
  <si>
    <t>3.1.4</t>
  </si>
  <si>
    <t>地基处理费(强夯）</t>
  </si>
  <si>
    <t>3.1.5</t>
  </si>
  <si>
    <t>地基处理费（换填）</t>
  </si>
  <si>
    <t>3.1.6</t>
  </si>
  <si>
    <t>3.1.7</t>
  </si>
  <si>
    <t>建筑物定位测量及工程竣工验收测量</t>
  </si>
  <si>
    <t>已发生41.33万元，超成本8.74万元。因二三期增加了检线费用。</t>
  </si>
  <si>
    <t>3.2.1</t>
  </si>
  <si>
    <t>建安工程费[标准为毛坯房；含主体结构、装饰、栏杆扶手、水暖电等]</t>
  </si>
  <si>
    <t>动态成本组成：（1）一期按核对后泉州报价下浮7%后11032万元+措施费300万元-公共部位96万元=11236万元。（2）二三期总包按中标价12490万元</t>
  </si>
  <si>
    <t>3.2.2</t>
  </si>
  <si>
    <t>此部分原来在总包范围内，现甲方单独招标，按33号楼已发生成本估算（一个门栋3.48万元，共96个）</t>
  </si>
  <si>
    <t>3.2.3</t>
  </si>
  <si>
    <t>精装修(样板间、会所)</t>
  </si>
  <si>
    <t>按合同额计入，包括钢结构和售楼处、样板间（两个）精装修费用。另外因集团5层办公楼装修10万元进入本项成本。</t>
  </si>
  <si>
    <t>3.2.4</t>
  </si>
  <si>
    <t>外檐保温石材及涂料</t>
  </si>
  <si>
    <t>3.2.5</t>
  </si>
  <si>
    <t>外檐断桥铝合金门窗</t>
  </si>
  <si>
    <t>3.2.6</t>
  </si>
  <si>
    <t>铝合金空调百叶</t>
  </si>
  <si>
    <t>3.2.7</t>
  </si>
  <si>
    <t>入户门（不含小院门）</t>
  </si>
  <si>
    <t>3.2.8</t>
  </si>
  <si>
    <t>配电箱及电表箱</t>
  </si>
  <si>
    <t>设备安装</t>
  </si>
  <si>
    <t>3.3.1</t>
  </si>
  <si>
    <t>3.3.2</t>
  </si>
  <si>
    <t>智能化（对讲、窗磁等）</t>
  </si>
  <si>
    <t>3.3.3</t>
  </si>
  <si>
    <t>消防工程</t>
  </si>
  <si>
    <t>3.3.4</t>
  </si>
  <si>
    <t>人防工程</t>
  </si>
  <si>
    <t>3.3.5</t>
  </si>
  <si>
    <t>空调系统工程</t>
  </si>
  <si>
    <t>3.3.6</t>
  </si>
  <si>
    <t>通风系统工程</t>
  </si>
  <si>
    <t>此部分在总包工程中</t>
  </si>
  <si>
    <t>3.3.7</t>
  </si>
  <si>
    <t>机械车位租赁（双层）</t>
  </si>
  <si>
    <t>3.3.8</t>
  </si>
  <si>
    <t>太阳能系统(四步节能）</t>
  </si>
  <si>
    <t>3.4.1</t>
  </si>
  <si>
    <t>区内景观工程（含示范区景观）</t>
  </si>
  <si>
    <t>动态成本组成：（1）示范区已发生合同1321万元，景观面积17000 m2，单方造价777元/m2（2）一期剩余景观按现在图纸测算约900万元，景观面积39000 m2，单方造价230元/m2（3）二期景观成本约300万元，景观面积8500 m2，单方造价352元/m2（4）三期景观预估成本800万，景观面积37000 m2，单方造价216元/m2（5）景观成本总计约3320万元，景观面积101500 m2，单方造价327元/m2（6）三期区内挡墙成本按现有方案预估800万（1317延米）。</t>
  </si>
  <si>
    <t>3.4.2</t>
  </si>
  <si>
    <t>区外挡土墙工程</t>
  </si>
  <si>
    <t>目前已经发生挡土墙费用438万元，东侧挡墙按照目前方案预计为530万元。（挡墙504延米，495万，东侧北段按填土计入约35万元</t>
  </si>
  <si>
    <t>3.4.3</t>
  </si>
  <si>
    <t>监理费</t>
  </si>
  <si>
    <t>3.5.1</t>
  </si>
  <si>
    <t>3.5.2</t>
  </si>
  <si>
    <t>含人防监理费</t>
  </si>
  <si>
    <t>变更签证</t>
  </si>
  <si>
    <t>一期已上报约200万</t>
  </si>
  <si>
    <t>4.1.1</t>
  </si>
  <si>
    <t>4.1.2</t>
  </si>
  <si>
    <t>一户一表费</t>
  </si>
  <si>
    <t>4.1.3</t>
  </si>
  <si>
    <t>外线路由费及破路补偿费</t>
  </si>
  <si>
    <t>4.1.4</t>
  </si>
  <si>
    <t>配电柜</t>
  </si>
  <si>
    <t>4.1.5</t>
  </si>
  <si>
    <t>4.1.6</t>
  </si>
  <si>
    <t>箱式站基础、Cf箱基础、土建变电站</t>
  </si>
  <si>
    <t>4.1.7</t>
  </si>
  <si>
    <t>供水（自来水）</t>
  </si>
  <si>
    <t>4.2.1</t>
  </si>
  <si>
    <t>4.2.2</t>
  </si>
  <si>
    <t>自来水工程费（二次网）</t>
  </si>
  <si>
    <t>4.2.3</t>
  </si>
  <si>
    <t>水表</t>
  </si>
  <si>
    <t>4.2.4</t>
  </si>
  <si>
    <t>室外消火栓</t>
  </si>
  <si>
    <t>4.2.5</t>
  </si>
  <si>
    <t>4.2.6</t>
  </si>
  <si>
    <t>4.2.7</t>
  </si>
  <si>
    <t>水土保持方案编制费</t>
  </si>
  <si>
    <t>4.2.8</t>
  </si>
  <si>
    <t>用水报告书编制费</t>
  </si>
  <si>
    <t>4.2.9</t>
  </si>
  <si>
    <t>二次供水工程设备费</t>
  </si>
  <si>
    <t>供水（中水）</t>
  </si>
  <si>
    <t>4.3.1</t>
  </si>
  <si>
    <t>中水工程费</t>
  </si>
  <si>
    <t>4.3.2</t>
  </si>
  <si>
    <t>中水工程费（二次网）</t>
  </si>
  <si>
    <t>4.3.3</t>
  </si>
  <si>
    <t>4.3.4</t>
  </si>
  <si>
    <t>4.4.1</t>
  </si>
  <si>
    <t>4.4.2</t>
  </si>
  <si>
    <t>4.5.1</t>
  </si>
  <si>
    <t>供热工程建设费</t>
  </si>
  <si>
    <t>4.5.2</t>
  </si>
  <si>
    <t>4.5.3</t>
  </si>
  <si>
    <t>4.6.1</t>
  </si>
  <si>
    <t>气源发展基金(蓟县另收）</t>
  </si>
  <si>
    <t>4.6.2</t>
  </si>
  <si>
    <t>4.6.3</t>
  </si>
  <si>
    <t>燃气设计费</t>
  </si>
  <si>
    <t>目前未发生，如商业不发生，可节约18.44万元</t>
  </si>
  <si>
    <t>4.6.4</t>
  </si>
  <si>
    <t>燃气表费</t>
  </si>
  <si>
    <t>4.6.5</t>
  </si>
  <si>
    <t>燃气报警器</t>
  </si>
  <si>
    <t>4.6.6</t>
  </si>
  <si>
    <t>4.7.1</t>
  </si>
  <si>
    <t>此费用转入通讯管网费</t>
  </si>
  <si>
    <t>4.7.2</t>
  </si>
  <si>
    <t>4.7.3</t>
  </si>
  <si>
    <t>通讯线路安装费（含管网及光纤）</t>
  </si>
  <si>
    <t>管网合同已定，造价54.99万元，因新政策通讯光缆由甲方建设，故预估110万元。（宝坻74#合同已定60万，参考宝坻占地面积估算）</t>
  </si>
  <si>
    <t>室外区内智能化工程</t>
  </si>
  <si>
    <t>4.8.1</t>
  </si>
  <si>
    <t>区停车场管理系统</t>
  </si>
  <si>
    <t>4.8.2</t>
  </si>
  <si>
    <t>安防系统工程、交通设施</t>
  </si>
  <si>
    <t>4.8.3</t>
  </si>
  <si>
    <t>音乐广播、电子屏系统</t>
  </si>
  <si>
    <t>4.9.1</t>
  </si>
  <si>
    <t>4.9.2</t>
  </si>
  <si>
    <t>环卫设施</t>
  </si>
  <si>
    <t>4.9.3</t>
  </si>
  <si>
    <t>交通设施</t>
  </si>
  <si>
    <t>原成本未考虑此项，现按3元/建筑面积计入。</t>
  </si>
  <si>
    <t>非营业性公建配套费</t>
  </si>
  <si>
    <t>5.2.1</t>
  </si>
  <si>
    <t>5.2.2</t>
  </si>
  <si>
    <t>5.2.3</t>
  </si>
  <si>
    <t>5.2.4</t>
  </si>
  <si>
    <t>原成本未考虑此项,一期入住时空房18000平米*0.8*25=36万；三期入住后供暖前空房15000平米*0.8*25=30万；共计66万</t>
  </si>
  <si>
    <t>不可预见费（建安工程费的千分之五）</t>
  </si>
  <si>
    <t>毛利率</t>
  </si>
  <si>
    <t>资金成本（贷款利息）</t>
  </si>
  <si>
    <t>融资成本</t>
  </si>
  <si>
    <t>税前利润</t>
  </si>
  <si>
    <t>税前利润率</t>
  </si>
  <si>
    <t>二十一</t>
  </si>
  <si>
    <t>税后成本合计</t>
  </si>
  <si>
    <t>二十二</t>
  </si>
  <si>
    <t>二十三</t>
  </si>
  <si>
    <t>蓟县博御园项目动态成本分析表</t>
  </si>
  <si>
    <t>销售面积</t>
  </si>
  <si>
    <t>①</t>
  </si>
  <si>
    <t>②</t>
  </si>
  <si>
    <t>③</t>
  </si>
  <si>
    <t>④</t>
  </si>
  <si>
    <t>⑤</t>
  </si>
  <si>
    <t>⑥=②+③+④+⑤</t>
  </si>
  <si>
    <t>⑦</t>
  </si>
  <si>
    <t>⑧=⑥+⑦</t>
  </si>
  <si>
    <t>⑧-①</t>
  </si>
  <si>
    <t>成本增加29.85万元。  主要原因是土地契税，目标成本1166.89万元是按（土地+大配套费）*3%计算；合同额：1196.756417万元（按容积率1.1计算的大配套费），而目标成本的大配套费的计费面积是按实际容积率0.766。</t>
  </si>
  <si>
    <t>土地契税：（土地+大配套费）*3%；合同额：1196.756417万元（按容积率1.1计算的大配套费）</t>
  </si>
  <si>
    <t>南侧挡墙补勘12根*7米*270=22680元；东侧挡墙预留补勘5万元</t>
  </si>
  <si>
    <t>（1）扣减地库设计费10370*30元=31.11万元；地库设计由冶金院设计。（2）施工图优化设计预估200万</t>
  </si>
  <si>
    <t>二、三期预留2.37万元</t>
  </si>
  <si>
    <t>预计一期入住后1台变压器移位</t>
  </si>
  <si>
    <t>示范区增加，走签证</t>
  </si>
  <si>
    <t>一期入住后增加二期的一个道路开口</t>
  </si>
  <si>
    <t>二、三期建设工程交易服务费4.56+3；设备交易服务费2万</t>
  </si>
  <si>
    <t>二、三期建设工程支付款担保费</t>
  </si>
  <si>
    <t>相同产品形式由于基础不同结构不同，故相应增加费用；同时挡土墙、精装、景观、配套等全部由咨询公司进行预算编制，故费用预计有所增加。</t>
  </si>
  <si>
    <t>此项有可能不发生</t>
  </si>
  <si>
    <t>二、三期</t>
  </si>
  <si>
    <t>一期按泉州报价下浮7%后11032万元+措施费300万元+二三期总包中标价12490万元</t>
  </si>
  <si>
    <t>按33号楼已发生成本估算</t>
  </si>
  <si>
    <t>两个样板间一个售楼处</t>
  </si>
  <si>
    <t>景观：一期剩余900万+二期300万+800万+三期区内档墙800万=2800万元</t>
  </si>
  <si>
    <t>3号楼以南挡墙495万元+北侧地库填土35万元</t>
  </si>
  <si>
    <t>已发生签证约30万，考虑北侧未施工部分可做优化（减景石11万、减苗木约8万）</t>
  </si>
  <si>
    <t>二期地库</t>
  </si>
  <si>
    <t>一、三期</t>
  </si>
  <si>
    <t>地库</t>
  </si>
  <si>
    <t>挖沟石方签证</t>
  </si>
  <si>
    <t>已签定综合管网施工图设计费，不发生专项燃气设计费</t>
  </si>
  <si>
    <t>入住</t>
  </si>
  <si>
    <t>增加光纤入户</t>
  </si>
  <si>
    <t>其中1745万是贷款利息；2000万是购买债权</t>
  </si>
  <si>
    <t>项目成本发生明细</t>
  </si>
  <si>
    <t>单位：元</t>
  </si>
  <si>
    <t>建筑面积：</t>
  </si>
  <si>
    <t>合同编号</t>
  </si>
  <si>
    <t>项    目</t>
  </si>
  <si>
    <t>成本编码</t>
  </si>
  <si>
    <r>
      <rPr>
        <b/>
        <sz val="10"/>
        <rFont val="宋体"/>
        <family val="3"/>
        <charset val="134"/>
      </rPr>
      <t>控制指标</t>
    </r>
    <r>
      <rPr>
        <b/>
        <sz val="8"/>
        <rFont val="宋体"/>
        <family val="3"/>
        <charset val="134"/>
      </rPr>
      <t>（元/m2）</t>
    </r>
  </si>
  <si>
    <t>成本总额（万元）</t>
  </si>
  <si>
    <t>已发生合同额</t>
  </si>
  <si>
    <r>
      <rPr>
        <b/>
        <sz val="10"/>
        <rFont val="宋体"/>
        <family val="3"/>
        <charset val="134"/>
      </rPr>
      <t xml:space="preserve">已发生平米造价
</t>
    </r>
    <r>
      <rPr>
        <b/>
        <sz val="8"/>
        <rFont val="宋体"/>
        <family val="3"/>
        <charset val="134"/>
      </rPr>
      <t>（元</t>
    </r>
    <r>
      <rPr>
        <b/>
        <sz val="8"/>
        <rFont val="Times New Roman"/>
        <family val="1"/>
      </rPr>
      <t>/m2</t>
    </r>
    <r>
      <rPr>
        <b/>
        <sz val="8"/>
        <rFont val="宋体"/>
        <family val="3"/>
        <charset val="134"/>
      </rPr>
      <t>）</t>
    </r>
  </si>
  <si>
    <t>合同累计拨款</t>
  </si>
  <si>
    <t>成本对比</t>
  </si>
  <si>
    <t>指标对比</t>
  </si>
  <si>
    <t>备      注</t>
  </si>
  <si>
    <t>一、土地及大配套</t>
  </si>
  <si>
    <t>5001.01.01</t>
  </si>
  <si>
    <r>
      <rPr>
        <b/>
        <sz val="10"/>
        <rFont val="黑体"/>
        <family val="3"/>
        <charset val="134"/>
      </rPr>
      <t>1.1</t>
    </r>
    <r>
      <rPr>
        <b/>
        <sz val="10"/>
        <rFont val="黑体"/>
        <family val="3"/>
        <charset val="134"/>
      </rPr>
      <t xml:space="preserve">  </t>
    </r>
    <r>
      <rPr>
        <b/>
        <sz val="10"/>
        <rFont val="黑体"/>
        <family val="3"/>
        <charset val="134"/>
      </rPr>
      <t>土地出让金</t>
    </r>
    <r>
      <rPr>
        <b/>
        <sz val="10"/>
        <color indexed="10"/>
        <rFont val="黑体"/>
        <family val="3"/>
        <charset val="134"/>
      </rPr>
      <t>(土土)</t>
    </r>
  </si>
  <si>
    <t>5001.01.01.01</t>
  </si>
  <si>
    <r>
      <rPr>
        <b/>
        <sz val="10"/>
        <rFont val="黑体"/>
        <family val="3"/>
        <charset val="134"/>
      </rPr>
      <t>1.2</t>
    </r>
    <r>
      <rPr>
        <b/>
        <sz val="10"/>
        <rFont val="黑体"/>
        <family val="3"/>
        <charset val="134"/>
      </rPr>
      <t xml:space="preserve">  </t>
    </r>
    <r>
      <rPr>
        <b/>
        <sz val="10"/>
        <rFont val="黑体"/>
        <family val="3"/>
        <charset val="134"/>
      </rPr>
      <t>大配套费</t>
    </r>
    <r>
      <rPr>
        <b/>
        <sz val="10"/>
        <color indexed="10"/>
        <rFont val="黑体"/>
        <family val="3"/>
        <charset val="134"/>
      </rPr>
      <t>（土配）</t>
    </r>
  </si>
  <si>
    <t>5001.01.01.02</t>
  </si>
  <si>
    <r>
      <rPr>
        <b/>
        <sz val="10"/>
        <rFont val="黑体"/>
        <family val="3"/>
        <charset val="134"/>
      </rPr>
      <t>1.3</t>
    </r>
    <r>
      <rPr>
        <b/>
        <sz val="10"/>
        <rFont val="黑体"/>
        <family val="3"/>
        <charset val="134"/>
      </rPr>
      <t xml:space="preserve">  </t>
    </r>
    <r>
      <rPr>
        <b/>
        <sz val="10"/>
        <rFont val="黑体"/>
        <family val="3"/>
        <charset val="134"/>
      </rPr>
      <t>土地契税</t>
    </r>
    <r>
      <rPr>
        <b/>
        <sz val="10"/>
        <color indexed="10"/>
        <rFont val="黑体"/>
        <family val="3"/>
        <charset val="134"/>
      </rPr>
      <t>（土契）</t>
    </r>
  </si>
  <si>
    <t>5001.01.01.03</t>
  </si>
  <si>
    <r>
      <rPr>
        <b/>
        <sz val="10"/>
        <rFont val="黑体"/>
        <family val="3"/>
        <charset val="134"/>
      </rPr>
      <t>1.4</t>
    </r>
    <r>
      <rPr>
        <b/>
        <sz val="10"/>
        <rFont val="黑体"/>
        <family val="3"/>
        <charset val="134"/>
      </rPr>
      <t xml:space="preserve">  </t>
    </r>
    <r>
      <rPr>
        <b/>
        <sz val="10"/>
        <rFont val="黑体"/>
        <family val="3"/>
        <charset val="134"/>
      </rPr>
      <t>土地交易费</t>
    </r>
    <r>
      <rPr>
        <b/>
        <sz val="10"/>
        <color indexed="10"/>
        <rFont val="黑体"/>
        <family val="3"/>
        <charset val="134"/>
      </rPr>
      <t>（土交）</t>
    </r>
  </si>
  <si>
    <t>5001.01.01.04</t>
  </si>
  <si>
    <r>
      <rPr>
        <b/>
        <sz val="10"/>
        <rFont val="黑体"/>
        <family val="3"/>
        <charset val="134"/>
      </rPr>
      <t>1.5  印花税</t>
    </r>
    <r>
      <rPr>
        <b/>
        <sz val="10"/>
        <color indexed="10"/>
        <rFont val="黑体"/>
        <family val="3"/>
        <charset val="134"/>
      </rPr>
      <t>（土印）</t>
    </r>
  </si>
  <si>
    <t>5001.01.01.05</t>
  </si>
  <si>
    <r>
      <rPr>
        <b/>
        <sz val="10"/>
        <rFont val="黑体"/>
        <family val="3"/>
        <charset val="134"/>
      </rPr>
      <t>1.6  交易手续费</t>
    </r>
    <r>
      <rPr>
        <b/>
        <sz val="10"/>
        <color indexed="10"/>
        <rFont val="黑体"/>
        <family val="3"/>
        <charset val="134"/>
      </rPr>
      <t>（土手）</t>
    </r>
  </si>
  <si>
    <r>
      <rPr>
        <b/>
        <sz val="10"/>
        <rFont val="黑体"/>
        <family val="3"/>
        <charset val="134"/>
      </rPr>
      <t>1.7  拍卖佣金</t>
    </r>
    <r>
      <rPr>
        <b/>
        <sz val="10"/>
        <color rgb="FFFF0000"/>
        <rFont val="黑体"/>
        <family val="3"/>
        <charset val="134"/>
      </rPr>
      <t>（土拍）</t>
    </r>
  </si>
  <si>
    <t>二、前期费用</t>
  </si>
  <si>
    <t>5001.01.02</t>
  </si>
  <si>
    <t>2.1  工程勘查</t>
  </si>
  <si>
    <t>5001.01.02.01</t>
  </si>
  <si>
    <r>
      <rPr>
        <sz val="10"/>
        <rFont val="黑体"/>
        <family val="3"/>
        <charset val="134"/>
      </rPr>
      <t>2</t>
    </r>
    <r>
      <rPr>
        <sz val="10"/>
        <rFont val="黑体"/>
        <family val="3"/>
        <charset val="134"/>
      </rPr>
      <t>.1.1.地质勘查费</t>
    </r>
    <r>
      <rPr>
        <b/>
        <sz val="10"/>
        <color indexed="10"/>
        <rFont val="黑体"/>
        <family val="3"/>
        <charset val="134"/>
      </rPr>
      <t>（前勘勘）</t>
    </r>
  </si>
  <si>
    <r>
      <rPr>
        <sz val="10"/>
        <rFont val="黑体"/>
        <family val="3"/>
        <charset val="134"/>
      </rPr>
      <t>2.1.2.测绘款</t>
    </r>
    <r>
      <rPr>
        <b/>
        <sz val="10"/>
        <color indexed="10"/>
        <rFont val="黑体"/>
        <family val="3"/>
        <charset val="134"/>
      </rPr>
      <t>（前勘绘）</t>
    </r>
  </si>
  <si>
    <r>
      <rPr>
        <sz val="10"/>
        <rFont val="黑体"/>
        <family val="3"/>
        <charset val="134"/>
      </rPr>
      <t>2.1.4.土地证</t>
    </r>
    <r>
      <rPr>
        <b/>
        <sz val="10"/>
        <color indexed="10"/>
        <rFont val="黑体"/>
        <family val="3"/>
        <charset val="134"/>
      </rPr>
      <t>（前勘证）</t>
    </r>
  </si>
  <si>
    <r>
      <rPr>
        <b/>
        <sz val="10"/>
        <rFont val="黑体"/>
        <family val="3"/>
        <charset val="134"/>
      </rPr>
      <t>2</t>
    </r>
    <r>
      <rPr>
        <b/>
        <sz val="10"/>
        <rFont val="黑体"/>
        <family val="3"/>
        <charset val="134"/>
      </rPr>
      <t xml:space="preserve">.2  </t>
    </r>
    <r>
      <rPr>
        <b/>
        <sz val="10"/>
        <rFont val="黑体"/>
        <family val="3"/>
        <charset val="134"/>
      </rPr>
      <t>工程设计</t>
    </r>
  </si>
  <si>
    <t>5001.01.02.02</t>
  </si>
  <si>
    <r>
      <rPr>
        <sz val="10"/>
        <rFont val="黑体"/>
        <family val="3"/>
        <charset val="134"/>
      </rPr>
      <t>2</t>
    </r>
    <r>
      <rPr>
        <sz val="10"/>
        <rFont val="黑体"/>
        <family val="3"/>
        <charset val="134"/>
      </rPr>
      <t>.2.1</t>
    </r>
    <r>
      <rPr>
        <sz val="10"/>
        <rFont val="黑体"/>
        <family val="3"/>
        <charset val="134"/>
      </rPr>
      <t>.方案、施工图设计费</t>
    </r>
    <r>
      <rPr>
        <b/>
        <sz val="10"/>
        <color indexed="10"/>
        <rFont val="黑体"/>
        <family val="3"/>
        <charset val="134"/>
      </rPr>
      <t>（前设设）</t>
    </r>
  </si>
  <si>
    <r>
      <rPr>
        <sz val="10"/>
        <rFont val="黑体"/>
        <family val="3"/>
        <charset val="134"/>
      </rPr>
      <t>2</t>
    </r>
    <r>
      <rPr>
        <sz val="10"/>
        <rFont val="黑体"/>
        <family val="3"/>
        <charset val="134"/>
      </rPr>
      <t>.2.2</t>
    </r>
    <r>
      <rPr>
        <sz val="10"/>
        <rFont val="黑体"/>
        <family val="3"/>
        <charset val="134"/>
      </rPr>
      <t>.成品房设计费</t>
    </r>
    <r>
      <rPr>
        <b/>
        <sz val="10"/>
        <color indexed="10"/>
        <rFont val="黑体"/>
        <family val="3"/>
        <charset val="134"/>
      </rPr>
      <t>（前设成）</t>
    </r>
  </si>
  <si>
    <r>
      <rPr>
        <sz val="10"/>
        <rFont val="黑体"/>
        <family val="3"/>
        <charset val="134"/>
      </rPr>
      <t>2</t>
    </r>
    <r>
      <rPr>
        <sz val="10"/>
        <rFont val="黑体"/>
        <family val="3"/>
        <charset val="134"/>
      </rPr>
      <t>.2.3</t>
    </r>
    <r>
      <rPr>
        <sz val="10"/>
        <rFont val="黑体"/>
        <family val="3"/>
        <charset val="134"/>
      </rPr>
      <t>.景观设计费</t>
    </r>
    <r>
      <rPr>
        <b/>
        <sz val="10"/>
        <color indexed="10"/>
        <rFont val="黑体"/>
        <family val="3"/>
        <charset val="134"/>
      </rPr>
      <t>（前设景）</t>
    </r>
  </si>
  <si>
    <r>
      <rPr>
        <sz val="10"/>
        <rFont val="黑体"/>
        <family val="3"/>
        <charset val="134"/>
      </rPr>
      <t>2.2.4</t>
    </r>
    <r>
      <rPr>
        <sz val="10"/>
        <rFont val="黑体"/>
        <family val="3"/>
        <charset val="134"/>
      </rPr>
      <t>.综合管网设计费</t>
    </r>
    <r>
      <rPr>
        <b/>
        <sz val="10"/>
        <color indexed="10"/>
        <rFont val="黑体"/>
        <family val="3"/>
        <charset val="134"/>
      </rPr>
      <t>（前设网）</t>
    </r>
  </si>
  <si>
    <r>
      <rPr>
        <sz val="10"/>
        <rFont val="黑体"/>
        <family val="3"/>
        <charset val="134"/>
      </rPr>
      <t>2.2.5</t>
    </r>
    <r>
      <rPr>
        <sz val="10"/>
        <rFont val="黑体"/>
        <family val="3"/>
        <charset val="134"/>
      </rPr>
      <t>.其他设计费(含人防设计费、排水、自来水)</t>
    </r>
    <r>
      <rPr>
        <b/>
        <sz val="10"/>
        <color indexed="10"/>
        <rFont val="黑体"/>
        <family val="3"/>
        <charset val="134"/>
      </rPr>
      <t>（前设其）</t>
    </r>
  </si>
  <si>
    <r>
      <rPr>
        <sz val="10"/>
        <rFont val="黑体"/>
        <family val="3"/>
        <charset val="134"/>
      </rPr>
      <t>2.2.6.施工图审查费</t>
    </r>
    <r>
      <rPr>
        <b/>
        <sz val="10"/>
        <color indexed="10"/>
        <rFont val="黑体"/>
        <family val="3"/>
        <charset val="134"/>
      </rPr>
      <t>（前设审）</t>
    </r>
  </si>
  <si>
    <r>
      <rPr>
        <sz val="10"/>
        <rFont val="黑体"/>
        <family val="3"/>
        <charset val="134"/>
      </rPr>
      <t>2.2.7.其它杂项</t>
    </r>
    <r>
      <rPr>
        <b/>
        <sz val="10"/>
        <color indexed="10"/>
        <rFont val="黑体"/>
        <family val="3"/>
        <charset val="134"/>
      </rPr>
      <t>（前设图）</t>
    </r>
  </si>
  <si>
    <t>2.3  三通一平</t>
  </si>
  <si>
    <t>5001.01.02.03</t>
  </si>
  <si>
    <r>
      <rPr>
        <sz val="10"/>
        <rFont val="黑体"/>
        <family val="3"/>
        <charset val="134"/>
      </rPr>
      <t>2.3.1.临电工程费红线内外</t>
    </r>
    <r>
      <rPr>
        <b/>
        <sz val="10"/>
        <color indexed="10"/>
        <rFont val="黑体"/>
        <family val="3"/>
        <charset val="134"/>
      </rPr>
      <t>（前临电）</t>
    </r>
  </si>
  <si>
    <r>
      <rPr>
        <sz val="10"/>
        <rFont val="黑体"/>
        <family val="3"/>
        <charset val="134"/>
      </rPr>
      <t>2.3.2</t>
    </r>
    <r>
      <rPr>
        <sz val="10"/>
        <rFont val="黑体"/>
        <family val="3"/>
        <charset val="134"/>
      </rPr>
      <t>.临水工程费红线内外</t>
    </r>
    <r>
      <rPr>
        <b/>
        <sz val="10"/>
        <color indexed="10"/>
        <rFont val="黑体"/>
        <family val="3"/>
        <charset val="134"/>
      </rPr>
      <t>（前临水）</t>
    </r>
  </si>
  <si>
    <r>
      <rPr>
        <sz val="10"/>
        <rFont val="黑体"/>
        <family val="3"/>
        <charset val="134"/>
      </rPr>
      <t>2.3.3</t>
    </r>
    <r>
      <rPr>
        <sz val="10"/>
        <rFont val="黑体"/>
        <family val="3"/>
        <charset val="134"/>
      </rPr>
      <t>.临排工程费</t>
    </r>
    <r>
      <rPr>
        <b/>
        <sz val="10"/>
        <color indexed="10"/>
        <rFont val="黑体"/>
        <family val="3"/>
        <charset val="134"/>
      </rPr>
      <t>（前临排）</t>
    </r>
  </si>
  <si>
    <r>
      <rPr>
        <sz val="10"/>
        <rFont val="黑体"/>
        <family val="3"/>
        <charset val="134"/>
      </rPr>
      <t>2.3.4.场地平整</t>
    </r>
    <r>
      <rPr>
        <b/>
        <sz val="10"/>
        <color indexed="10"/>
        <rFont val="黑体"/>
        <family val="3"/>
        <charset val="134"/>
      </rPr>
      <t>（前临土）</t>
    </r>
  </si>
  <si>
    <r>
      <rPr>
        <sz val="10"/>
        <rFont val="黑体"/>
        <family val="3"/>
        <charset val="134"/>
      </rPr>
      <t>2.3.5.临时设施</t>
    </r>
    <r>
      <rPr>
        <b/>
        <sz val="10"/>
        <color indexed="10"/>
        <rFont val="黑体"/>
        <family val="3"/>
        <charset val="134"/>
      </rPr>
      <t>（前临围）</t>
    </r>
  </si>
  <si>
    <r>
      <rPr>
        <sz val="10"/>
        <rFont val="黑体"/>
        <family val="3"/>
        <charset val="134"/>
      </rPr>
      <t>2.3.6.道路开口费</t>
    </r>
    <r>
      <rPr>
        <b/>
        <sz val="10"/>
        <color indexed="10"/>
        <rFont val="黑体"/>
        <family val="3"/>
        <charset val="134"/>
      </rPr>
      <t>（前道口）</t>
    </r>
  </si>
  <si>
    <r>
      <rPr>
        <sz val="10"/>
        <rFont val="黑体"/>
        <family val="3"/>
        <charset val="134"/>
      </rPr>
      <t>2.3.7.地上障碍物拆除</t>
    </r>
    <r>
      <rPr>
        <b/>
        <sz val="10"/>
        <color indexed="10"/>
        <rFont val="黑体"/>
        <family val="3"/>
        <charset val="134"/>
      </rPr>
      <t>（前临障）</t>
    </r>
  </si>
  <si>
    <r>
      <rPr>
        <b/>
        <sz val="10"/>
        <rFont val="黑体"/>
        <family val="3"/>
        <charset val="134"/>
      </rPr>
      <t>2.4</t>
    </r>
    <r>
      <rPr>
        <b/>
        <sz val="10"/>
        <rFont val="黑体"/>
        <family val="3"/>
        <charset val="134"/>
      </rPr>
      <t xml:space="preserve">  </t>
    </r>
    <r>
      <rPr>
        <b/>
        <sz val="10"/>
        <rFont val="黑体"/>
        <family val="3"/>
        <charset val="134"/>
      </rPr>
      <t>招标代理咨询费</t>
    </r>
  </si>
  <si>
    <t>5001.01.02.05</t>
  </si>
  <si>
    <r>
      <rPr>
        <sz val="10"/>
        <rFont val="黑体"/>
        <family val="3"/>
        <charset val="134"/>
      </rPr>
      <t>2.4.1.招标代理费（建筑、监理、勘察、设计、物业）</t>
    </r>
    <r>
      <rPr>
        <b/>
        <sz val="10"/>
        <color indexed="10"/>
        <rFont val="黑体"/>
        <family val="3"/>
        <charset val="134"/>
      </rPr>
      <t>（前标代）</t>
    </r>
  </si>
  <si>
    <r>
      <rPr>
        <sz val="10"/>
        <rFont val="黑体"/>
        <family val="3"/>
        <charset val="134"/>
      </rPr>
      <t>2.4.2.工程建设交易服务费（建筑、监理、勘察、设计、物业）</t>
    </r>
    <r>
      <rPr>
        <b/>
        <sz val="10"/>
        <color indexed="10"/>
        <rFont val="黑体"/>
        <family val="3"/>
        <charset val="134"/>
      </rPr>
      <t>（前标服）</t>
    </r>
  </si>
  <si>
    <r>
      <rPr>
        <sz val="10"/>
        <rFont val="黑体"/>
        <family val="3"/>
        <charset val="134"/>
      </rPr>
      <t>2.4.4.工程支付款担保费</t>
    </r>
    <r>
      <rPr>
        <b/>
        <sz val="10"/>
        <color indexed="10"/>
        <rFont val="黑体"/>
        <family val="3"/>
        <charset val="134"/>
      </rPr>
      <t>（前标担）</t>
    </r>
  </si>
  <si>
    <r>
      <rPr>
        <sz val="10"/>
        <rFont val="黑体"/>
        <family val="3"/>
        <charset val="134"/>
      </rPr>
      <t>2.4.5.造价咨询费</t>
    </r>
    <r>
      <rPr>
        <b/>
        <sz val="10"/>
        <color indexed="10"/>
        <rFont val="黑体"/>
        <family val="3"/>
        <charset val="134"/>
      </rPr>
      <t>（前标咨）</t>
    </r>
  </si>
  <si>
    <r>
      <rPr>
        <b/>
        <sz val="10"/>
        <rFont val="黑体"/>
        <family val="3"/>
        <charset val="134"/>
      </rPr>
      <t>2.5</t>
    </r>
    <r>
      <rPr>
        <b/>
        <sz val="10"/>
        <rFont val="黑体"/>
        <family val="3"/>
        <charset val="134"/>
      </rPr>
      <t xml:space="preserve">  </t>
    </r>
    <r>
      <rPr>
        <b/>
        <sz val="10"/>
        <rFont val="黑体"/>
        <family val="3"/>
        <charset val="134"/>
      </rPr>
      <t>环境、能评费用</t>
    </r>
  </si>
  <si>
    <r>
      <rPr>
        <sz val="10"/>
        <rFont val="黑体"/>
        <family val="3"/>
        <charset val="134"/>
      </rPr>
      <t>2.5.1.环境评估费</t>
    </r>
    <r>
      <rPr>
        <b/>
        <sz val="10"/>
        <color indexed="10"/>
        <rFont val="黑体"/>
        <family val="3"/>
        <charset val="134"/>
      </rPr>
      <t>（前环评）</t>
    </r>
  </si>
  <si>
    <t>2.5.2.环境验收费用</t>
  </si>
  <si>
    <t>2.5.3.地质灾害评估</t>
  </si>
  <si>
    <r>
      <rPr>
        <sz val="10"/>
        <rFont val="黑体"/>
        <family val="3"/>
        <charset val="134"/>
      </rPr>
      <t>2.5.4.能源评估费</t>
    </r>
    <r>
      <rPr>
        <b/>
        <sz val="10"/>
        <color indexed="10"/>
        <rFont val="黑体"/>
        <family val="3"/>
        <charset val="134"/>
      </rPr>
      <t>（前能评）</t>
    </r>
  </si>
  <si>
    <t>2.6 办理施工许可证费用</t>
  </si>
  <si>
    <r>
      <rPr>
        <sz val="10"/>
        <rFont val="黑体"/>
        <family val="3"/>
        <charset val="134"/>
      </rPr>
      <t>2.6.1.墙改费</t>
    </r>
    <r>
      <rPr>
        <b/>
        <sz val="10"/>
        <color indexed="10"/>
        <rFont val="黑体"/>
        <family val="3"/>
        <charset val="134"/>
      </rPr>
      <t>（前墙）</t>
    </r>
  </si>
  <si>
    <r>
      <rPr>
        <sz val="10"/>
        <rFont val="黑体"/>
        <family val="3"/>
        <charset val="134"/>
      </rPr>
      <t>2.6.2.水泥专项基金</t>
    </r>
    <r>
      <rPr>
        <b/>
        <sz val="10"/>
        <color indexed="10"/>
        <rFont val="黑体"/>
        <family val="3"/>
        <charset val="134"/>
      </rPr>
      <t>（前泥）</t>
    </r>
  </si>
  <si>
    <r>
      <rPr>
        <sz val="10"/>
        <rFont val="黑体"/>
        <family val="3"/>
        <charset val="134"/>
      </rPr>
      <t>2.6.3.人防易地建设费</t>
    </r>
    <r>
      <rPr>
        <b/>
        <sz val="10"/>
        <color indexed="10"/>
        <rFont val="黑体"/>
        <family val="3"/>
        <charset val="134"/>
      </rPr>
      <t>（前人建）</t>
    </r>
  </si>
  <si>
    <r>
      <rPr>
        <sz val="10"/>
        <rFont val="黑体"/>
        <family val="3"/>
        <charset val="134"/>
      </rPr>
      <t>2.6.4.地名标志费</t>
    </r>
    <r>
      <rPr>
        <b/>
        <sz val="10"/>
        <color indexed="10"/>
        <rFont val="黑体"/>
        <family val="3"/>
        <charset val="134"/>
      </rPr>
      <t>（前地）</t>
    </r>
  </si>
  <si>
    <t>2.6.5.地名公告费</t>
  </si>
  <si>
    <t>2.6.6.楼栋、单元标志牌费</t>
  </si>
  <si>
    <t>2.7 检测费用</t>
  </si>
  <si>
    <t>2.7.1.避雷检测费</t>
  </si>
  <si>
    <t>2.7.2.电气消防安全检测费</t>
  </si>
  <si>
    <t>2.7.3.室内环境检测费</t>
  </si>
  <si>
    <t>2.7.4.档案存档费</t>
  </si>
  <si>
    <t>2.7.5.人防监督及档案编制</t>
  </si>
  <si>
    <r>
      <rPr>
        <sz val="10"/>
        <rFont val="黑体"/>
        <family val="3"/>
        <charset val="134"/>
      </rPr>
      <t>2.7.6.消防存档费</t>
    </r>
    <r>
      <rPr>
        <sz val="10"/>
        <color rgb="FFFF0000"/>
        <rFont val="黑体"/>
        <family val="3"/>
        <charset val="134"/>
      </rPr>
      <t>（前消档）</t>
    </r>
  </si>
  <si>
    <r>
      <rPr>
        <b/>
        <sz val="10"/>
        <rFont val="黑体"/>
        <family val="3"/>
        <charset val="134"/>
      </rPr>
      <t>2.8 销售相关费用</t>
    </r>
    <r>
      <rPr>
        <b/>
        <sz val="10"/>
        <color rgb="FFFF0000"/>
        <rFont val="黑体"/>
        <family val="3"/>
        <charset val="134"/>
      </rPr>
      <t>(前销）</t>
    </r>
  </si>
  <si>
    <r>
      <rPr>
        <sz val="10"/>
        <rFont val="黑体"/>
        <family val="3"/>
        <charset val="134"/>
      </rPr>
      <t>2.8.1.地籍地形图、核地</t>
    </r>
    <r>
      <rPr>
        <b/>
        <sz val="10"/>
        <color indexed="10"/>
        <rFont val="黑体"/>
        <family val="3"/>
        <charset val="134"/>
      </rPr>
      <t>（前核地）</t>
    </r>
  </si>
  <si>
    <r>
      <rPr>
        <sz val="10"/>
        <rFont val="黑体"/>
        <family val="3"/>
        <charset val="134"/>
      </rPr>
      <t>2.8</t>
    </r>
    <r>
      <rPr>
        <sz val="10"/>
        <rFont val="黑体"/>
        <family val="3"/>
        <charset val="134"/>
      </rPr>
      <t>.2</t>
    </r>
    <r>
      <rPr>
        <sz val="10"/>
        <rFont val="黑体"/>
        <family val="3"/>
        <charset val="134"/>
      </rPr>
      <t>.销售许可证公告费</t>
    </r>
  </si>
  <si>
    <t>2.8.3.预售登记费</t>
  </si>
  <si>
    <t>2.8.4.分户土地登记费</t>
  </si>
  <si>
    <r>
      <rPr>
        <sz val="10"/>
        <rFont val="黑体"/>
        <family val="3"/>
        <charset val="134"/>
      </rPr>
      <t>2.8</t>
    </r>
    <r>
      <rPr>
        <sz val="10"/>
        <rFont val="黑体"/>
        <family val="3"/>
        <charset val="134"/>
      </rPr>
      <t>.</t>
    </r>
    <r>
      <rPr>
        <sz val="10"/>
        <rFont val="黑体"/>
        <family val="3"/>
        <charset val="134"/>
      </rPr>
      <t>5</t>
    </r>
    <r>
      <rPr>
        <sz val="10"/>
        <rFont val="黑体"/>
        <family val="3"/>
        <charset val="134"/>
      </rPr>
      <t>.</t>
    </r>
    <r>
      <rPr>
        <sz val="10"/>
        <rFont val="黑体"/>
        <family val="3"/>
        <charset val="134"/>
      </rPr>
      <t>准入证公告费</t>
    </r>
  </si>
  <si>
    <r>
      <rPr>
        <sz val="10"/>
        <rFont val="黑体"/>
        <family val="3"/>
        <charset val="134"/>
      </rPr>
      <t>2.8.6.房产测绘费（面积测量）</t>
    </r>
    <r>
      <rPr>
        <b/>
        <sz val="10"/>
        <color rgb="FFFF0000"/>
        <rFont val="黑体"/>
        <family val="3"/>
        <charset val="134"/>
      </rPr>
      <t>（前面）</t>
    </r>
  </si>
  <si>
    <r>
      <rPr>
        <sz val="10"/>
        <rFont val="黑体"/>
        <family val="3"/>
        <charset val="134"/>
      </rPr>
      <t>2.8</t>
    </r>
    <r>
      <rPr>
        <sz val="10"/>
        <rFont val="黑体"/>
        <family val="3"/>
        <charset val="134"/>
      </rPr>
      <t>.</t>
    </r>
    <r>
      <rPr>
        <sz val="10"/>
        <rFont val="黑体"/>
        <family val="3"/>
        <charset val="134"/>
      </rPr>
      <t>7</t>
    </r>
    <r>
      <rPr>
        <sz val="10"/>
        <rFont val="黑体"/>
        <family val="3"/>
        <charset val="134"/>
      </rPr>
      <t>.</t>
    </r>
    <r>
      <rPr>
        <sz val="10"/>
        <rFont val="黑体"/>
        <family val="3"/>
        <charset val="134"/>
      </rPr>
      <t>房屋转让手续费（产权登记）</t>
    </r>
  </si>
  <si>
    <r>
      <rPr>
        <b/>
        <sz val="10"/>
        <rFont val="黑体"/>
        <family val="3"/>
        <charset val="134"/>
      </rPr>
      <t>2.9 其他</t>
    </r>
    <r>
      <rPr>
        <b/>
        <sz val="10"/>
        <color indexed="10"/>
        <rFont val="黑体"/>
        <family val="3"/>
        <charset val="134"/>
      </rPr>
      <t>（前其他）</t>
    </r>
  </si>
  <si>
    <r>
      <rPr>
        <sz val="10"/>
        <color indexed="10"/>
        <rFont val="黑体"/>
        <family val="3"/>
        <charset val="134"/>
      </rPr>
      <t>JXA-0</t>
    </r>
    <r>
      <rPr>
        <sz val="10"/>
        <color indexed="10"/>
        <rFont val="黑体"/>
        <family val="3"/>
        <charset val="134"/>
      </rPr>
      <t>30W</t>
    </r>
  </si>
  <si>
    <t>三、建安工程费</t>
  </si>
  <si>
    <t>5001.01.03</t>
  </si>
  <si>
    <t>3.1 桩基、土方、基坑支护工程</t>
  </si>
  <si>
    <t>5001.01.03.01</t>
  </si>
  <si>
    <r>
      <rPr>
        <sz val="10"/>
        <rFont val="黑体"/>
        <family val="3"/>
        <charset val="134"/>
      </rPr>
      <t>3</t>
    </r>
    <r>
      <rPr>
        <sz val="10"/>
        <rFont val="黑体"/>
        <family val="3"/>
        <charset val="134"/>
      </rPr>
      <t>.1.1.桩基础工程费</t>
    </r>
    <r>
      <rPr>
        <b/>
        <sz val="10"/>
        <color indexed="10"/>
        <rFont val="黑体"/>
        <family val="3"/>
        <charset val="134"/>
      </rPr>
      <t>（建桩工）</t>
    </r>
  </si>
  <si>
    <r>
      <rPr>
        <sz val="10"/>
        <rFont val="黑体"/>
        <family val="3"/>
        <charset val="134"/>
      </rPr>
      <t>3</t>
    </r>
    <r>
      <rPr>
        <sz val="10"/>
        <rFont val="黑体"/>
        <family val="3"/>
        <charset val="134"/>
      </rPr>
      <t>.1.2</t>
    </r>
    <r>
      <rPr>
        <sz val="10"/>
        <rFont val="黑体"/>
        <family val="3"/>
        <charset val="134"/>
      </rPr>
      <t>.桩检测费用</t>
    </r>
    <r>
      <rPr>
        <b/>
        <sz val="10"/>
        <color indexed="10"/>
        <rFont val="黑体"/>
        <family val="3"/>
        <charset val="134"/>
      </rPr>
      <t>（建桩检）</t>
    </r>
  </si>
  <si>
    <r>
      <rPr>
        <sz val="10"/>
        <rFont val="黑体"/>
        <family val="3"/>
        <charset val="134"/>
      </rPr>
      <t>3.1.3</t>
    </r>
    <r>
      <rPr>
        <sz val="10"/>
        <rFont val="黑体"/>
        <family val="3"/>
        <charset val="134"/>
      </rPr>
      <t>.挖填土方</t>
    </r>
    <r>
      <rPr>
        <b/>
        <sz val="10"/>
        <color indexed="10"/>
        <rFont val="黑体"/>
        <family val="3"/>
        <charset val="134"/>
      </rPr>
      <t>（建桩土）</t>
    </r>
  </si>
  <si>
    <r>
      <rPr>
        <sz val="10"/>
        <rFont val="黑体"/>
        <family val="3"/>
        <charset val="134"/>
      </rPr>
      <t>3.1.4.地基处理费（强夯）</t>
    </r>
    <r>
      <rPr>
        <b/>
        <sz val="10"/>
        <color indexed="10"/>
        <rFont val="黑体"/>
        <family val="3"/>
        <charset val="134"/>
      </rPr>
      <t>（建基）</t>
    </r>
  </si>
  <si>
    <r>
      <rPr>
        <sz val="10"/>
        <color indexed="10"/>
        <rFont val="黑体"/>
        <family val="3"/>
        <charset val="134"/>
      </rPr>
      <t>JXA-073</t>
    </r>
    <r>
      <rPr>
        <sz val="10"/>
        <color indexed="10"/>
        <rFont val="黑体"/>
        <family val="3"/>
        <charset val="134"/>
      </rPr>
      <t>B</t>
    </r>
  </si>
  <si>
    <t>3.1.5.地基处理费（换填）</t>
  </si>
  <si>
    <r>
      <rPr>
        <sz val="10"/>
        <rFont val="黑体"/>
        <family val="3"/>
        <charset val="134"/>
      </rPr>
      <t>3.1.6.沉降观测</t>
    </r>
    <r>
      <rPr>
        <b/>
        <sz val="10"/>
        <color indexed="10"/>
        <rFont val="黑体"/>
        <family val="3"/>
        <charset val="134"/>
      </rPr>
      <t>(建沉）</t>
    </r>
  </si>
  <si>
    <r>
      <rPr>
        <sz val="10"/>
        <rFont val="黑体"/>
        <family val="3"/>
        <charset val="134"/>
      </rPr>
      <t>3.1.7.建筑物定位测量及工程竣工验收测量</t>
    </r>
    <r>
      <rPr>
        <b/>
        <sz val="10"/>
        <color indexed="10"/>
        <rFont val="黑体"/>
        <family val="3"/>
        <charset val="134"/>
      </rPr>
      <t>（建定测）</t>
    </r>
  </si>
  <si>
    <t xml:space="preserve">JXA-060W </t>
  </si>
  <si>
    <r>
      <rPr>
        <sz val="10"/>
        <color indexed="10"/>
        <rFont val="黑体"/>
        <family val="3"/>
        <charset val="134"/>
      </rPr>
      <t>JXA-06</t>
    </r>
    <r>
      <rPr>
        <sz val="10"/>
        <color indexed="10"/>
        <rFont val="黑体"/>
        <family val="3"/>
        <charset val="134"/>
      </rPr>
      <t>4</t>
    </r>
    <r>
      <rPr>
        <sz val="10"/>
        <color indexed="10"/>
        <rFont val="黑体"/>
        <family val="3"/>
        <charset val="134"/>
      </rPr>
      <t xml:space="preserve"> </t>
    </r>
  </si>
  <si>
    <r>
      <rPr>
        <sz val="10"/>
        <color indexed="10"/>
        <rFont val="黑体"/>
        <family val="3"/>
        <charset val="134"/>
      </rPr>
      <t>JXA-</t>
    </r>
    <r>
      <rPr>
        <sz val="10"/>
        <color indexed="10"/>
        <rFont val="黑体"/>
        <family val="3"/>
        <charset val="134"/>
      </rPr>
      <t xml:space="preserve">123 </t>
    </r>
  </si>
  <si>
    <r>
      <rPr>
        <b/>
        <sz val="10"/>
        <rFont val="黑体"/>
        <family val="3"/>
        <charset val="134"/>
      </rPr>
      <t>3.2 主体建安</t>
    </r>
    <r>
      <rPr>
        <b/>
        <sz val="10"/>
        <color indexed="10"/>
        <rFont val="黑体"/>
        <family val="3"/>
        <charset val="134"/>
      </rPr>
      <t>（建主）</t>
    </r>
  </si>
  <si>
    <t>5001.01.03.02</t>
  </si>
  <si>
    <r>
      <rPr>
        <sz val="10"/>
        <rFont val="黑体"/>
        <family val="3"/>
        <charset val="134"/>
      </rPr>
      <t>3.2.1.建安工程费</t>
    </r>
    <r>
      <rPr>
        <b/>
        <sz val="10"/>
        <color rgb="FFFF0000"/>
        <rFont val="黑体"/>
        <family val="3"/>
        <charset val="134"/>
      </rPr>
      <t>(建主建）</t>
    </r>
  </si>
  <si>
    <t xml:space="preserve">JXA-057 </t>
  </si>
  <si>
    <t xml:space="preserve">JXA-169 </t>
  </si>
  <si>
    <t>3.2.2.公共部位精装修</t>
  </si>
  <si>
    <t xml:space="preserve">JXA-132 </t>
  </si>
  <si>
    <t>3.2.3.精装修（样板间、会所）</t>
  </si>
  <si>
    <t xml:space="preserve">JXA-118 </t>
  </si>
  <si>
    <t xml:space="preserve">JXA-121 </t>
  </si>
  <si>
    <t xml:space="preserve">JXA-033 </t>
  </si>
  <si>
    <t>3.2.4.外檐保温石材及涂料</t>
  </si>
  <si>
    <t xml:space="preserve">JXA-110 </t>
  </si>
  <si>
    <t xml:space="preserve">JXA-116 </t>
  </si>
  <si>
    <t xml:space="preserve">JXA-131 </t>
  </si>
  <si>
    <t>3.2.5.外檐断桥铝合金门窗</t>
  </si>
  <si>
    <t xml:space="preserve">JXA-103 </t>
  </si>
  <si>
    <t>3.2.6.铝合金空调百叶</t>
  </si>
  <si>
    <t xml:space="preserve">JXA-136 </t>
  </si>
  <si>
    <t>3.2.7.入户门（不设小院门)</t>
  </si>
  <si>
    <t xml:space="preserve">JXA-129 </t>
  </si>
  <si>
    <t xml:space="preserve">JXA-124 </t>
  </si>
  <si>
    <t xml:space="preserve">JXA-135 </t>
  </si>
  <si>
    <t xml:space="preserve">JXA-177 </t>
  </si>
  <si>
    <t>3.2.8.配电箱及电表箱</t>
  </si>
  <si>
    <t xml:space="preserve">JXA-098 </t>
  </si>
  <si>
    <r>
      <rPr>
        <b/>
        <sz val="10"/>
        <rFont val="黑体"/>
        <family val="3"/>
        <charset val="134"/>
      </rPr>
      <t>3.</t>
    </r>
    <r>
      <rPr>
        <b/>
        <sz val="10"/>
        <rFont val="黑体"/>
        <family val="3"/>
        <charset val="134"/>
      </rPr>
      <t>3</t>
    </r>
    <r>
      <rPr>
        <b/>
        <sz val="10"/>
        <rFont val="黑体"/>
        <family val="3"/>
        <charset val="134"/>
      </rPr>
      <t xml:space="preserve"> </t>
    </r>
    <r>
      <rPr>
        <b/>
        <sz val="10"/>
        <rFont val="黑体"/>
        <family val="3"/>
        <charset val="134"/>
      </rPr>
      <t>设施设备</t>
    </r>
  </si>
  <si>
    <r>
      <rPr>
        <sz val="10"/>
        <rFont val="黑体"/>
        <family val="3"/>
        <charset val="134"/>
      </rPr>
      <t>3.5.1</t>
    </r>
    <r>
      <rPr>
        <sz val="10"/>
        <rFont val="黑体"/>
        <family val="3"/>
        <charset val="134"/>
      </rPr>
      <t>.电梯工程</t>
    </r>
  </si>
  <si>
    <r>
      <rPr>
        <sz val="10"/>
        <rFont val="黑体"/>
        <family val="3"/>
        <charset val="134"/>
      </rPr>
      <t>3.5.2</t>
    </r>
    <r>
      <rPr>
        <sz val="10"/>
        <rFont val="黑体"/>
        <family val="3"/>
        <charset val="134"/>
      </rPr>
      <t>.智能化</t>
    </r>
  </si>
  <si>
    <r>
      <rPr>
        <sz val="10"/>
        <rFont val="黑体"/>
        <family val="3"/>
        <charset val="134"/>
      </rPr>
      <t>3.5.3</t>
    </r>
    <r>
      <rPr>
        <sz val="10"/>
        <rFont val="黑体"/>
        <family val="3"/>
        <charset val="134"/>
      </rPr>
      <t>.消防工程</t>
    </r>
  </si>
  <si>
    <r>
      <rPr>
        <sz val="10"/>
        <rFont val="黑体"/>
        <family val="3"/>
        <charset val="134"/>
      </rPr>
      <t>3.5.4</t>
    </r>
    <r>
      <rPr>
        <sz val="10"/>
        <rFont val="黑体"/>
        <family val="3"/>
        <charset val="134"/>
      </rPr>
      <t>.人防工程</t>
    </r>
  </si>
  <si>
    <t>3.5.5.空调系统工程</t>
  </si>
  <si>
    <r>
      <rPr>
        <sz val="10"/>
        <rFont val="黑体"/>
        <family val="3"/>
        <charset val="134"/>
      </rPr>
      <t>3.5.6</t>
    </r>
    <r>
      <rPr>
        <sz val="10"/>
        <rFont val="黑体"/>
        <family val="3"/>
        <charset val="134"/>
      </rPr>
      <t>.通风系统工程</t>
    </r>
  </si>
  <si>
    <t>3.5.7.机械车位（双层）</t>
  </si>
  <si>
    <t>3.5.8.太阳能系统（四步节能）</t>
  </si>
  <si>
    <r>
      <rPr>
        <b/>
        <sz val="10"/>
        <rFont val="黑体"/>
        <family val="3"/>
        <charset val="134"/>
      </rPr>
      <t>3.4 环境工程</t>
    </r>
    <r>
      <rPr>
        <b/>
        <sz val="10"/>
        <color rgb="FFFF0000"/>
        <rFont val="黑体"/>
        <family val="3"/>
        <charset val="134"/>
      </rPr>
      <t>（建环）</t>
    </r>
  </si>
  <si>
    <t>3.4.1.区内景观工程（建环内）</t>
  </si>
  <si>
    <t>3.4.2.区外挡土墙</t>
  </si>
  <si>
    <t>3.4.2.区外景观（建环外）</t>
  </si>
  <si>
    <r>
      <rPr>
        <b/>
        <sz val="10"/>
        <rFont val="黑体"/>
        <family val="3"/>
        <charset val="134"/>
      </rPr>
      <t>3.5 监理费</t>
    </r>
    <r>
      <rPr>
        <b/>
        <sz val="10"/>
        <color indexed="10"/>
        <rFont val="黑体"/>
        <family val="3"/>
        <charset val="134"/>
      </rPr>
      <t>（建监）</t>
    </r>
  </si>
  <si>
    <t>5001.01.03.03</t>
  </si>
  <si>
    <t>3.5.1.土建监理费（建监土）</t>
  </si>
  <si>
    <t>3.5.2.人防监理费（建监人）</t>
  </si>
  <si>
    <t>3.6 变更签证</t>
  </si>
  <si>
    <r>
      <rPr>
        <b/>
        <sz val="10"/>
        <rFont val="黑体"/>
        <family val="3"/>
        <charset val="134"/>
      </rPr>
      <t>3</t>
    </r>
    <r>
      <rPr>
        <b/>
        <sz val="10"/>
        <rFont val="黑体"/>
        <family val="3"/>
        <charset val="134"/>
      </rPr>
      <t>.7 其他建安</t>
    </r>
  </si>
  <si>
    <t>四、小区基础配套</t>
  </si>
  <si>
    <t>5001.01.04</t>
  </si>
  <si>
    <r>
      <rPr>
        <b/>
        <sz val="10"/>
        <rFont val="黑体"/>
        <family val="3"/>
        <charset val="134"/>
      </rPr>
      <t>4</t>
    </r>
    <r>
      <rPr>
        <b/>
        <sz val="10"/>
        <rFont val="黑体"/>
        <family val="3"/>
        <charset val="134"/>
      </rPr>
      <t xml:space="preserve">.1 </t>
    </r>
    <r>
      <rPr>
        <b/>
        <sz val="10"/>
        <rFont val="黑体"/>
        <family val="3"/>
        <charset val="134"/>
      </rPr>
      <t>供电</t>
    </r>
  </si>
  <si>
    <t>5001.01.04.01</t>
  </si>
  <si>
    <r>
      <rPr>
        <sz val="10"/>
        <rFont val="黑体"/>
        <family val="3"/>
        <charset val="134"/>
      </rPr>
      <t>4</t>
    </r>
    <r>
      <rPr>
        <sz val="10"/>
        <rFont val="黑体"/>
        <family val="3"/>
        <charset val="134"/>
      </rPr>
      <t>.1.1</t>
    </r>
    <r>
      <rPr>
        <sz val="10"/>
        <rFont val="黑体"/>
        <family val="3"/>
        <charset val="134"/>
      </rPr>
      <t>.电力工程</t>
    </r>
    <r>
      <rPr>
        <b/>
        <sz val="10"/>
        <color indexed="10"/>
        <rFont val="黑体"/>
        <family val="3"/>
        <charset val="134"/>
      </rPr>
      <t>（基电工）</t>
    </r>
  </si>
  <si>
    <r>
      <rPr>
        <sz val="10"/>
        <rFont val="黑体"/>
        <family val="3"/>
        <charset val="134"/>
      </rPr>
      <t>4</t>
    </r>
    <r>
      <rPr>
        <sz val="10"/>
        <rFont val="黑体"/>
        <family val="3"/>
        <charset val="134"/>
      </rPr>
      <t>.1.2</t>
    </r>
    <r>
      <rPr>
        <sz val="10"/>
        <rFont val="黑体"/>
        <family val="3"/>
        <charset val="134"/>
      </rPr>
      <t>.一户一表</t>
    </r>
    <r>
      <rPr>
        <b/>
        <sz val="10"/>
        <color indexed="10"/>
        <rFont val="黑体"/>
        <family val="3"/>
        <charset val="134"/>
      </rPr>
      <t>（基电表）</t>
    </r>
  </si>
  <si>
    <t>4.1.3.外线路由费及破路补偿</t>
  </si>
  <si>
    <t>4.1.4.配电柜</t>
  </si>
  <si>
    <r>
      <rPr>
        <sz val="10"/>
        <rFont val="黑体"/>
        <family val="3"/>
        <charset val="134"/>
      </rPr>
      <t>4</t>
    </r>
    <r>
      <rPr>
        <sz val="10"/>
        <rFont val="黑体"/>
        <family val="3"/>
        <charset val="134"/>
      </rPr>
      <t>.1.5.内缆工程费</t>
    </r>
  </si>
  <si>
    <r>
      <rPr>
        <sz val="10"/>
        <rFont val="黑体"/>
        <family val="3"/>
        <charset val="134"/>
      </rPr>
      <t>4.1.6.箱式站基础、CF箱基础、土建变电站</t>
    </r>
    <r>
      <rPr>
        <b/>
        <sz val="10"/>
        <color rgb="FFFF0000"/>
        <rFont val="黑体"/>
        <family val="3"/>
        <charset val="134"/>
      </rPr>
      <t>（基电箱）</t>
    </r>
  </si>
  <si>
    <r>
      <rPr>
        <sz val="10"/>
        <rFont val="黑体"/>
        <family val="3"/>
        <charset val="134"/>
      </rPr>
      <t>4.1.7</t>
    </r>
    <r>
      <rPr>
        <sz val="10"/>
        <rFont val="黑体"/>
        <family val="3"/>
        <charset val="134"/>
      </rPr>
      <t>.红号站设备</t>
    </r>
  </si>
  <si>
    <r>
      <rPr>
        <b/>
        <sz val="10"/>
        <rFont val="黑体"/>
        <family val="3"/>
        <charset val="134"/>
      </rPr>
      <t>4</t>
    </r>
    <r>
      <rPr>
        <b/>
        <sz val="10"/>
        <rFont val="黑体"/>
        <family val="3"/>
        <charset val="134"/>
      </rPr>
      <t xml:space="preserve">.2 </t>
    </r>
    <r>
      <rPr>
        <b/>
        <sz val="10"/>
        <rFont val="黑体"/>
        <family val="3"/>
        <charset val="134"/>
      </rPr>
      <t>供水</t>
    </r>
  </si>
  <si>
    <t>5001.01.04.02</t>
  </si>
  <si>
    <r>
      <rPr>
        <sz val="10"/>
        <rFont val="黑体"/>
        <family val="3"/>
        <charset val="134"/>
      </rPr>
      <t>4</t>
    </r>
    <r>
      <rPr>
        <sz val="10"/>
        <rFont val="黑体"/>
        <family val="3"/>
        <charset val="134"/>
      </rPr>
      <t>.2.1</t>
    </r>
    <r>
      <rPr>
        <sz val="10"/>
        <rFont val="黑体"/>
        <family val="3"/>
        <charset val="134"/>
      </rPr>
      <t>.自来水工程费</t>
    </r>
    <r>
      <rPr>
        <b/>
        <sz val="10"/>
        <color indexed="10"/>
        <rFont val="黑体"/>
        <family val="3"/>
        <charset val="134"/>
      </rPr>
      <t>（基水工）</t>
    </r>
  </si>
  <si>
    <r>
      <rPr>
        <sz val="10"/>
        <rFont val="黑体"/>
        <family val="3"/>
        <charset val="134"/>
      </rPr>
      <t>4.2.2.自来水二次网工程费</t>
    </r>
    <r>
      <rPr>
        <b/>
        <sz val="10"/>
        <color indexed="10"/>
        <rFont val="黑体"/>
        <family val="3"/>
        <charset val="134"/>
      </rPr>
      <t>（基水工）</t>
    </r>
  </si>
  <si>
    <r>
      <rPr>
        <sz val="10"/>
        <rFont val="黑体"/>
        <family val="3"/>
        <charset val="134"/>
      </rPr>
      <t>4.2.3.水表</t>
    </r>
    <r>
      <rPr>
        <b/>
        <sz val="10"/>
        <color indexed="10"/>
        <rFont val="黑体"/>
        <family val="3"/>
        <charset val="134"/>
      </rPr>
      <t>（基水表）</t>
    </r>
  </si>
  <si>
    <r>
      <rPr>
        <sz val="10"/>
        <rFont val="黑体"/>
        <family val="3"/>
        <charset val="134"/>
      </rPr>
      <t>4.2.4.室外消火灾栓</t>
    </r>
    <r>
      <rPr>
        <b/>
        <sz val="10"/>
        <color indexed="10"/>
        <rFont val="黑体"/>
        <family val="3"/>
        <charset val="134"/>
      </rPr>
      <t>（）</t>
    </r>
  </si>
  <si>
    <r>
      <rPr>
        <sz val="10"/>
        <rFont val="黑体"/>
        <family val="3"/>
        <charset val="134"/>
      </rPr>
      <t>4.2.5.水土保持设施补偿费</t>
    </r>
    <r>
      <rPr>
        <b/>
        <sz val="10"/>
        <color indexed="10"/>
        <rFont val="黑体"/>
        <family val="3"/>
        <charset val="134"/>
      </rPr>
      <t>（基水补）</t>
    </r>
  </si>
  <si>
    <r>
      <rPr>
        <sz val="10"/>
        <rFont val="黑体"/>
        <family val="3"/>
        <charset val="134"/>
      </rPr>
      <t>4.2.6.地下水资源费</t>
    </r>
    <r>
      <rPr>
        <b/>
        <sz val="10"/>
        <color indexed="10"/>
        <rFont val="黑体"/>
        <family val="3"/>
        <charset val="134"/>
      </rPr>
      <t>（基水地）</t>
    </r>
  </si>
  <si>
    <r>
      <rPr>
        <sz val="10"/>
        <rFont val="黑体"/>
        <family val="3"/>
        <charset val="134"/>
      </rPr>
      <t>4.2.7.水土保持方案编制费</t>
    </r>
    <r>
      <rPr>
        <b/>
        <sz val="10"/>
        <color indexed="10"/>
        <rFont val="黑体"/>
        <family val="3"/>
        <charset val="134"/>
      </rPr>
      <t>（基水保）</t>
    </r>
  </si>
  <si>
    <r>
      <rPr>
        <sz val="10"/>
        <rFont val="黑体"/>
        <family val="3"/>
        <charset val="134"/>
      </rPr>
      <t>4.2.8.用水报告书编制费</t>
    </r>
    <r>
      <rPr>
        <b/>
        <sz val="10"/>
        <color indexed="10"/>
        <rFont val="黑体"/>
        <family val="3"/>
        <charset val="134"/>
      </rPr>
      <t>（基水用）</t>
    </r>
  </si>
  <si>
    <r>
      <rPr>
        <sz val="10"/>
        <rFont val="黑体"/>
        <family val="3"/>
        <charset val="134"/>
      </rPr>
      <t>4.2.9.二次供水工程设备</t>
    </r>
    <r>
      <rPr>
        <b/>
        <sz val="10"/>
        <color indexed="10"/>
        <rFont val="黑体"/>
        <family val="3"/>
        <charset val="134"/>
      </rPr>
      <t>（基水设）</t>
    </r>
  </si>
  <si>
    <r>
      <rPr>
        <b/>
        <sz val="10"/>
        <rFont val="黑体"/>
        <family val="3"/>
        <charset val="134"/>
      </rPr>
      <t xml:space="preserve">4.3 </t>
    </r>
    <r>
      <rPr>
        <b/>
        <sz val="10"/>
        <rFont val="黑体"/>
        <family val="3"/>
        <charset val="134"/>
      </rPr>
      <t>供水</t>
    </r>
  </si>
  <si>
    <r>
      <rPr>
        <sz val="10"/>
        <rFont val="黑体"/>
        <family val="3"/>
        <charset val="134"/>
      </rPr>
      <t>4.3.1.中水工程费</t>
    </r>
    <r>
      <rPr>
        <b/>
        <sz val="10"/>
        <color rgb="FFFF0000"/>
        <rFont val="黑体"/>
        <family val="3"/>
        <charset val="134"/>
      </rPr>
      <t>（基水工）</t>
    </r>
  </si>
  <si>
    <r>
      <rPr>
        <sz val="10"/>
        <rFont val="黑体"/>
        <family val="3"/>
        <charset val="134"/>
      </rPr>
      <t>4.3.1.中水二次网工程费</t>
    </r>
    <r>
      <rPr>
        <b/>
        <sz val="10"/>
        <color rgb="FFFF0000"/>
        <rFont val="黑体"/>
        <family val="3"/>
        <charset val="134"/>
      </rPr>
      <t>（基水工）</t>
    </r>
  </si>
  <si>
    <r>
      <rPr>
        <sz val="10"/>
        <rFont val="黑体"/>
        <family val="3"/>
        <charset val="134"/>
      </rPr>
      <t>4.3.2</t>
    </r>
    <r>
      <rPr>
        <sz val="10"/>
        <rFont val="黑体"/>
        <family val="3"/>
        <charset val="134"/>
      </rPr>
      <t>.水表</t>
    </r>
    <r>
      <rPr>
        <b/>
        <sz val="10"/>
        <color indexed="10"/>
        <rFont val="黑体"/>
        <family val="3"/>
        <charset val="134"/>
      </rPr>
      <t>（基中表）</t>
    </r>
  </si>
  <si>
    <r>
      <rPr>
        <sz val="10"/>
        <rFont val="黑体"/>
        <family val="3"/>
        <charset val="134"/>
      </rPr>
      <t>4.3.3</t>
    </r>
    <r>
      <rPr>
        <sz val="10"/>
        <rFont val="黑体"/>
        <family val="3"/>
        <charset val="134"/>
      </rPr>
      <t>.二次供水工程设备</t>
    </r>
    <r>
      <rPr>
        <b/>
        <sz val="10"/>
        <color indexed="10"/>
        <rFont val="黑体"/>
        <family val="3"/>
        <charset val="134"/>
      </rPr>
      <t>（基中设）</t>
    </r>
  </si>
  <si>
    <r>
      <rPr>
        <b/>
        <sz val="10"/>
        <rFont val="黑体"/>
        <family val="3"/>
        <charset val="134"/>
      </rPr>
      <t>4</t>
    </r>
    <r>
      <rPr>
        <b/>
        <sz val="10"/>
        <rFont val="黑体"/>
        <family val="3"/>
        <charset val="134"/>
      </rPr>
      <t>.4 排水</t>
    </r>
  </si>
  <si>
    <t>5001.01.04.06</t>
  </si>
  <si>
    <r>
      <rPr>
        <sz val="10"/>
        <rFont val="黑体"/>
        <family val="3"/>
        <charset val="134"/>
      </rPr>
      <t>4</t>
    </r>
    <r>
      <rPr>
        <sz val="10"/>
        <rFont val="黑体"/>
        <family val="3"/>
        <charset val="134"/>
      </rPr>
      <t>.4.1.排水工程</t>
    </r>
    <r>
      <rPr>
        <b/>
        <sz val="10"/>
        <color indexed="10"/>
        <rFont val="黑体"/>
        <family val="3"/>
        <charset val="134"/>
      </rPr>
      <t>（基排工）</t>
    </r>
  </si>
  <si>
    <r>
      <rPr>
        <sz val="10"/>
        <rFont val="黑体"/>
        <family val="3"/>
        <charset val="134"/>
      </rPr>
      <t>4</t>
    </r>
    <r>
      <rPr>
        <sz val="10"/>
        <rFont val="黑体"/>
        <family val="3"/>
        <charset val="134"/>
      </rPr>
      <t>.4.2.排水破路施工</t>
    </r>
    <r>
      <rPr>
        <b/>
        <sz val="10"/>
        <color indexed="10"/>
        <rFont val="黑体"/>
        <family val="3"/>
        <charset val="134"/>
      </rPr>
      <t>（基排破）</t>
    </r>
  </si>
  <si>
    <r>
      <rPr>
        <b/>
        <sz val="10"/>
        <rFont val="黑体"/>
        <family val="3"/>
        <charset val="134"/>
      </rPr>
      <t>4</t>
    </r>
    <r>
      <rPr>
        <b/>
        <sz val="10"/>
        <rFont val="黑体"/>
        <family val="3"/>
        <charset val="134"/>
      </rPr>
      <t xml:space="preserve">.5 </t>
    </r>
    <r>
      <rPr>
        <b/>
        <sz val="10"/>
        <rFont val="黑体"/>
        <family val="3"/>
        <charset val="134"/>
      </rPr>
      <t>供热</t>
    </r>
  </si>
  <si>
    <t>5001.01.04.05</t>
  </si>
  <si>
    <r>
      <rPr>
        <sz val="10"/>
        <rFont val="黑体"/>
        <family val="3"/>
        <charset val="134"/>
      </rPr>
      <t>4.5.1</t>
    </r>
    <r>
      <rPr>
        <sz val="10"/>
        <rFont val="黑体"/>
        <family val="3"/>
        <charset val="134"/>
      </rPr>
      <t>.供热工程建设</t>
    </r>
    <r>
      <rPr>
        <b/>
        <sz val="10"/>
        <color indexed="10"/>
        <rFont val="黑体"/>
        <family val="3"/>
        <charset val="134"/>
      </rPr>
      <t>（基热工）</t>
    </r>
  </si>
  <si>
    <r>
      <rPr>
        <sz val="10"/>
        <color indexed="10"/>
        <rFont val="Times New Roman"/>
        <family val="1"/>
      </rPr>
      <t>JXA-069</t>
    </r>
    <r>
      <rPr>
        <sz val="10"/>
        <color indexed="10"/>
        <rFont val="宋体"/>
        <family val="3"/>
        <charset val="134"/>
      </rPr>
      <t>（</t>
    </r>
    <r>
      <rPr>
        <sz val="10"/>
        <color indexed="10"/>
        <rFont val="Times New Roman"/>
        <family val="1"/>
      </rPr>
      <t>1</t>
    </r>
    <r>
      <rPr>
        <sz val="10"/>
        <color indexed="10"/>
        <rFont val="宋体"/>
        <family val="3"/>
        <charset val="134"/>
      </rPr>
      <t>）</t>
    </r>
  </si>
  <si>
    <r>
      <rPr>
        <sz val="10"/>
        <rFont val="黑体"/>
        <family val="3"/>
        <charset val="134"/>
      </rPr>
      <t>4</t>
    </r>
    <r>
      <rPr>
        <sz val="10"/>
        <rFont val="黑体"/>
        <family val="3"/>
        <charset val="134"/>
      </rPr>
      <t>.5.2</t>
    </r>
    <r>
      <rPr>
        <sz val="10"/>
        <rFont val="黑体"/>
        <family val="3"/>
        <charset val="134"/>
      </rPr>
      <t>.供热内网</t>
    </r>
    <r>
      <rPr>
        <b/>
        <sz val="10"/>
        <color indexed="10"/>
        <rFont val="黑体"/>
        <family val="3"/>
        <charset val="134"/>
      </rPr>
      <t>（基热内）</t>
    </r>
  </si>
  <si>
    <r>
      <rPr>
        <sz val="10"/>
        <rFont val="黑体"/>
        <family val="3"/>
        <charset val="134"/>
      </rPr>
      <t>4</t>
    </r>
    <r>
      <rPr>
        <sz val="10"/>
        <rFont val="黑体"/>
        <family val="3"/>
        <charset val="134"/>
      </rPr>
      <t>.5.3</t>
    </r>
    <r>
      <rPr>
        <sz val="10"/>
        <rFont val="黑体"/>
        <family val="3"/>
        <charset val="134"/>
      </rPr>
      <t>.热计量表</t>
    </r>
    <r>
      <rPr>
        <b/>
        <sz val="10"/>
        <color indexed="10"/>
        <rFont val="黑体"/>
        <family val="3"/>
        <charset val="134"/>
      </rPr>
      <t>（基热表）</t>
    </r>
  </si>
  <si>
    <r>
      <rPr>
        <sz val="10"/>
        <color indexed="10"/>
        <rFont val="Times New Roman"/>
        <family val="1"/>
      </rPr>
      <t>JXA-069</t>
    </r>
    <r>
      <rPr>
        <sz val="10"/>
        <color indexed="10"/>
        <rFont val="宋体"/>
        <family val="3"/>
        <charset val="134"/>
      </rPr>
      <t>（</t>
    </r>
    <r>
      <rPr>
        <sz val="10"/>
        <color indexed="10"/>
        <rFont val="Times New Roman"/>
        <family val="1"/>
      </rPr>
      <t>2</t>
    </r>
    <r>
      <rPr>
        <sz val="10"/>
        <color indexed="10"/>
        <rFont val="宋体"/>
        <family val="3"/>
        <charset val="134"/>
      </rPr>
      <t>）</t>
    </r>
  </si>
  <si>
    <t>4.6 燃气</t>
  </si>
  <si>
    <t>5001.01.04.04</t>
  </si>
  <si>
    <r>
      <rPr>
        <sz val="10"/>
        <rFont val="黑体"/>
        <family val="3"/>
        <charset val="134"/>
      </rPr>
      <t>4.</t>
    </r>
    <r>
      <rPr>
        <sz val="10"/>
        <rFont val="黑体"/>
        <family val="3"/>
        <charset val="134"/>
      </rPr>
      <t>6</t>
    </r>
    <r>
      <rPr>
        <sz val="10"/>
        <rFont val="黑体"/>
        <family val="3"/>
        <charset val="134"/>
      </rPr>
      <t>.1</t>
    </r>
    <r>
      <rPr>
        <sz val="10"/>
        <rFont val="黑体"/>
        <family val="3"/>
        <charset val="134"/>
      </rPr>
      <t>.气源发展基金</t>
    </r>
    <r>
      <rPr>
        <b/>
        <sz val="10"/>
        <color indexed="10"/>
        <rFont val="黑体"/>
        <family val="3"/>
        <charset val="134"/>
      </rPr>
      <t>（基气源）</t>
    </r>
  </si>
  <si>
    <r>
      <rPr>
        <sz val="10"/>
        <rFont val="黑体"/>
        <family val="3"/>
        <charset val="134"/>
      </rPr>
      <t>4.</t>
    </r>
    <r>
      <rPr>
        <sz val="10"/>
        <rFont val="黑体"/>
        <family val="3"/>
        <charset val="134"/>
      </rPr>
      <t>6</t>
    </r>
    <r>
      <rPr>
        <sz val="10"/>
        <rFont val="黑体"/>
        <family val="3"/>
        <charset val="134"/>
      </rPr>
      <t>.2</t>
    </r>
    <r>
      <rPr>
        <sz val="10"/>
        <rFont val="黑体"/>
        <family val="3"/>
        <charset val="134"/>
      </rPr>
      <t>.燃气工程</t>
    </r>
    <r>
      <rPr>
        <b/>
        <sz val="10"/>
        <color indexed="10"/>
        <rFont val="黑体"/>
        <family val="3"/>
        <charset val="134"/>
      </rPr>
      <t>（基气工）</t>
    </r>
  </si>
  <si>
    <t>4.6.3.燃气设计费</t>
  </si>
  <si>
    <r>
      <rPr>
        <sz val="10"/>
        <rFont val="黑体"/>
        <family val="3"/>
        <charset val="134"/>
      </rPr>
      <t>4.6.4.燃气表费</t>
    </r>
    <r>
      <rPr>
        <b/>
        <sz val="10"/>
        <color rgb="FFFF0000"/>
        <rFont val="黑体"/>
        <family val="3"/>
        <charset val="134"/>
      </rPr>
      <t>（基气表）</t>
    </r>
  </si>
  <si>
    <t>4.6.5.燃气报警器</t>
  </si>
  <si>
    <t>4.6.6.点火费</t>
  </si>
  <si>
    <r>
      <rPr>
        <b/>
        <sz val="10"/>
        <rFont val="黑体"/>
        <family val="3"/>
        <charset val="134"/>
      </rPr>
      <t>4.7 视讯</t>
    </r>
    <r>
      <rPr>
        <b/>
        <sz val="10"/>
        <color rgb="FFFF0000"/>
        <rFont val="黑体"/>
        <family val="3"/>
        <charset val="134"/>
      </rPr>
      <t>（基视讯）</t>
    </r>
  </si>
  <si>
    <t>5001.01.04.07</t>
  </si>
  <si>
    <r>
      <rPr>
        <sz val="10"/>
        <rFont val="黑体"/>
        <family val="3"/>
        <charset val="134"/>
      </rPr>
      <t>4</t>
    </r>
    <r>
      <rPr>
        <sz val="10"/>
        <rFont val="黑体"/>
        <family val="3"/>
        <charset val="134"/>
      </rPr>
      <t>.7.1</t>
    </r>
    <r>
      <rPr>
        <sz val="10"/>
        <rFont val="黑体"/>
        <family val="3"/>
        <charset val="134"/>
      </rPr>
      <t>.电视线路安装</t>
    </r>
    <r>
      <rPr>
        <b/>
        <sz val="10"/>
        <color indexed="10"/>
        <rFont val="黑体"/>
        <family val="3"/>
        <charset val="134"/>
      </rPr>
      <t>（基视装）</t>
    </r>
  </si>
  <si>
    <r>
      <rPr>
        <sz val="10"/>
        <rFont val="黑体"/>
        <family val="3"/>
        <charset val="134"/>
      </rPr>
      <t>4</t>
    </r>
    <r>
      <rPr>
        <sz val="10"/>
        <rFont val="黑体"/>
        <family val="3"/>
        <charset val="134"/>
      </rPr>
      <t>.7.2</t>
    </r>
    <r>
      <rPr>
        <sz val="10"/>
        <rFont val="黑体"/>
        <family val="3"/>
        <charset val="134"/>
      </rPr>
      <t>.电视外网工程</t>
    </r>
    <r>
      <rPr>
        <b/>
        <sz val="10"/>
        <color indexed="10"/>
        <rFont val="黑体"/>
        <family val="3"/>
        <charset val="134"/>
      </rPr>
      <t>（基视网）</t>
    </r>
  </si>
  <si>
    <r>
      <rPr>
        <sz val="10"/>
        <rFont val="黑体"/>
        <family val="3"/>
        <charset val="134"/>
      </rPr>
      <t>4</t>
    </r>
    <r>
      <rPr>
        <sz val="10"/>
        <rFont val="黑体"/>
        <family val="3"/>
        <charset val="134"/>
      </rPr>
      <t>.7.3</t>
    </r>
    <r>
      <rPr>
        <sz val="10"/>
        <rFont val="黑体"/>
        <family val="3"/>
        <charset val="134"/>
      </rPr>
      <t>.通讯线路安装费</t>
    </r>
    <r>
      <rPr>
        <b/>
        <sz val="10"/>
        <color indexed="10"/>
        <rFont val="黑体"/>
        <family val="3"/>
        <charset val="134"/>
      </rPr>
      <t>（基视讯）</t>
    </r>
  </si>
  <si>
    <t>4.8 室外区内智能化工程</t>
  </si>
  <si>
    <t>4.8.1.区停车场管理系统</t>
  </si>
  <si>
    <t>4.8.2.安防系统工程、交通设施</t>
  </si>
  <si>
    <t>4.8.3.音乐广播、电子屏系统</t>
  </si>
  <si>
    <t>4.8 其他基础设施费</t>
  </si>
  <si>
    <t>5001.01.04.10</t>
  </si>
  <si>
    <r>
      <rPr>
        <sz val="10"/>
        <rFont val="黑体"/>
        <family val="3"/>
        <charset val="134"/>
      </rPr>
      <t>4</t>
    </r>
    <r>
      <rPr>
        <sz val="10"/>
        <rFont val="黑体"/>
        <family val="3"/>
        <charset val="134"/>
      </rPr>
      <t>.8.1</t>
    </r>
    <r>
      <rPr>
        <sz val="10"/>
        <rFont val="黑体"/>
        <family val="3"/>
        <charset val="134"/>
      </rPr>
      <t>.邮政设施</t>
    </r>
    <r>
      <rPr>
        <b/>
        <sz val="10"/>
        <color indexed="10"/>
        <rFont val="黑体"/>
        <family val="3"/>
        <charset val="134"/>
      </rPr>
      <t>（基邮）</t>
    </r>
  </si>
  <si>
    <r>
      <rPr>
        <sz val="10"/>
        <rFont val="黑体"/>
        <family val="3"/>
        <charset val="134"/>
      </rPr>
      <t>4</t>
    </r>
    <r>
      <rPr>
        <sz val="10"/>
        <rFont val="黑体"/>
        <family val="3"/>
        <charset val="134"/>
      </rPr>
      <t>.8.2</t>
    </r>
    <r>
      <rPr>
        <sz val="10"/>
        <rFont val="黑体"/>
        <family val="3"/>
        <charset val="134"/>
      </rPr>
      <t>.环卫设施</t>
    </r>
    <r>
      <rPr>
        <b/>
        <sz val="10"/>
        <color indexed="10"/>
        <rFont val="黑体"/>
        <family val="3"/>
        <charset val="134"/>
      </rPr>
      <t>（基环）</t>
    </r>
  </si>
  <si>
    <r>
      <rPr>
        <sz val="10"/>
        <rFont val="黑体"/>
        <family val="3"/>
        <charset val="134"/>
      </rPr>
      <t>4</t>
    </r>
    <r>
      <rPr>
        <sz val="10"/>
        <rFont val="黑体"/>
        <family val="3"/>
        <charset val="134"/>
      </rPr>
      <t>.8.3</t>
    </r>
    <r>
      <rPr>
        <sz val="10"/>
        <rFont val="黑体"/>
        <family val="3"/>
        <charset val="134"/>
      </rPr>
      <t>.其他</t>
    </r>
    <r>
      <rPr>
        <b/>
        <sz val="10"/>
        <color indexed="10"/>
        <rFont val="黑体"/>
        <family val="3"/>
        <charset val="134"/>
      </rPr>
      <t>（基其）</t>
    </r>
  </si>
  <si>
    <t>五、公用配套设施</t>
  </si>
  <si>
    <t>5001.01.05</t>
  </si>
  <si>
    <r>
      <rPr>
        <b/>
        <sz val="10"/>
        <rFont val="黑体"/>
        <family val="3"/>
        <charset val="134"/>
      </rPr>
      <t>5</t>
    </r>
    <r>
      <rPr>
        <b/>
        <sz val="10"/>
        <rFont val="黑体"/>
        <family val="3"/>
        <charset val="134"/>
      </rPr>
      <t>.1 非营业性公建配套费</t>
    </r>
    <r>
      <rPr>
        <b/>
        <sz val="10"/>
        <color indexed="10"/>
        <rFont val="黑体"/>
        <family val="3"/>
        <charset val="134"/>
      </rPr>
      <t>（公配小）</t>
    </r>
  </si>
  <si>
    <t>5001.01.05.01</t>
  </si>
  <si>
    <r>
      <rPr>
        <b/>
        <sz val="10"/>
        <rFont val="黑体"/>
        <family val="3"/>
        <charset val="134"/>
      </rPr>
      <t>5</t>
    </r>
    <r>
      <rPr>
        <b/>
        <sz val="10"/>
        <rFont val="黑体"/>
        <family val="3"/>
        <charset val="134"/>
      </rPr>
      <t>.2 物业管理费</t>
    </r>
  </si>
  <si>
    <t>5001.01.05.03</t>
  </si>
  <si>
    <r>
      <rPr>
        <sz val="10"/>
        <rFont val="黑体"/>
        <family val="3"/>
        <charset val="134"/>
      </rPr>
      <t>5.3.1</t>
    </r>
    <r>
      <rPr>
        <sz val="10"/>
        <rFont val="黑体"/>
        <family val="3"/>
        <charset val="134"/>
      </rPr>
      <t>.物业开办费（入住）</t>
    </r>
    <r>
      <rPr>
        <b/>
        <sz val="10"/>
        <color indexed="10"/>
        <rFont val="黑体"/>
        <family val="3"/>
        <charset val="134"/>
      </rPr>
      <t>（公物开）</t>
    </r>
  </si>
  <si>
    <r>
      <rPr>
        <sz val="10"/>
        <rFont val="黑体"/>
        <family val="3"/>
        <charset val="134"/>
      </rPr>
      <t>5.3.2</t>
    </r>
    <r>
      <rPr>
        <sz val="10"/>
        <rFont val="黑体"/>
        <family val="3"/>
        <charset val="134"/>
      </rPr>
      <t>.前期配合费（开发期间）</t>
    </r>
    <r>
      <rPr>
        <b/>
        <sz val="10"/>
        <color indexed="10"/>
        <rFont val="黑体"/>
        <family val="3"/>
        <charset val="134"/>
      </rPr>
      <t>（公物其）</t>
    </r>
  </si>
  <si>
    <t>5.3.3.验房费</t>
  </si>
  <si>
    <t>5.3.4.空房管理费</t>
  </si>
  <si>
    <t>5.3 空房采暖费</t>
  </si>
  <si>
    <r>
      <rPr>
        <b/>
        <sz val="10"/>
        <rFont val="黑体"/>
        <family val="3"/>
        <charset val="134"/>
      </rPr>
      <t xml:space="preserve">5.4 </t>
    </r>
    <r>
      <rPr>
        <b/>
        <sz val="10"/>
        <rFont val="黑体"/>
        <family val="3"/>
        <charset val="134"/>
      </rPr>
      <t>其他</t>
    </r>
    <r>
      <rPr>
        <b/>
        <sz val="10"/>
        <color indexed="10"/>
        <rFont val="黑体"/>
        <family val="3"/>
        <charset val="134"/>
      </rPr>
      <t>（公其）</t>
    </r>
  </si>
  <si>
    <t>5001.01.05.02</t>
  </si>
  <si>
    <t>六、不可预见费</t>
  </si>
  <si>
    <t>除土地款成本小计</t>
  </si>
  <si>
    <t>七、直接成本小计</t>
  </si>
  <si>
    <t>八、公共设施维修基金</t>
  </si>
  <si>
    <t>九、开发间接费</t>
  </si>
  <si>
    <t>5001.01.07</t>
  </si>
  <si>
    <t>9.1 销售费用</t>
  </si>
  <si>
    <r>
      <rPr>
        <b/>
        <sz val="10"/>
        <rFont val="黑体"/>
        <family val="3"/>
        <charset val="134"/>
      </rPr>
      <t>9.1.1 人员管理</t>
    </r>
    <r>
      <rPr>
        <b/>
        <sz val="10"/>
        <color indexed="10"/>
        <rFont val="黑体"/>
        <family val="3"/>
        <charset val="134"/>
      </rPr>
      <t>（销管）</t>
    </r>
  </si>
  <si>
    <r>
      <rPr>
        <sz val="10"/>
        <rFont val="黑体"/>
        <family val="3"/>
        <charset val="134"/>
      </rPr>
      <t>9.1.1.1.人员管理</t>
    </r>
    <r>
      <rPr>
        <b/>
        <sz val="10"/>
        <color indexed="10"/>
        <rFont val="黑体"/>
        <family val="3"/>
        <charset val="134"/>
      </rPr>
      <t>（销销人）</t>
    </r>
  </si>
  <si>
    <r>
      <rPr>
        <sz val="10"/>
        <rFont val="黑体"/>
        <family val="3"/>
        <charset val="134"/>
      </rPr>
      <t>9.1.1.2.销售设施</t>
    </r>
    <r>
      <rPr>
        <b/>
        <sz val="10"/>
        <color indexed="10"/>
        <rFont val="黑体"/>
        <family val="3"/>
        <charset val="134"/>
      </rPr>
      <t>（销销设）</t>
    </r>
  </si>
  <si>
    <r>
      <rPr>
        <sz val="10"/>
        <rFont val="黑体"/>
        <family val="3"/>
        <charset val="134"/>
      </rPr>
      <t>9.1.1.3.现场运营</t>
    </r>
    <r>
      <rPr>
        <b/>
        <sz val="10"/>
        <color indexed="10"/>
        <rFont val="黑体"/>
        <family val="3"/>
        <charset val="134"/>
      </rPr>
      <t>（销销运）</t>
    </r>
  </si>
  <si>
    <r>
      <rPr>
        <b/>
        <sz val="10"/>
        <rFont val="黑体"/>
        <family val="3"/>
        <charset val="134"/>
      </rPr>
      <t>9</t>
    </r>
    <r>
      <rPr>
        <b/>
        <sz val="10"/>
        <rFont val="黑体"/>
        <family val="3"/>
        <charset val="134"/>
      </rPr>
      <t xml:space="preserve">.1.2 </t>
    </r>
    <r>
      <rPr>
        <b/>
        <sz val="10"/>
        <rFont val="黑体"/>
        <family val="3"/>
        <charset val="134"/>
      </rPr>
      <t>销售管理费用</t>
    </r>
    <r>
      <rPr>
        <b/>
        <sz val="10"/>
        <color indexed="10"/>
        <rFont val="黑体"/>
        <family val="3"/>
        <charset val="134"/>
      </rPr>
      <t>（销管）</t>
    </r>
  </si>
  <si>
    <r>
      <rPr>
        <sz val="10"/>
        <rFont val="黑体"/>
        <family val="3"/>
        <charset val="134"/>
      </rPr>
      <t>9</t>
    </r>
    <r>
      <rPr>
        <sz val="10"/>
        <rFont val="黑体"/>
        <family val="3"/>
        <charset val="134"/>
      </rPr>
      <t>.1.2.1 线上推广</t>
    </r>
    <r>
      <rPr>
        <b/>
        <sz val="10"/>
        <color indexed="10"/>
        <rFont val="黑体"/>
        <family val="3"/>
        <charset val="134"/>
      </rPr>
      <t>（销管上）</t>
    </r>
  </si>
  <si>
    <r>
      <rPr>
        <sz val="10"/>
        <rFont val="黑体"/>
        <family val="3"/>
        <charset val="134"/>
      </rPr>
      <t>9</t>
    </r>
    <r>
      <rPr>
        <sz val="10"/>
        <rFont val="黑体"/>
        <family val="3"/>
        <charset val="134"/>
      </rPr>
      <t>.1.2.2线下活动</t>
    </r>
    <r>
      <rPr>
        <b/>
        <sz val="10"/>
        <color indexed="10"/>
        <rFont val="黑体"/>
        <family val="3"/>
        <charset val="134"/>
      </rPr>
      <t>（销管下）</t>
    </r>
  </si>
  <si>
    <r>
      <rPr>
        <sz val="10"/>
        <rFont val="黑体"/>
        <family val="3"/>
        <charset val="134"/>
      </rPr>
      <t xml:space="preserve">9.1.2.3 </t>
    </r>
    <r>
      <rPr>
        <sz val="10"/>
        <rFont val="黑体"/>
        <family val="3"/>
        <charset val="134"/>
      </rPr>
      <t>销售物料</t>
    </r>
    <r>
      <rPr>
        <b/>
        <sz val="10"/>
        <color indexed="10"/>
        <rFont val="黑体"/>
        <family val="3"/>
        <charset val="134"/>
      </rPr>
      <t>（销管物）</t>
    </r>
  </si>
  <si>
    <r>
      <rPr>
        <sz val="10"/>
        <rFont val="黑体"/>
        <family val="3"/>
        <charset val="134"/>
      </rPr>
      <t>9.1.2.4 广告设计</t>
    </r>
    <r>
      <rPr>
        <b/>
        <sz val="10"/>
        <color indexed="10"/>
        <rFont val="黑体"/>
        <family val="3"/>
        <charset val="134"/>
      </rPr>
      <t>（销管广）</t>
    </r>
  </si>
  <si>
    <r>
      <rPr>
        <b/>
        <sz val="10"/>
        <rFont val="黑体"/>
        <family val="3"/>
        <charset val="134"/>
      </rPr>
      <t>9</t>
    </r>
    <r>
      <rPr>
        <b/>
        <sz val="10"/>
        <rFont val="黑体"/>
        <family val="3"/>
        <charset val="134"/>
      </rPr>
      <t xml:space="preserve">.2 </t>
    </r>
    <r>
      <rPr>
        <b/>
        <sz val="10"/>
        <rFont val="黑体"/>
        <family val="3"/>
        <charset val="134"/>
      </rPr>
      <t>管理费用</t>
    </r>
  </si>
  <si>
    <r>
      <rPr>
        <b/>
        <sz val="10"/>
        <rFont val="黑体"/>
        <family val="3"/>
        <charset val="134"/>
      </rPr>
      <t xml:space="preserve">9.2.1 </t>
    </r>
    <r>
      <rPr>
        <b/>
        <sz val="10"/>
        <rFont val="黑体"/>
        <family val="3"/>
        <charset val="134"/>
      </rPr>
      <t>人力资源费用</t>
    </r>
  </si>
  <si>
    <t>07-10月</t>
  </si>
  <si>
    <t>11月</t>
  </si>
  <si>
    <t>12月</t>
  </si>
  <si>
    <t>2014.1月</t>
  </si>
  <si>
    <t>2014.2月</t>
  </si>
  <si>
    <t>2014.3月</t>
  </si>
  <si>
    <t>2014.4月</t>
  </si>
  <si>
    <t>9.2.2 办公费</t>
  </si>
  <si>
    <t>9.2.3 租赁费</t>
  </si>
  <si>
    <t>9.2.4 固定资产</t>
  </si>
  <si>
    <t>9.2.5 招待费</t>
  </si>
  <si>
    <t>9.2.6 交通费</t>
  </si>
  <si>
    <t>9.2.7 其他费用</t>
  </si>
  <si>
    <t>9.2.8  印花税</t>
  </si>
  <si>
    <t>9.3 资金成本</t>
  </si>
  <si>
    <r>
      <rPr>
        <b/>
        <sz val="10"/>
        <rFont val="黑体"/>
        <family val="3"/>
        <charset val="134"/>
      </rPr>
      <t xml:space="preserve">9.3.1 </t>
    </r>
    <r>
      <rPr>
        <b/>
        <sz val="10"/>
        <rFont val="黑体"/>
        <family val="3"/>
        <charset val="134"/>
      </rPr>
      <t>融资成本</t>
    </r>
  </si>
  <si>
    <r>
      <rPr>
        <b/>
        <sz val="10"/>
        <rFont val="黑体"/>
        <family val="3"/>
        <charset val="134"/>
      </rPr>
      <t xml:space="preserve">9.3.2 </t>
    </r>
    <r>
      <rPr>
        <b/>
        <sz val="10"/>
        <rFont val="黑体"/>
        <family val="3"/>
        <charset val="134"/>
      </rPr>
      <t>贷款利息</t>
    </r>
  </si>
  <si>
    <t>十、销售收入</t>
  </si>
  <si>
    <t>10.1 住宅收入</t>
  </si>
  <si>
    <t>10.2 车库收入</t>
  </si>
  <si>
    <t>10.3 商业收入</t>
  </si>
  <si>
    <t>10.4 其他收入</t>
  </si>
  <si>
    <t>十一、税金</t>
  </si>
  <si>
    <t>5001.01.06</t>
  </si>
  <si>
    <t>11.1 营业税金及附加</t>
  </si>
  <si>
    <t>11.2 土地增值税</t>
  </si>
  <si>
    <t>11.3 其他税金</t>
  </si>
  <si>
    <t>房产税</t>
  </si>
  <si>
    <t>土地合同印花税</t>
  </si>
  <si>
    <t>11.4 所得税</t>
  </si>
  <si>
    <t>11.5 契税</t>
  </si>
  <si>
    <t>11.6 城镇土地使用税</t>
  </si>
  <si>
    <t>十二、税前成本合计</t>
  </si>
  <si>
    <t>十三、税前利润</t>
  </si>
  <si>
    <t>十四、税前利润率</t>
  </si>
  <si>
    <t>十五、税后成本合计</t>
  </si>
  <si>
    <t>十六、税后利润</t>
  </si>
  <si>
    <t>十七、税后净利润率</t>
  </si>
  <si>
    <t>十八、自有资金回报率</t>
  </si>
  <si>
    <t>十九、预缴税金</t>
  </si>
  <si>
    <t>二十、预缴税成本合计</t>
  </si>
  <si>
    <t>二十一、预缴税利润</t>
  </si>
  <si>
    <t>二十二、预缴税利润率</t>
  </si>
  <si>
    <t>二十三、预缴税后自有资金回报率</t>
  </si>
  <si>
    <t>往来款台账</t>
  </si>
  <si>
    <t>发生日期</t>
  </si>
  <si>
    <t>金额（元）</t>
  </si>
  <si>
    <t>经手人</t>
  </si>
  <si>
    <t>退款时间</t>
  </si>
  <si>
    <t>退款金额</t>
  </si>
  <si>
    <t>余额</t>
  </si>
  <si>
    <t>WL-001</t>
  </si>
  <si>
    <t>临时电预交电费押金</t>
  </si>
  <si>
    <t>蓟县供电分公司</t>
  </si>
  <si>
    <t>李晓光</t>
  </si>
  <si>
    <t>段昆明</t>
  </si>
  <si>
    <t>农民工资预储工资（一期第一笔）</t>
  </si>
  <si>
    <t>南侧道路开口押金</t>
  </si>
  <si>
    <t>李朋</t>
  </si>
  <si>
    <t>西侧道路开口押金</t>
  </si>
  <si>
    <t>农民工资预储工资（一期第二笔）</t>
  </si>
  <si>
    <t>（二、三期）文明施工措施费</t>
  </si>
  <si>
    <t>李子静</t>
  </si>
  <si>
    <t>S-001</t>
  </si>
  <si>
    <t>缴纳09年下半年土地使用税</t>
  </si>
  <si>
    <t>S-002</t>
  </si>
  <si>
    <t>缴纳2010年上半年城镇土地使用税</t>
  </si>
  <si>
    <t>S-003</t>
  </si>
  <si>
    <t>计提2010年下半年城镇土地使用税</t>
  </si>
  <si>
    <t>S-004</t>
  </si>
  <si>
    <t>缴纳2009年上半年土地使用税</t>
  </si>
  <si>
    <t>S-005</t>
  </si>
  <si>
    <t>付2011年上半年城镇土地使用税</t>
  </si>
  <si>
    <t>S-006</t>
  </si>
  <si>
    <t>博智公司缴纳2011年下半年城镇土地使用税</t>
  </si>
  <si>
    <t>S-007</t>
  </si>
  <si>
    <t>博智公司缴纳2012年上半年城镇土地使用税</t>
  </si>
  <si>
    <t>S-008</t>
  </si>
  <si>
    <r>
      <rPr>
        <sz val="10"/>
        <rFont val="宋体"/>
        <family val="3"/>
        <charset val="134"/>
      </rPr>
      <t>博智公司缴纳201</t>
    </r>
    <r>
      <rPr>
        <sz val="10"/>
        <rFont val="宋体"/>
        <family val="3"/>
        <charset val="134"/>
      </rPr>
      <t>2</t>
    </r>
    <r>
      <rPr>
        <sz val="10"/>
        <rFont val="宋体"/>
        <family val="3"/>
        <charset val="134"/>
      </rPr>
      <t>年下半年城镇土地使用税</t>
    </r>
  </si>
  <si>
    <t>已发生成本</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</si>
</sst>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00;[Red]#,##0.00"/>
    <numFmt numFmtId="177" formatCode="0.00_);[Red]\(0.00\)"/>
    <numFmt numFmtId="178" formatCode="0.00_ "/>
    <numFmt numFmtId="179" formatCode="0.0_ "/>
    <numFmt numFmtId="180" formatCode="0.000000000_);[Red]\(0.000000000\)"/>
    <numFmt numFmtId="181" formatCode="0_ "/>
    <numFmt numFmtId="182" formatCode="0_);[Red]\(0\)"/>
    <numFmt numFmtId="183" formatCode="[DBNum1][$-804]yyyy&quot;年&quot;m&quot;月&quot;d&quot;日&quot;"/>
    <numFmt numFmtId="184" formatCode="0.00;_栀"/>
    <numFmt numFmtId="185" formatCode="0.0%"/>
  </numFmts>
  <fonts count="41">
    <font>
      <sz val="12"/>
      <name val="宋体"/>
      <charset val="134"/>
    </font>
    <font>
      <sz val="10"/>
      <name val="宋体"/>
      <family val="3"/>
      <charset val="134"/>
    </font>
    <font>
      <b/>
      <sz val="26"/>
      <name val="宋体"/>
      <family val="3"/>
      <charset val="134"/>
    </font>
    <font>
      <b/>
      <sz val="12"/>
      <name val="宋体"/>
      <family val="3"/>
      <charset val="134"/>
    </font>
    <font>
      <sz val="12"/>
      <name val="宋体"/>
      <family val="3"/>
      <charset val="134"/>
    </font>
    <font>
      <sz val="10"/>
      <name val="Times New Roman"/>
      <family val="1"/>
    </font>
    <font>
      <sz val="9"/>
      <name val="宋体"/>
      <family val="3"/>
      <charset val="134"/>
    </font>
    <font>
      <b/>
      <sz val="10"/>
      <name val="宋体"/>
      <family val="3"/>
      <charset val="134"/>
    </font>
    <font>
      <sz val="10"/>
      <color indexed="10"/>
      <name val="宋体"/>
      <family val="3"/>
      <charset val="134"/>
    </font>
    <font>
      <b/>
      <sz val="10"/>
      <color indexed="10"/>
      <name val="宋体"/>
      <family val="3"/>
      <charset val="134"/>
    </font>
    <font>
      <b/>
      <sz val="20"/>
      <name val="宋体"/>
      <family val="3"/>
      <charset val="134"/>
    </font>
    <font>
      <b/>
      <sz val="10"/>
      <name val="黑体"/>
      <family val="3"/>
      <charset val="134"/>
    </font>
    <font>
      <b/>
      <sz val="10"/>
      <name val="Times New Roman"/>
      <family val="1"/>
    </font>
    <font>
      <sz val="10"/>
      <name val="黑体"/>
      <family val="3"/>
      <charset val="134"/>
    </font>
    <font>
      <sz val="10"/>
      <color indexed="10"/>
      <name val="Times New Roman"/>
      <family val="1"/>
    </font>
    <font>
      <sz val="10"/>
      <color indexed="10"/>
      <name val="黑体"/>
      <family val="3"/>
      <charset val="134"/>
    </font>
    <font>
      <b/>
      <sz val="10"/>
      <color indexed="10"/>
      <name val="Times New Roman"/>
      <family val="1"/>
    </font>
    <font>
      <b/>
      <sz val="10"/>
      <color indexed="10"/>
      <name val="黑体"/>
      <family val="3"/>
      <charset val="134"/>
    </font>
    <font>
      <b/>
      <i/>
      <sz val="10"/>
      <name val="黑体"/>
      <family val="3"/>
      <charset val="134"/>
    </font>
    <font>
      <b/>
      <sz val="18"/>
      <name val="黑体"/>
      <family val="3"/>
      <charset val="134"/>
    </font>
    <font>
      <b/>
      <sz val="10"/>
      <color theme="1"/>
      <name val="黑体"/>
      <family val="3"/>
      <charset val="134"/>
    </font>
    <font>
      <sz val="10"/>
      <color theme="1"/>
      <name val="黑体"/>
      <family val="3"/>
      <charset val="134"/>
    </font>
    <font>
      <sz val="10"/>
      <color indexed="8"/>
      <name val="Arial"/>
      <family val="2"/>
    </font>
    <font>
      <sz val="10"/>
      <color indexed="8"/>
      <name val="宋体"/>
      <family val="3"/>
      <charset val="134"/>
    </font>
    <font>
      <sz val="10"/>
      <name val="Arial"/>
      <family val="2"/>
    </font>
    <font>
      <sz val="10"/>
      <color rgb="FFFF0000"/>
      <name val="宋体"/>
      <family val="3"/>
      <charset val="134"/>
    </font>
    <font>
      <sz val="10"/>
      <color indexed="10"/>
      <name val="Arial"/>
      <family val="2"/>
    </font>
    <font>
      <b/>
      <sz val="12"/>
      <name val="Times New Roman"/>
      <family val="1"/>
    </font>
    <font>
      <sz val="12"/>
      <name val="Times New Roman"/>
      <family val="1"/>
    </font>
    <font>
      <sz val="9"/>
      <name val="楷体_GB2312"/>
      <charset val="134"/>
    </font>
    <font>
      <b/>
      <u/>
      <sz val="24"/>
      <name val="华文行楷"/>
      <family val="3"/>
      <charset val="134"/>
    </font>
    <font>
      <b/>
      <sz val="24"/>
      <name val="华文行楷"/>
      <family val="3"/>
      <charset val="134"/>
    </font>
    <font>
      <sz val="12"/>
      <name val="方正姚体"/>
      <family val="3"/>
      <charset val="134"/>
    </font>
    <font>
      <sz val="11"/>
      <color theme="1"/>
      <name val="宋体"/>
      <family val="3"/>
      <charset val="134"/>
      <scheme val="minor"/>
    </font>
    <font>
      <b/>
      <sz val="8"/>
      <name val="宋体"/>
      <family val="3"/>
      <charset val="134"/>
    </font>
    <font>
      <b/>
      <sz val="8"/>
      <name val="Times New Roman"/>
      <family val="1"/>
    </font>
    <font>
      <b/>
      <sz val="10"/>
      <color rgb="FFFF0000"/>
      <name val="黑体"/>
      <family val="3"/>
      <charset val="134"/>
    </font>
    <font>
      <sz val="10"/>
      <color rgb="FFFF0000"/>
      <name val="黑体"/>
      <family val="3"/>
      <charset val="134"/>
    </font>
    <font>
      <b/>
      <sz val="9"/>
      <name val="Tahoma"/>
      <family val="2"/>
    </font>
    <font>
      <sz val="9"/>
      <name val="Tahoma"/>
      <family val="2"/>
    </font>
    <font>
      <sz val="9"/>
      <name val="宋体"/>
      <family val="3"/>
      <charset val="134"/>
    </font>
  </fonts>
  <fills count="2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rgb="FFFFFF00"/>
        <bgColor indexed="64"/>
      </patternFill>
    </fill>
    <fill>
      <patternFill patternType="solid">
        <fgColor indexed="43"/>
        <bgColor indexed="64"/>
      </patternFill>
    </fill>
    <fill>
      <patternFill patternType="solid">
        <fgColor indexed="29"/>
        <bgColor indexed="64"/>
      </patternFill>
    </fill>
    <fill>
      <patternFill patternType="solid">
        <fgColor indexed="40"/>
        <bgColor indexed="64"/>
      </patternFill>
    </fill>
    <fill>
      <patternFill patternType="solid">
        <fgColor rgb="FF92D050"/>
        <bgColor indexed="64"/>
      </patternFill>
    </fill>
    <fill>
      <patternFill patternType="solid">
        <fgColor rgb="FFFFC000"/>
        <bgColor indexed="64"/>
      </patternFill>
    </fill>
    <fill>
      <patternFill patternType="solid">
        <fgColor indexed="4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45"/>
        <bgColor indexed="64"/>
      </patternFill>
    </fill>
    <fill>
      <patternFill patternType="solid">
        <fgColor indexed="44"/>
        <bgColor indexed="64"/>
      </patternFill>
    </fill>
    <fill>
      <patternFill patternType="solid">
        <fgColor indexed="47"/>
        <bgColor indexed="64"/>
      </patternFill>
    </fill>
    <fill>
      <patternFill patternType="solid">
        <fgColor indexed="55"/>
        <bgColor indexed="64"/>
      </patternFill>
    </fill>
    <fill>
      <patternFill patternType="solid">
        <fgColor indexed="23"/>
        <bgColor indexed="64"/>
      </patternFill>
    </fill>
    <fill>
      <patternFill patternType="solid">
        <fgColor indexed="22"/>
        <bgColor indexed="64"/>
      </patternFill>
    </fill>
    <fill>
      <patternFill patternType="solid">
        <fgColor indexed="42"/>
        <bgColor indexed="64"/>
      </patternFill>
    </fill>
    <fill>
      <patternFill patternType="solid">
        <fgColor rgb="FFFF0000"/>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theme="3" tint="0.59999389629810485"/>
        <bgColor indexed="64"/>
      </patternFill>
    </fill>
  </fills>
  <borders count="68">
    <border>
      <left/>
      <right/>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thin">
        <color auto="1"/>
      </right>
      <top style="thin">
        <color auto="1"/>
      </top>
      <bottom style="thin">
        <color auto="1"/>
      </bottom>
      <diagonal/>
    </border>
    <border>
      <left style="hair">
        <color auto="1"/>
      </left>
      <right/>
      <top style="thin">
        <color auto="1"/>
      </top>
      <bottom/>
      <diagonal/>
    </border>
    <border>
      <left style="hair">
        <color auto="1"/>
      </left>
      <right style="thin">
        <color auto="1"/>
      </right>
      <top style="thin">
        <color auto="1"/>
      </top>
      <bottom/>
      <diagonal/>
    </border>
    <border>
      <left/>
      <right/>
      <top/>
      <bottom style="hair">
        <color auto="1"/>
      </bottom>
      <diagonal/>
    </border>
    <border>
      <left/>
      <right/>
      <top style="hair">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right/>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right style="hair">
        <color auto="1"/>
      </right>
      <top/>
      <bottom style="hair">
        <color auto="1"/>
      </bottom>
      <diagonal/>
    </border>
  </borders>
  <cellStyleXfs count="7">
    <xf numFmtId="183" fontId="0" fillId="0" borderId="0">
      <alignment vertical="center"/>
    </xf>
    <xf numFmtId="183" fontId="4" fillId="0" borderId="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83" fontId="33" fillId="0" borderId="0">
      <alignment vertical="center"/>
    </xf>
    <xf numFmtId="183" fontId="28" fillId="0" borderId="0"/>
    <xf numFmtId="183" fontId="33" fillId="0" borderId="0">
      <alignment vertical="center"/>
    </xf>
  </cellStyleXfs>
  <cellXfs count="822">
    <xf numFmtId="183" fontId="0" fillId="0" borderId="0" xfId="0" applyAlignment="1"/>
    <xf numFmtId="183" fontId="1" fillId="0" borderId="0" xfId="0" applyFont="1" applyFill="1" applyBorder="1" applyAlignment="1">
      <alignment horizontal="center" vertical="center" wrapText="1"/>
    </xf>
    <xf numFmtId="183" fontId="0" fillId="0" borderId="0" xfId="0" applyFill="1" applyAlignment="1"/>
    <xf numFmtId="183" fontId="1" fillId="0" borderId="0" xfId="0" applyFont="1" applyFill="1" applyBorder="1" applyAlignment="1">
      <alignment horizontal="left" vertical="center" wrapText="1"/>
    </xf>
    <xf numFmtId="183" fontId="1" fillId="0" borderId="0" xfId="0" applyFont="1" applyFill="1" applyAlignment="1"/>
    <xf numFmtId="2" fontId="1" fillId="0" borderId="0" xfId="0" applyNumberFormat="1" applyFont="1" applyFill="1" applyBorder="1" applyAlignment="1">
      <alignment horizontal="right" vertical="center"/>
    </xf>
    <xf numFmtId="2" fontId="0" fillId="0" borderId="0" xfId="0" applyNumberFormat="1" applyFill="1" applyAlignment="1"/>
    <xf numFmtId="177" fontId="0" fillId="0" borderId="0" xfId="0" applyNumberFormat="1" applyFill="1" applyAlignment="1"/>
    <xf numFmtId="183" fontId="2" fillId="0" borderId="0" xfId="0" applyFont="1" applyAlignment="1"/>
    <xf numFmtId="183" fontId="3" fillId="0" borderId="0" xfId="0" applyFont="1" applyFill="1" applyAlignment="1">
      <alignment horizontal="center" vertical="center"/>
    </xf>
    <xf numFmtId="183" fontId="4" fillId="2" borderId="0" xfId="0" applyFont="1" applyFill="1" applyAlignment="1">
      <alignment vertical="center"/>
    </xf>
    <xf numFmtId="183" fontId="0" fillId="0" borderId="0" xfId="0" applyAlignment="1">
      <alignment horizontal="center"/>
    </xf>
    <xf numFmtId="183" fontId="0" fillId="0" borderId="0" xfId="0" applyAlignment="1">
      <alignment wrapText="1"/>
    </xf>
    <xf numFmtId="178" fontId="0" fillId="0" borderId="0" xfId="0" applyNumberFormat="1" applyAlignment="1">
      <alignment horizontal="right"/>
    </xf>
    <xf numFmtId="49" fontId="3" fillId="3" borderId="1" xfId="0" applyNumberFormat="1" applyFont="1" applyFill="1" applyBorder="1" applyAlignment="1">
      <alignment horizontal="center" vertical="center"/>
    </xf>
    <xf numFmtId="183" fontId="3" fillId="3" borderId="2" xfId="0" applyFont="1" applyFill="1" applyBorder="1" applyAlignment="1">
      <alignment horizontal="center" vertical="center"/>
    </xf>
    <xf numFmtId="183" fontId="3" fillId="3" borderId="2" xfId="0" applyFont="1" applyFill="1" applyBorder="1" applyAlignment="1">
      <alignment horizontal="center" vertical="center" wrapText="1"/>
    </xf>
    <xf numFmtId="178" fontId="3" fillId="3" borderId="2" xfId="0" applyNumberFormat="1" applyFont="1" applyFill="1" applyBorder="1" applyAlignment="1">
      <alignment horizontal="right" vertical="center"/>
    </xf>
    <xf numFmtId="183" fontId="1" fillId="0" borderId="3" xfId="0" applyFont="1" applyFill="1" applyBorder="1" applyAlignment="1">
      <alignment horizontal="left" vertical="center" wrapText="1"/>
    </xf>
    <xf numFmtId="183" fontId="1" fillId="0" borderId="3" xfId="0" applyFont="1" applyFill="1" applyBorder="1" applyAlignment="1">
      <alignment horizontal="center" vertical="center" wrapText="1"/>
    </xf>
    <xf numFmtId="178" fontId="1" fillId="0" borderId="3" xfId="0" applyNumberFormat="1" applyFont="1" applyFill="1" applyBorder="1" applyAlignment="1">
      <alignment horizontal="right" vertical="center" wrapText="1"/>
    </xf>
    <xf numFmtId="49" fontId="5" fillId="4" borderId="3" xfId="0"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183" fontId="1" fillId="0" borderId="3" xfId="0" applyFont="1" applyFill="1" applyBorder="1" applyAlignment="1">
      <alignment vertical="center" wrapText="1"/>
    </xf>
    <xf numFmtId="2" fontId="1" fillId="0" borderId="3" xfId="0" applyNumberFormat="1" applyFont="1" applyFill="1" applyBorder="1" applyAlignment="1">
      <alignment horizontal="right" vertical="center"/>
    </xf>
    <xf numFmtId="43" fontId="1" fillId="0" borderId="3" xfId="2" applyFont="1" applyFill="1" applyBorder="1" applyAlignment="1">
      <alignment horizontal="right" vertical="center"/>
    </xf>
    <xf numFmtId="2" fontId="1" fillId="2" borderId="3" xfId="0" applyNumberFormat="1" applyFont="1" applyFill="1" applyBorder="1" applyAlignment="1">
      <alignment horizontal="center" vertical="center"/>
    </xf>
    <xf numFmtId="183" fontId="1" fillId="2" borderId="3" xfId="0" applyFont="1" applyFill="1" applyBorder="1" applyAlignment="1">
      <alignment horizontal="left" vertical="center" wrapText="1"/>
    </xf>
    <xf numFmtId="183" fontId="1" fillId="2" borderId="3" xfId="0" applyFont="1" applyFill="1" applyBorder="1" applyAlignment="1">
      <alignment vertical="center" wrapText="1"/>
    </xf>
    <xf numFmtId="49" fontId="5" fillId="5" borderId="3" xfId="0" applyNumberFormat="1" applyFont="1" applyFill="1" applyBorder="1" applyAlignment="1">
      <alignment horizontal="center" vertical="center"/>
    </xf>
    <xf numFmtId="2" fontId="1" fillId="5" borderId="3" xfId="0" applyNumberFormat="1" applyFont="1" applyFill="1" applyBorder="1" applyAlignment="1">
      <alignment horizontal="center" vertical="center"/>
    </xf>
    <xf numFmtId="183" fontId="1" fillId="5" borderId="3" xfId="0" applyFont="1" applyFill="1" applyBorder="1" applyAlignment="1">
      <alignment horizontal="left" vertical="center" wrapText="1"/>
    </xf>
    <xf numFmtId="183" fontId="1" fillId="5" borderId="3" xfId="0" applyFont="1" applyFill="1" applyBorder="1" applyAlignment="1">
      <alignment vertical="center" wrapText="1"/>
    </xf>
    <xf numFmtId="2" fontId="1" fillId="5" borderId="3" xfId="0" applyNumberFormat="1" applyFont="1" applyFill="1" applyBorder="1" applyAlignment="1">
      <alignment horizontal="right" vertical="center"/>
    </xf>
    <xf numFmtId="178" fontId="1" fillId="5" borderId="3" xfId="0" applyNumberFormat="1" applyFont="1" applyFill="1" applyBorder="1" applyAlignment="1">
      <alignment horizontal="right" vertical="center" wrapText="1"/>
    </xf>
    <xf numFmtId="183" fontId="1" fillId="5" borderId="3" xfId="0" applyFont="1" applyFill="1" applyBorder="1" applyAlignment="1">
      <alignment vertical="center"/>
    </xf>
    <xf numFmtId="49" fontId="5" fillId="6" borderId="3" xfId="0" applyNumberFormat="1" applyFont="1" applyFill="1" applyBorder="1" applyAlignment="1">
      <alignment horizontal="center" vertical="center"/>
    </xf>
    <xf numFmtId="183" fontId="1" fillId="6" borderId="3" xfId="0" applyFont="1" applyFill="1" applyBorder="1" applyAlignment="1">
      <alignment horizontal="left" vertical="center" wrapText="1"/>
    </xf>
    <xf numFmtId="183" fontId="0" fillId="0" borderId="3" xfId="0" applyBorder="1" applyAlignment="1">
      <alignment horizontal="center"/>
    </xf>
    <xf numFmtId="183" fontId="0" fillId="0" borderId="3" xfId="0" applyBorder="1" applyAlignment="1">
      <alignment wrapText="1"/>
    </xf>
    <xf numFmtId="183" fontId="0" fillId="0" borderId="3" xfId="0" applyBorder="1" applyAlignment="1"/>
    <xf numFmtId="178" fontId="0" fillId="0" borderId="3" xfId="0" applyNumberFormat="1" applyBorder="1" applyAlignment="1">
      <alignment horizontal="right"/>
    </xf>
    <xf numFmtId="183" fontId="3" fillId="3" borderId="4" xfId="0" applyFont="1" applyFill="1" applyBorder="1" applyAlignment="1">
      <alignment horizontal="center" vertical="center"/>
    </xf>
    <xf numFmtId="183" fontId="3" fillId="3" borderId="5" xfId="0" applyFont="1" applyFill="1" applyBorder="1" applyAlignment="1">
      <alignment horizontal="center" vertical="center"/>
    </xf>
    <xf numFmtId="183" fontId="1" fillId="0" borderId="3" xfId="0" applyNumberFormat="1" applyFont="1" applyFill="1" applyBorder="1" applyAlignment="1">
      <alignment horizontal="center" vertical="center" wrapText="1"/>
    </xf>
    <xf numFmtId="178" fontId="1" fillId="0" borderId="3" xfId="0" applyNumberFormat="1" applyFont="1" applyFill="1" applyBorder="1" applyAlignment="1">
      <alignment horizontal="center" vertical="center" wrapText="1"/>
    </xf>
    <xf numFmtId="178" fontId="1" fillId="0" borderId="3" xfId="2" applyNumberFormat="1" applyFont="1" applyFill="1" applyBorder="1" applyAlignment="1">
      <alignment horizontal="right" vertical="center"/>
    </xf>
    <xf numFmtId="183" fontId="6" fillId="2" borderId="0" xfId="0" applyFont="1" applyFill="1" applyBorder="1" applyAlignment="1">
      <alignment horizontal="center" vertical="center" wrapText="1"/>
    </xf>
    <xf numFmtId="177" fontId="1" fillId="2" borderId="0" xfId="0" applyNumberFormat="1" applyFont="1" applyFill="1" applyAlignment="1">
      <alignment vertical="center"/>
    </xf>
    <xf numFmtId="183" fontId="1" fillId="0" borderId="6" xfId="0" applyFont="1" applyBorder="1" applyAlignment="1">
      <alignment vertical="center"/>
    </xf>
    <xf numFmtId="183" fontId="7" fillId="0" borderId="7" xfId="0" applyFont="1" applyBorder="1" applyAlignment="1">
      <alignment vertical="center"/>
    </xf>
    <xf numFmtId="183" fontId="1" fillId="0" borderId="7" xfId="0" applyFont="1" applyFill="1" applyBorder="1" applyAlignment="1">
      <alignment vertical="center"/>
    </xf>
    <xf numFmtId="183" fontId="8" fillId="0" borderId="7" xfId="0" applyFont="1" applyFill="1" applyBorder="1" applyAlignment="1">
      <alignment vertical="center"/>
    </xf>
    <xf numFmtId="183" fontId="1" fillId="0" borderId="7" xfId="0" applyFont="1" applyBorder="1" applyAlignment="1">
      <alignment vertical="center"/>
    </xf>
    <xf numFmtId="183" fontId="9" fillId="0" borderId="7" xfId="0" applyFont="1" applyFill="1" applyBorder="1" applyAlignment="1">
      <alignment vertical="center"/>
    </xf>
    <xf numFmtId="183" fontId="7" fillId="0" borderId="7" xfId="0" applyFont="1" applyFill="1" applyBorder="1" applyAlignment="1">
      <alignment vertical="center"/>
    </xf>
    <xf numFmtId="183" fontId="1" fillId="0" borderId="7" xfId="0" applyFont="1" applyBorder="1" applyAlignment="1">
      <alignment horizontal="center" vertical="center"/>
    </xf>
    <xf numFmtId="183" fontId="1" fillId="0" borderId="7" xfId="0" applyFont="1" applyBorder="1" applyAlignment="1">
      <alignment horizontal="right" vertical="center"/>
    </xf>
    <xf numFmtId="183" fontId="7" fillId="0" borderId="7" xfId="0" applyFont="1" applyBorder="1" applyAlignment="1">
      <alignment horizontal="right" vertical="center"/>
    </xf>
    <xf numFmtId="183" fontId="1" fillId="0" borderId="7" xfId="0" applyFont="1" applyBorder="1" applyAlignment="1">
      <alignment horizontal="left" vertical="center"/>
    </xf>
    <xf numFmtId="183" fontId="7" fillId="7" borderId="8" xfId="0" applyFont="1" applyFill="1" applyBorder="1" applyAlignment="1">
      <alignment vertical="center" wrapText="1"/>
    </xf>
    <xf numFmtId="183" fontId="7" fillId="7" borderId="9" xfId="0" applyFont="1" applyFill="1" applyBorder="1" applyAlignment="1">
      <alignment horizontal="center" vertical="center" wrapText="1"/>
    </xf>
    <xf numFmtId="183" fontId="7" fillId="7" borderId="10" xfId="0" applyFont="1" applyFill="1" applyBorder="1" applyAlignment="1">
      <alignment horizontal="center" vertical="center" wrapText="1"/>
    </xf>
    <xf numFmtId="183" fontId="7" fillId="8" borderId="11" xfId="0" applyFont="1" applyFill="1" applyBorder="1" applyAlignment="1">
      <alignment horizontal="center" vertical="center" wrapText="1"/>
    </xf>
    <xf numFmtId="183" fontId="7" fillId="8" borderId="10" xfId="0" applyFont="1" applyFill="1" applyBorder="1" applyAlignment="1">
      <alignment horizontal="center" vertical="center" wrapText="1"/>
    </xf>
    <xf numFmtId="179" fontId="7" fillId="7" borderId="11" xfId="0" applyNumberFormat="1" applyFont="1" applyFill="1" applyBorder="1" applyAlignment="1">
      <alignment horizontal="center" vertical="center" wrapText="1"/>
    </xf>
    <xf numFmtId="179" fontId="7" fillId="7" borderId="9" xfId="0" applyNumberFormat="1" applyFont="1" applyFill="1" applyBorder="1" applyAlignment="1">
      <alignment horizontal="center" vertical="center" wrapText="1"/>
    </xf>
    <xf numFmtId="179" fontId="7" fillId="7" borderId="10" xfId="0" applyNumberFormat="1" applyFont="1" applyFill="1" applyBorder="1" applyAlignment="1">
      <alignment horizontal="center" vertical="center" wrapText="1"/>
    </xf>
    <xf numFmtId="183" fontId="11" fillId="9" borderId="8" xfId="1" applyFont="1" applyFill="1" applyBorder="1" applyAlignment="1">
      <alignment horizontal="center" vertical="center" wrapText="1"/>
    </xf>
    <xf numFmtId="183" fontId="11" fillId="9" borderId="9" xfId="1" applyNumberFormat="1" applyFont="1" applyFill="1" applyBorder="1" applyAlignment="1">
      <alignment horizontal="left" vertical="center" wrapText="1"/>
    </xf>
    <xf numFmtId="183" fontId="11" fillId="9" borderId="10" xfId="1" applyNumberFormat="1" applyFont="1" applyFill="1" applyBorder="1" applyAlignment="1">
      <alignment horizontal="center" vertical="center" wrapText="1"/>
    </xf>
    <xf numFmtId="43" fontId="12" fillId="9" borderId="9" xfId="0" applyNumberFormat="1" applyFont="1" applyFill="1" applyBorder="1" applyAlignment="1">
      <alignment horizontal="right" vertical="center"/>
    </xf>
    <xf numFmtId="183" fontId="11" fillId="3" borderId="8" xfId="1" applyFont="1" applyFill="1" applyBorder="1" applyAlignment="1">
      <alignment horizontal="center" vertical="center" wrapText="1"/>
    </xf>
    <xf numFmtId="183" fontId="11" fillId="3" borderId="9" xfId="1" applyNumberFormat="1" applyFont="1" applyFill="1" applyBorder="1" applyAlignment="1">
      <alignment horizontal="left" vertical="center" wrapText="1"/>
    </xf>
    <xf numFmtId="183" fontId="13" fillId="3" borderId="10" xfId="1" applyNumberFormat="1" applyFont="1" applyFill="1" applyBorder="1" applyAlignment="1">
      <alignment horizontal="center" vertical="center" wrapText="1"/>
    </xf>
    <xf numFmtId="43" fontId="5" fillId="3" borderId="9" xfId="0" applyNumberFormat="1" applyFont="1" applyFill="1" applyBorder="1" applyAlignment="1">
      <alignment horizontal="right" vertical="center"/>
    </xf>
    <xf numFmtId="49" fontId="14" fillId="4" borderId="0" xfId="0" applyNumberFormat="1" applyFont="1" applyFill="1" applyBorder="1" applyAlignment="1">
      <alignment horizontal="center" vertical="center"/>
    </xf>
    <xf numFmtId="183" fontId="15" fillId="0" borderId="9" xfId="1" applyNumberFormat="1" applyFont="1" applyFill="1" applyBorder="1" applyAlignment="1">
      <alignment horizontal="left" vertical="center" wrapText="1"/>
    </xf>
    <xf numFmtId="183" fontId="15" fillId="0" borderId="10" xfId="1" applyNumberFormat="1" applyFont="1" applyFill="1" applyBorder="1" applyAlignment="1">
      <alignment horizontal="center" vertical="center" wrapText="1"/>
    </xf>
    <xf numFmtId="2" fontId="15" fillId="0" borderId="11" xfId="1" applyNumberFormat="1" applyFont="1" applyFill="1" applyBorder="1" applyAlignment="1">
      <alignment vertical="center" wrapText="1"/>
    </xf>
    <xf numFmtId="43" fontId="14" fillId="0" borderId="10" xfId="0" applyNumberFormat="1" applyFont="1" applyFill="1" applyBorder="1" applyAlignment="1">
      <alignment horizontal="right" vertical="center"/>
    </xf>
    <xf numFmtId="43" fontId="14" fillId="0" borderId="11" xfId="0" applyNumberFormat="1" applyFont="1" applyFill="1" applyBorder="1" applyAlignment="1">
      <alignment horizontal="right" vertical="center"/>
    </xf>
    <xf numFmtId="43" fontId="14" fillId="0" borderId="9" xfId="0" applyNumberFormat="1" applyFont="1" applyFill="1" applyBorder="1" applyAlignment="1">
      <alignment horizontal="right" vertical="center"/>
    </xf>
    <xf numFmtId="183" fontId="13" fillId="0" borderId="8" xfId="0" applyFont="1" applyFill="1" applyBorder="1" applyAlignment="1">
      <alignment horizontal="center" vertical="center"/>
    </xf>
    <xf numFmtId="183" fontId="13" fillId="0" borderId="9" xfId="1" applyNumberFormat="1" applyFont="1" applyFill="1" applyBorder="1" applyAlignment="1">
      <alignment horizontal="left" vertical="center" wrapText="1"/>
    </xf>
    <xf numFmtId="183" fontId="13" fillId="0" borderId="10" xfId="1" applyNumberFormat="1" applyFont="1" applyFill="1" applyBorder="1" applyAlignment="1">
      <alignment horizontal="center" vertical="center" wrapText="1"/>
    </xf>
    <xf numFmtId="2" fontId="13" fillId="0" borderId="11" xfId="1" applyNumberFormat="1" applyFont="1" applyFill="1" applyBorder="1" applyAlignment="1">
      <alignment vertical="center" wrapText="1"/>
    </xf>
    <xf numFmtId="43" fontId="5" fillId="0" borderId="10" xfId="0" applyNumberFormat="1" applyFont="1" applyFill="1" applyBorder="1" applyAlignment="1">
      <alignment horizontal="right" vertical="center"/>
    </xf>
    <xf numFmtId="43" fontId="5" fillId="0" borderId="11" xfId="0" applyNumberFormat="1" applyFont="1" applyFill="1" applyBorder="1" applyAlignment="1">
      <alignment horizontal="right" vertical="center"/>
    </xf>
    <xf numFmtId="43" fontId="5" fillId="0" borderId="9" xfId="0" applyNumberFormat="1" applyFont="1" applyFill="1" applyBorder="1" applyAlignment="1">
      <alignment horizontal="right" vertical="center"/>
    </xf>
    <xf numFmtId="2" fontId="13" fillId="3" borderId="11" xfId="1" applyNumberFormat="1" applyFont="1" applyFill="1" applyBorder="1" applyAlignment="1">
      <alignment vertical="center" wrapText="1"/>
    </xf>
    <xf numFmtId="43" fontId="5" fillId="3" borderId="10" xfId="0" applyNumberFormat="1" applyFont="1" applyFill="1" applyBorder="1" applyAlignment="1">
      <alignment horizontal="right" vertical="center"/>
    </xf>
    <xf numFmtId="43" fontId="5" fillId="3" borderId="11" xfId="0" applyNumberFormat="1" applyFont="1" applyFill="1" applyBorder="1" applyAlignment="1">
      <alignment horizontal="right" vertical="center"/>
    </xf>
    <xf numFmtId="49" fontId="15" fillId="4" borderId="8" xfId="0" applyNumberFormat="1" applyFont="1" applyFill="1" applyBorder="1" applyAlignment="1">
      <alignment horizontal="center" vertical="center"/>
    </xf>
    <xf numFmtId="49" fontId="15" fillId="10" borderId="8" xfId="0" applyNumberFormat="1" applyFont="1" applyFill="1" applyBorder="1" applyAlignment="1">
      <alignment horizontal="center" vertical="center"/>
    </xf>
    <xf numFmtId="183" fontId="11" fillId="0" borderId="8" xfId="1" applyFont="1" applyFill="1" applyBorder="1" applyAlignment="1">
      <alignment horizontal="center" vertical="center" wrapText="1"/>
    </xf>
    <xf numFmtId="183" fontId="11" fillId="0" borderId="9" xfId="1" applyNumberFormat="1" applyFont="1" applyFill="1" applyBorder="1" applyAlignment="1">
      <alignment horizontal="left" vertical="center" wrapText="1"/>
    </xf>
    <xf numFmtId="183" fontId="11" fillId="0" borderId="10" xfId="1" applyNumberFormat="1" applyFont="1" applyFill="1" applyBorder="1" applyAlignment="1">
      <alignment horizontal="center" vertical="center" wrapText="1"/>
    </xf>
    <xf numFmtId="43" fontId="12" fillId="9" borderId="10" xfId="0" applyNumberFormat="1" applyFont="1" applyFill="1" applyBorder="1" applyAlignment="1">
      <alignment horizontal="right" vertical="center"/>
    </xf>
    <xf numFmtId="183" fontId="13" fillId="0" borderId="8" xfId="1" applyFont="1" applyFill="1" applyBorder="1" applyAlignment="1">
      <alignment horizontal="center" vertical="center" wrapText="1"/>
    </xf>
    <xf numFmtId="183" fontId="13" fillId="0" borderId="9" xfId="1" applyFont="1" applyFill="1" applyBorder="1" applyAlignment="1">
      <alignment horizontal="left" vertical="center" wrapText="1"/>
    </xf>
    <xf numFmtId="183" fontId="13" fillId="0" borderId="10" xfId="1" applyFont="1" applyFill="1" applyBorder="1" applyAlignment="1">
      <alignment horizontal="center" vertical="center" wrapText="1"/>
    </xf>
    <xf numFmtId="49" fontId="5" fillId="0" borderId="0" xfId="0" applyNumberFormat="1" applyFont="1" applyFill="1" applyBorder="1" applyAlignment="1">
      <alignment horizontal="center" vertical="center"/>
    </xf>
    <xf numFmtId="183" fontId="15" fillId="4" borderId="8" xfId="0" applyFont="1" applyFill="1" applyBorder="1" applyAlignment="1">
      <alignment horizontal="center" vertical="center"/>
    </xf>
    <xf numFmtId="183" fontId="15" fillId="10" borderId="8" xfId="0" applyFont="1" applyFill="1" applyBorder="1" applyAlignment="1">
      <alignment horizontal="center" vertical="center"/>
    </xf>
    <xf numFmtId="183" fontId="15" fillId="0" borderId="8" xfId="0" applyFont="1" applyFill="1" applyBorder="1" applyAlignment="1">
      <alignment horizontal="center" vertical="center"/>
    </xf>
    <xf numFmtId="43" fontId="14" fillId="0" borderId="7" xfId="0" applyNumberFormat="1" applyFont="1" applyFill="1" applyBorder="1" applyAlignment="1">
      <alignment horizontal="right" vertical="center"/>
    </xf>
    <xf numFmtId="43" fontId="14" fillId="0" borderId="12" xfId="0" applyNumberFormat="1" applyFont="1" applyFill="1" applyBorder="1" applyAlignment="1">
      <alignment horizontal="right" vertical="center"/>
    </xf>
    <xf numFmtId="49" fontId="14" fillId="0" borderId="0" xfId="0" applyNumberFormat="1" applyFont="1" applyFill="1" applyBorder="1" applyAlignment="1">
      <alignment horizontal="center" vertical="center"/>
    </xf>
    <xf numFmtId="178" fontId="5" fillId="0" borderId="9" xfId="0" applyNumberFormat="1" applyFont="1" applyFill="1" applyBorder="1" applyAlignment="1">
      <alignment horizontal="right" vertical="center"/>
    </xf>
    <xf numFmtId="177" fontId="9" fillId="0" borderId="7" xfId="0" applyNumberFormat="1" applyFont="1" applyBorder="1" applyAlignment="1">
      <alignment horizontal="center" vertical="center"/>
    </xf>
    <xf numFmtId="179" fontId="7" fillId="7" borderId="12" xfId="0" applyNumberFormat="1" applyFont="1" applyFill="1" applyBorder="1" applyAlignment="1">
      <alignment horizontal="center" vertical="center" wrapText="1"/>
    </xf>
    <xf numFmtId="183" fontId="7" fillId="7" borderId="13" xfId="0" applyFont="1" applyFill="1" applyBorder="1" applyAlignment="1">
      <alignment horizontal="center" vertical="center" wrapText="1"/>
    </xf>
    <xf numFmtId="43" fontId="12" fillId="9" borderId="11" xfId="0" applyNumberFormat="1" applyFont="1" applyFill="1" applyBorder="1" applyAlignment="1">
      <alignment horizontal="right" vertical="center"/>
    </xf>
    <xf numFmtId="43" fontId="7" fillId="9" borderId="13" xfId="0" applyNumberFormat="1" applyFont="1" applyFill="1" applyBorder="1" applyAlignment="1">
      <alignment horizontal="center" vertical="center"/>
    </xf>
    <xf numFmtId="43" fontId="12" fillId="3" borderId="11" xfId="0" applyNumberFormat="1" applyFont="1" applyFill="1" applyBorder="1" applyAlignment="1">
      <alignment horizontal="right" vertical="center"/>
    </xf>
    <xf numFmtId="43" fontId="12" fillId="3" borderId="9" xfId="0" applyNumberFormat="1" applyFont="1" applyFill="1" applyBorder="1" applyAlignment="1">
      <alignment horizontal="right" vertical="center"/>
    </xf>
    <xf numFmtId="43" fontId="16" fillId="0" borderId="9" xfId="0" applyNumberFormat="1" applyFont="1" applyFill="1" applyBorder="1" applyAlignment="1">
      <alignment horizontal="right" vertical="center"/>
    </xf>
    <xf numFmtId="43" fontId="9" fillId="9" borderId="13" xfId="0" applyNumberFormat="1" applyFont="1" applyFill="1" applyBorder="1" applyAlignment="1">
      <alignment horizontal="center" vertical="center"/>
    </xf>
    <xf numFmtId="43" fontId="12" fillId="0" borderId="9" xfId="0" applyNumberFormat="1" applyFont="1" applyFill="1" applyBorder="1" applyAlignment="1">
      <alignment horizontal="right" vertical="center"/>
    </xf>
    <xf numFmtId="43" fontId="5" fillId="0" borderId="12" xfId="0" applyNumberFormat="1" applyFont="1" applyFill="1" applyBorder="1" applyAlignment="1">
      <alignment horizontal="right" vertical="center"/>
    </xf>
    <xf numFmtId="43" fontId="12" fillId="0" borderId="12" xfId="0" applyNumberFormat="1" applyFont="1" applyFill="1" applyBorder="1" applyAlignment="1">
      <alignment horizontal="right" vertical="center"/>
    </xf>
    <xf numFmtId="43" fontId="9" fillId="0" borderId="13" xfId="0" applyNumberFormat="1" applyFont="1" applyFill="1" applyBorder="1" applyAlignment="1">
      <alignment horizontal="center" vertical="center"/>
    </xf>
    <xf numFmtId="43" fontId="7" fillId="0" borderId="13" xfId="0" applyNumberFormat="1" applyFont="1" applyFill="1" applyBorder="1" applyAlignment="1">
      <alignment horizontal="center" vertical="center"/>
    </xf>
    <xf numFmtId="43" fontId="14" fillId="0" borderId="14" xfId="0" applyNumberFormat="1" applyFont="1" applyFill="1" applyBorder="1" applyAlignment="1">
      <alignment horizontal="right" vertical="center"/>
    </xf>
    <xf numFmtId="183" fontId="14" fillId="0" borderId="9" xfId="0" applyNumberFormat="1" applyFont="1" applyFill="1" applyBorder="1" applyAlignment="1">
      <alignment horizontal="right" vertical="center"/>
    </xf>
    <xf numFmtId="49" fontId="14" fillId="10" borderId="0" xfId="0" applyNumberFormat="1" applyFont="1" applyFill="1" applyBorder="1" applyAlignment="1">
      <alignment horizontal="center" vertical="center"/>
    </xf>
    <xf numFmtId="43" fontId="5" fillId="0" borderId="7" xfId="0" applyNumberFormat="1" applyFont="1" applyFill="1" applyBorder="1" applyAlignment="1">
      <alignment horizontal="right" vertical="center"/>
    </xf>
    <xf numFmtId="183" fontId="15" fillId="11" borderId="9" xfId="1" applyNumberFormat="1" applyFont="1" applyFill="1" applyBorder="1" applyAlignment="1">
      <alignment horizontal="left" vertical="center" wrapText="1"/>
    </xf>
    <xf numFmtId="43" fontId="5" fillId="0" borderId="14" xfId="0" applyNumberFormat="1" applyFont="1" applyFill="1" applyBorder="1" applyAlignment="1">
      <alignment horizontal="right" vertical="center"/>
    </xf>
    <xf numFmtId="43" fontId="12" fillId="9" borderId="12" xfId="0" applyNumberFormat="1" applyFont="1" applyFill="1" applyBorder="1" applyAlignment="1">
      <alignment horizontal="right" vertical="center"/>
    </xf>
    <xf numFmtId="183" fontId="13" fillId="3" borderId="8" xfId="1" applyFont="1" applyFill="1" applyBorder="1" applyAlignment="1">
      <alignment horizontal="center" vertical="center" wrapText="1"/>
    </xf>
    <xf numFmtId="183" fontId="11" fillId="0" borderId="7" xfId="1" applyFont="1" applyFill="1" applyBorder="1" applyAlignment="1">
      <alignment horizontal="center" vertical="center" wrapText="1"/>
    </xf>
    <xf numFmtId="183" fontId="11" fillId="0" borderId="7" xfId="1" applyNumberFormat="1" applyFont="1" applyFill="1" applyBorder="1" applyAlignment="1">
      <alignment horizontal="center" vertical="center" wrapText="1"/>
    </xf>
    <xf numFmtId="2" fontId="13" fillId="0" borderId="7" xfId="1" applyNumberFormat="1" applyFont="1" applyFill="1" applyBorder="1" applyAlignment="1">
      <alignment vertical="center" wrapText="1"/>
    </xf>
    <xf numFmtId="183" fontId="1" fillId="3" borderId="7" xfId="0" applyFont="1" applyFill="1" applyBorder="1" applyAlignment="1">
      <alignment vertical="center"/>
    </xf>
    <xf numFmtId="43" fontId="1" fillId="0" borderId="7" xfId="0" applyNumberFormat="1" applyFont="1" applyBorder="1" applyAlignment="1">
      <alignment vertical="center"/>
    </xf>
    <xf numFmtId="43" fontId="5" fillId="3" borderId="12" xfId="0" applyNumberFormat="1" applyFont="1" applyFill="1" applyBorder="1" applyAlignment="1">
      <alignment horizontal="right" vertical="center"/>
    </xf>
    <xf numFmtId="178" fontId="14" fillId="0" borderId="9" xfId="0" applyNumberFormat="1" applyFont="1" applyFill="1" applyBorder="1" applyAlignment="1">
      <alignment horizontal="right" vertical="center"/>
    </xf>
    <xf numFmtId="43" fontId="12" fillId="0" borderId="10" xfId="0" applyNumberFormat="1" applyFont="1" applyFill="1" applyBorder="1" applyAlignment="1">
      <alignment horizontal="right" vertical="center"/>
    </xf>
    <xf numFmtId="43" fontId="12" fillId="0" borderId="11" xfId="0" applyNumberFormat="1" applyFont="1" applyFill="1" applyBorder="1" applyAlignment="1">
      <alignment horizontal="right" vertical="center"/>
    </xf>
    <xf numFmtId="2" fontId="11" fillId="9" borderId="11" xfId="1" applyNumberFormat="1" applyFont="1" applyFill="1" applyBorder="1" applyAlignment="1">
      <alignment vertical="center" wrapText="1"/>
    </xf>
    <xf numFmtId="183" fontId="16" fillId="0" borderId="8" xfId="0" applyFont="1" applyFill="1" applyBorder="1" applyAlignment="1">
      <alignment horizontal="center" vertical="center"/>
    </xf>
    <xf numFmtId="183" fontId="17" fillId="0" borderId="9" xfId="1" applyNumberFormat="1" applyFont="1" applyFill="1" applyBorder="1" applyAlignment="1">
      <alignment horizontal="left" vertical="center" wrapText="1"/>
    </xf>
    <xf numFmtId="183" fontId="17" fillId="0" borderId="10" xfId="1" applyNumberFormat="1" applyFont="1" applyFill="1" applyBorder="1" applyAlignment="1">
      <alignment horizontal="center" vertical="center" wrapText="1"/>
    </xf>
    <xf numFmtId="2" fontId="17" fillId="0" borderId="7" xfId="1" applyNumberFormat="1" applyFont="1" applyFill="1" applyBorder="1" applyAlignment="1">
      <alignment vertical="center" wrapText="1"/>
    </xf>
    <xf numFmtId="183" fontId="11" fillId="7" borderId="8" xfId="1" applyFont="1" applyFill="1" applyBorder="1" applyAlignment="1">
      <alignment horizontal="center" vertical="center" wrapText="1"/>
    </xf>
    <xf numFmtId="183" fontId="18" fillId="7" borderId="9" xfId="1" applyNumberFormat="1" applyFont="1" applyFill="1" applyBorder="1" applyAlignment="1">
      <alignment horizontal="left" vertical="center" wrapText="1"/>
    </xf>
    <xf numFmtId="183" fontId="18" fillId="7" borderId="10" xfId="1" applyNumberFormat="1" applyFont="1" applyFill="1" applyBorder="1" applyAlignment="1">
      <alignment horizontal="center" vertical="center" wrapText="1"/>
    </xf>
    <xf numFmtId="43" fontId="12" fillId="7" borderId="10" xfId="0" applyNumberFormat="1" applyFont="1" applyFill="1" applyBorder="1" applyAlignment="1">
      <alignment horizontal="right" vertical="center"/>
    </xf>
    <xf numFmtId="183" fontId="18" fillId="0" borderId="9" xfId="1" applyNumberFormat="1" applyFont="1" applyFill="1" applyBorder="1" applyAlignment="1">
      <alignment horizontal="left" vertical="center" wrapText="1"/>
    </xf>
    <xf numFmtId="183" fontId="18" fillId="0" borderId="10" xfId="1" applyNumberFormat="1" applyFont="1" applyFill="1" applyBorder="1" applyAlignment="1">
      <alignment horizontal="center" vertical="center" wrapText="1"/>
    </xf>
    <xf numFmtId="2" fontId="11" fillId="0" borderId="11" xfId="1" applyNumberFormat="1" applyFont="1" applyFill="1" applyBorder="1" applyAlignment="1">
      <alignment vertical="center" wrapText="1"/>
    </xf>
    <xf numFmtId="43" fontId="12" fillId="0" borderId="10" xfId="0" applyNumberFormat="1" applyFont="1" applyFill="1" applyBorder="1" applyAlignment="1">
      <alignment horizontal="right" vertical="center" wrapText="1"/>
    </xf>
    <xf numFmtId="43" fontId="12" fillId="0" borderId="7" xfId="0" applyNumberFormat="1" applyFont="1" applyFill="1" applyBorder="1" applyAlignment="1">
      <alignment horizontal="right" vertical="center"/>
    </xf>
    <xf numFmtId="183" fontId="5" fillId="0" borderId="8" xfId="0" applyFont="1" applyFill="1" applyBorder="1" applyAlignment="1">
      <alignment horizontal="center" vertical="center"/>
    </xf>
    <xf numFmtId="49" fontId="5" fillId="0" borderId="8" xfId="0" applyNumberFormat="1" applyFont="1" applyFill="1" applyBorder="1" applyAlignment="1">
      <alignment horizontal="center" vertical="center"/>
    </xf>
    <xf numFmtId="43" fontId="1" fillId="0" borderId="7" xfId="0" applyNumberFormat="1" applyFont="1" applyFill="1" applyBorder="1" applyAlignment="1">
      <alignment vertical="center"/>
    </xf>
    <xf numFmtId="49" fontId="1"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3" fontId="16" fillId="7" borderId="12" xfId="0" applyNumberFormat="1" applyFont="1" applyFill="1" applyBorder="1" applyAlignment="1">
      <alignment horizontal="right" vertical="center"/>
    </xf>
    <xf numFmtId="43" fontId="12" fillId="7" borderId="9" xfId="0" applyNumberFormat="1" applyFont="1" applyFill="1" applyBorder="1" applyAlignment="1">
      <alignment horizontal="right" vertical="center"/>
    </xf>
    <xf numFmtId="49" fontId="7" fillId="7" borderId="13" xfId="0" applyNumberFormat="1" applyFont="1" applyFill="1" applyBorder="1" applyAlignment="1">
      <alignment horizontal="center" vertical="center"/>
    </xf>
    <xf numFmtId="43" fontId="16" fillId="0" borderId="12" xfId="0" applyNumberFormat="1" applyFont="1" applyFill="1" applyBorder="1" applyAlignment="1">
      <alignment horizontal="right" vertical="center"/>
    </xf>
    <xf numFmtId="49" fontId="7" fillId="0" borderId="13" xfId="0" applyNumberFormat="1" applyFont="1" applyFill="1" applyBorder="1" applyAlignment="1">
      <alignment horizontal="center" vertical="center"/>
    </xf>
    <xf numFmtId="43" fontId="7" fillId="0" borderId="7" xfId="0" applyNumberFormat="1" applyFont="1" applyFill="1" applyBorder="1" applyAlignment="1">
      <alignment vertical="center"/>
    </xf>
    <xf numFmtId="183" fontId="11" fillId="12" borderId="8" xfId="1" applyFont="1" applyFill="1" applyBorder="1" applyAlignment="1">
      <alignment horizontal="center" vertical="center" wrapText="1"/>
    </xf>
    <xf numFmtId="183" fontId="11" fillId="12" borderId="9" xfId="1" applyNumberFormat="1" applyFont="1" applyFill="1" applyBorder="1" applyAlignment="1">
      <alignment horizontal="left" vertical="center" wrapText="1"/>
    </xf>
    <xf numFmtId="183" fontId="11" fillId="12" borderId="10" xfId="1" applyNumberFormat="1" applyFont="1" applyFill="1" applyBorder="1" applyAlignment="1">
      <alignment horizontal="center" vertical="center" wrapText="1"/>
    </xf>
    <xf numFmtId="2" fontId="11" fillId="12" borderId="11" xfId="1" applyNumberFormat="1" applyFont="1" applyFill="1" applyBorder="1" applyAlignment="1">
      <alignment vertical="center" wrapText="1"/>
    </xf>
    <xf numFmtId="43" fontId="12" fillId="12" borderId="10" xfId="0" applyNumberFormat="1" applyFont="1" applyFill="1" applyBorder="1" applyAlignment="1">
      <alignment horizontal="right" vertical="center"/>
    </xf>
    <xf numFmtId="43" fontId="12" fillId="12" borderId="12" xfId="0" applyNumberFormat="1" applyFont="1" applyFill="1" applyBorder="1" applyAlignment="1">
      <alignment horizontal="right" vertical="center"/>
    </xf>
    <xf numFmtId="43" fontId="12" fillId="12" borderId="9" xfId="0" applyNumberFormat="1" applyFont="1" applyFill="1" applyBorder="1" applyAlignment="1">
      <alignment horizontal="right" vertical="center"/>
    </xf>
    <xf numFmtId="49" fontId="7" fillId="12" borderId="13" xfId="0" applyNumberFormat="1" applyFont="1" applyFill="1" applyBorder="1" applyAlignment="1">
      <alignment horizontal="center" vertical="center"/>
    </xf>
    <xf numFmtId="183" fontId="11" fillId="7" borderId="9" xfId="1" applyNumberFormat="1" applyFont="1" applyFill="1" applyBorder="1" applyAlignment="1">
      <alignment horizontal="left" vertical="center" wrapText="1"/>
    </xf>
    <xf numFmtId="183" fontId="11" fillId="7" borderId="10" xfId="1" applyNumberFormat="1" applyFont="1" applyFill="1" applyBorder="1" applyAlignment="1">
      <alignment horizontal="center" vertical="center" wrapText="1"/>
    </xf>
    <xf numFmtId="2" fontId="11" fillId="7" borderId="11" xfId="1" applyNumberFormat="1" applyFont="1" applyFill="1" applyBorder="1" applyAlignment="1">
      <alignment vertical="center" wrapText="1"/>
    </xf>
    <xf numFmtId="43" fontId="12" fillId="7" borderId="11" xfId="0" applyNumberFormat="1" applyFont="1" applyFill="1" applyBorder="1" applyAlignment="1">
      <alignment horizontal="right" vertical="center"/>
    </xf>
    <xf numFmtId="183" fontId="11" fillId="0" borderId="15" xfId="1" applyFont="1" applyFill="1" applyBorder="1" applyAlignment="1">
      <alignment horizontal="center" vertical="center" wrapText="1"/>
    </xf>
    <xf numFmtId="183" fontId="11" fillId="0" borderId="15" xfId="1" applyNumberFormat="1" applyFont="1" applyFill="1" applyBorder="1" applyAlignment="1">
      <alignment horizontal="left" vertical="center" wrapText="1"/>
    </xf>
    <xf numFmtId="183" fontId="11" fillId="0" borderId="15" xfId="1" applyNumberFormat="1" applyFont="1" applyFill="1" applyBorder="1" applyAlignment="1">
      <alignment horizontal="center" vertical="center" wrapText="1"/>
    </xf>
    <xf numFmtId="2" fontId="11" fillId="0" borderId="15" xfId="1" applyNumberFormat="1" applyFont="1" applyFill="1" applyBorder="1" applyAlignment="1">
      <alignment vertical="center" wrapText="1"/>
    </xf>
    <xf numFmtId="43" fontId="12" fillId="0" borderId="15" xfId="0" applyNumberFormat="1" applyFont="1" applyFill="1" applyBorder="1" applyAlignment="1">
      <alignment horizontal="right" vertical="center"/>
    </xf>
    <xf numFmtId="43" fontId="5" fillId="0" borderId="15" xfId="0" applyNumberFormat="1" applyFont="1" applyFill="1" applyBorder="1" applyAlignment="1">
      <alignment horizontal="right" vertical="center"/>
    </xf>
    <xf numFmtId="183" fontId="18" fillId="0" borderId="15" xfId="1" applyNumberFormat="1" applyFont="1" applyFill="1" applyBorder="1" applyAlignment="1">
      <alignment horizontal="center" vertical="center" wrapText="1"/>
    </xf>
    <xf numFmtId="10" fontId="11" fillId="0" borderId="15" xfId="3" applyNumberFormat="1" applyFont="1" applyFill="1" applyBorder="1" applyAlignment="1">
      <alignment vertical="center"/>
    </xf>
    <xf numFmtId="10" fontId="12" fillId="0" borderId="15" xfId="0" applyNumberFormat="1" applyFont="1" applyFill="1" applyBorder="1" applyAlignment="1">
      <alignment horizontal="right" vertical="center"/>
    </xf>
    <xf numFmtId="183" fontId="1" fillId="0" borderId="15" xfId="0" applyFont="1" applyBorder="1" applyAlignment="1">
      <alignment vertical="center"/>
    </xf>
    <xf numFmtId="183" fontId="1" fillId="0" borderId="15" xfId="0" applyFont="1" applyBorder="1" applyAlignment="1">
      <alignment horizontal="center" vertical="center"/>
    </xf>
    <xf numFmtId="183" fontId="1" fillId="0" borderId="15" xfId="0" applyFont="1" applyBorder="1" applyAlignment="1">
      <alignment horizontal="right" vertical="center"/>
    </xf>
    <xf numFmtId="183" fontId="1" fillId="0" borderId="15" xfId="0" applyFont="1" applyFill="1" applyBorder="1" applyAlignment="1">
      <alignment horizontal="center" vertical="center"/>
    </xf>
    <xf numFmtId="43" fontId="1" fillId="0" borderId="15" xfId="0" applyNumberFormat="1" applyFont="1" applyBorder="1" applyAlignment="1">
      <alignment horizontal="right" vertical="center"/>
    </xf>
    <xf numFmtId="43" fontId="1" fillId="0" borderId="7" xfId="0" applyNumberFormat="1" applyFont="1" applyBorder="1" applyAlignment="1">
      <alignment horizontal="right" vertical="center"/>
    </xf>
    <xf numFmtId="183" fontId="7" fillId="0" borderId="7" xfId="0" applyFont="1" applyBorder="1" applyAlignment="1">
      <alignment horizontal="center" vertical="center"/>
    </xf>
    <xf numFmtId="43" fontId="12" fillId="7" borderId="12" xfId="0" applyNumberFormat="1" applyFont="1" applyFill="1" applyBorder="1" applyAlignment="1">
      <alignment horizontal="right" vertical="center"/>
    </xf>
    <xf numFmtId="43" fontId="5" fillId="7" borderId="12" xfId="0" applyNumberFormat="1" applyFont="1" applyFill="1" applyBorder="1" applyAlignment="1">
      <alignment horizontal="right" vertical="center"/>
    </xf>
    <xf numFmtId="49" fontId="1" fillId="7" borderId="13" xfId="0" applyNumberFormat="1" applyFont="1" applyFill="1" applyBorder="1" applyAlignment="1">
      <alignment horizontal="center" vertical="center"/>
    </xf>
    <xf numFmtId="49" fontId="1" fillId="0" borderId="15" xfId="0" applyNumberFormat="1" applyFont="1" applyFill="1" applyBorder="1" applyAlignment="1">
      <alignment horizontal="center" vertical="center"/>
    </xf>
    <xf numFmtId="49" fontId="7" fillId="0" borderId="15" xfId="0" applyNumberFormat="1" applyFont="1" applyFill="1" applyBorder="1" applyAlignment="1">
      <alignment horizontal="center" vertical="center"/>
    </xf>
    <xf numFmtId="183" fontId="7" fillId="0" borderId="15" xfId="0" applyFont="1" applyBorder="1" applyAlignment="1">
      <alignment horizontal="right" vertical="center"/>
    </xf>
    <xf numFmtId="183" fontId="4" fillId="0" borderId="0" xfId="0" applyFont="1" applyAlignment="1"/>
    <xf numFmtId="183" fontId="1" fillId="0" borderId="0" xfId="0" applyFont="1" applyAlignment="1">
      <alignment vertical="center"/>
    </xf>
    <xf numFmtId="183" fontId="7" fillId="6" borderId="17" xfId="0" applyFont="1" applyFill="1" applyBorder="1" applyAlignment="1">
      <alignment horizontal="center" vertical="center" wrapText="1"/>
    </xf>
    <xf numFmtId="183" fontId="7" fillId="6" borderId="19" xfId="0" applyFont="1" applyFill="1" applyBorder="1" applyAlignment="1">
      <alignment horizontal="center" vertical="center" wrapText="1"/>
    </xf>
    <xf numFmtId="183" fontId="7" fillId="6" borderId="3" xfId="0" applyFont="1" applyFill="1" applyBorder="1" applyAlignment="1">
      <alignment vertical="center" wrapText="1"/>
    </xf>
    <xf numFmtId="183" fontId="7" fillId="6" borderId="24" xfId="0" applyFont="1" applyFill="1" applyBorder="1" applyAlignment="1">
      <alignment vertical="center" wrapText="1"/>
    </xf>
    <xf numFmtId="183" fontId="7" fillId="6" borderId="27" xfId="0" applyFont="1" applyFill="1" applyBorder="1" applyAlignment="1">
      <alignment horizontal="center" vertical="center" wrapText="1"/>
    </xf>
    <xf numFmtId="183" fontId="7" fillId="6" borderId="28" xfId="0" applyFont="1" applyFill="1" applyBorder="1" applyAlignment="1">
      <alignment horizontal="center" vertical="center" wrapText="1"/>
    </xf>
    <xf numFmtId="179" fontId="7" fillId="6" borderId="28" xfId="0" applyNumberFormat="1" applyFont="1" applyFill="1" applyBorder="1" applyAlignment="1">
      <alignment horizontal="center" vertical="center" wrapText="1"/>
    </xf>
    <xf numFmtId="179" fontId="7" fillId="6" borderId="29" xfId="0" applyNumberFormat="1" applyFont="1" applyFill="1" applyBorder="1" applyAlignment="1">
      <alignment horizontal="center" vertical="center" wrapText="1"/>
    </xf>
    <xf numFmtId="183" fontId="0" fillId="6" borderId="28" xfId="0" applyFill="1" applyBorder="1" applyAlignment="1"/>
    <xf numFmtId="183" fontId="20" fillId="13" borderId="3" xfId="0" applyFont="1" applyFill="1" applyBorder="1" applyAlignment="1">
      <alignment horizontal="center" vertical="center" wrapText="1"/>
    </xf>
    <xf numFmtId="183" fontId="20" fillId="13" borderId="3" xfId="0" applyFont="1" applyFill="1" applyBorder="1" applyAlignment="1">
      <alignment vertical="center" wrapText="1"/>
    </xf>
    <xf numFmtId="177" fontId="7" fillId="13" borderId="3" xfId="2" applyNumberFormat="1" applyFont="1" applyFill="1" applyBorder="1" applyAlignment="1"/>
    <xf numFmtId="183" fontId="21" fillId="0" borderId="3" xfId="0" applyFont="1" applyBorder="1" applyAlignment="1">
      <alignment horizontal="center" vertical="center" wrapText="1"/>
    </xf>
    <xf numFmtId="183" fontId="21" fillId="0" borderId="3" xfId="0" applyFont="1" applyBorder="1" applyAlignment="1">
      <alignment vertical="center" wrapText="1"/>
    </xf>
    <xf numFmtId="177" fontId="7" fillId="0" borderId="3" xfId="2" applyNumberFormat="1" applyFont="1" applyBorder="1" applyAlignment="1"/>
    <xf numFmtId="183" fontId="21" fillId="6" borderId="3" xfId="0" applyFont="1" applyFill="1" applyBorder="1" applyAlignment="1">
      <alignment vertical="center" wrapText="1"/>
    </xf>
    <xf numFmtId="183" fontId="11" fillId="13" borderId="3" xfId="0" applyFont="1" applyFill="1" applyBorder="1" applyAlignment="1">
      <alignment horizontal="center" vertical="center" wrapText="1"/>
    </xf>
    <xf numFmtId="183" fontId="11" fillId="13" borderId="3" xfId="0" applyFont="1" applyFill="1" applyBorder="1" applyAlignment="1">
      <alignment vertical="center" wrapText="1"/>
    </xf>
    <xf numFmtId="183" fontId="20" fillId="14" borderId="3" xfId="0" applyFont="1" applyFill="1" applyBorder="1" applyAlignment="1">
      <alignment horizontal="center" vertical="center" wrapText="1"/>
    </xf>
    <xf numFmtId="183" fontId="20" fillId="14" borderId="3" xfId="0" applyFont="1" applyFill="1" applyBorder="1" applyAlignment="1">
      <alignment vertical="center" wrapText="1"/>
    </xf>
    <xf numFmtId="177" fontId="7" fillId="14" borderId="3" xfId="2" applyNumberFormat="1" applyFont="1" applyFill="1" applyBorder="1" applyAlignment="1"/>
    <xf numFmtId="183" fontId="13" fillId="0" borderId="30" xfId="1" applyNumberFormat="1" applyFont="1" applyFill="1" applyBorder="1" applyAlignment="1">
      <alignment horizontal="left" vertical="center" wrapText="1"/>
    </xf>
    <xf numFmtId="179" fontId="7" fillId="6" borderId="3" xfId="0" applyNumberFormat="1" applyFont="1" applyFill="1" applyBorder="1" applyAlignment="1">
      <alignment horizontal="center" vertical="center" wrapText="1"/>
    </xf>
    <xf numFmtId="179" fontId="1" fillId="6" borderId="28" xfId="0" applyNumberFormat="1" applyFont="1" applyFill="1" applyBorder="1" applyAlignment="1">
      <alignment horizontal="center" vertical="center" wrapText="1"/>
    </xf>
    <xf numFmtId="183" fontId="7" fillId="6" borderId="29" xfId="0" applyFont="1" applyFill="1" applyBorder="1" applyAlignment="1">
      <alignment horizontal="center" vertical="center" wrapText="1"/>
    </xf>
    <xf numFmtId="177" fontId="1" fillId="13" borderId="3" xfId="2" applyNumberFormat="1" applyFont="1" applyFill="1" applyBorder="1" applyAlignment="1"/>
    <xf numFmtId="177" fontId="7" fillId="13" borderId="3" xfId="2" applyNumberFormat="1" applyFont="1" applyFill="1" applyBorder="1" applyAlignment="1">
      <alignment wrapText="1"/>
    </xf>
    <xf numFmtId="177" fontId="1" fillId="0" borderId="3" xfId="2" applyNumberFormat="1" applyFont="1" applyBorder="1" applyAlignment="1"/>
    <xf numFmtId="177" fontId="7" fillId="0" borderId="3" xfId="2" applyNumberFormat="1" applyFont="1" applyBorder="1" applyAlignment="1">
      <alignment wrapText="1"/>
    </xf>
    <xf numFmtId="177" fontId="1" fillId="14" borderId="3" xfId="2" applyNumberFormat="1" applyFont="1" applyFill="1" applyBorder="1" applyAlignment="1"/>
    <xf numFmtId="177" fontId="7" fillId="14" borderId="3" xfId="2" applyNumberFormat="1" applyFont="1" applyFill="1" applyBorder="1" applyAlignment="1">
      <alignment wrapText="1"/>
    </xf>
    <xf numFmtId="177" fontId="1" fillId="0" borderId="3" xfId="2" applyNumberFormat="1" applyFont="1" applyBorder="1" applyAlignment="1">
      <alignment wrapText="1"/>
    </xf>
    <xf numFmtId="183" fontId="1" fillId="0" borderId="0" xfId="0" applyFont="1" applyFill="1" applyAlignment="1">
      <alignment vertical="center"/>
    </xf>
    <xf numFmtId="183" fontId="21" fillId="0" borderId="3" xfId="0" applyFont="1" applyFill="1" applyBorder="1" applyAlignment="1">
      <alignment vertical="center" wrapText="1"/>
    </xf>
    <xf numFmtId="183" fontId="20" fillId="15" borderId="3" xfId="0" applyFont="1" applyFill="1" applyBorder="1" applyAlignment="1">
      <alignment horizontal="center" vertical="center" wrapText="1"/>
    </xf>
    <xf numFmtId="183" fontId="20" fillId="15" borderId="3" xfId="0" applyFont="1" applyFill="1" applyBorder="1" applyAlignment="1">
      <alignment vertical="center" wrapText="1"/>
    </xf>
    <xf numFmtId="177" fontId="7" fillId="15" borderId="3" xfId="2" applyNumberFormat="1" applyFont="1" applyFill="1" applyBorder="1" applyAlignment="1"/>
    <xf numFmtId="183" fontId="11" fillId="16" borderId="3" xfId="1" applyFont="1" applyFill="1" applyBorder="1" applyAlignment="1">
      <alignment horizontal="center" vertical="center" wrapText="1"/>
    </xf>
    <xf numFmtId="183" fontId="18" fillId="16" borderId="3" xfId="1" applyNumberFormat="1" applyFont="1" applyFill="1" applyBorder="1" applyAlignment="1">
      <alignment horizontal="left" vertical="center" wrapText="1"/>
    </xf>
    <xf numFmtId="179" fontId="6" fillId="16" borderId="3" xfId="1" applyNumberFormat="1" applyFont="1" applyFill="1" applyBorder="1" applyAlignment="1">
      <alignment horizontal="center" vertical="center" wrapText="1"/>
    </xf>
    <xf numFmtId="183" fontId="11" fillId="17" borderId="3" xfId="1" applyFont="1" applyFill="1" applyBorder="1" applyAlignment="1">
      <alignment horizontal="center" vertical="center" wrapText="1"/>
    </xf>
    <xf numFmtId="183" fontId="18" fillId="17" borderId="3" xfId="1" applyNumberFormat="1" applyFont="1" applyFill="1" applyBorder="1" applyAlignment="1">
      <alignment horizontal="left" vertical="center" wrapText="1"/>
    </xf>
    <xf numFmtId="179" fontId="6" fillId="17" borderId="3" xfId="1" applyNumberFormat="1" applyFont="1" applyFill="1" applyBorder="1" applyAlignment="1">
      <alignment horizontal="center" vertical="center" wrapText="1"/>
    </xf>
    <xf numFmtId="183" fontId="11" fillId="15" borderId="3" xfId="1" applyFont="1" applyFill="1" applyBorder="1" applyAlignment="1">
      <alignment horizontal="center" vertical="center" wrapText="1"/>
    </xf>
    <xf numFmtId="183" fontId="11" fillId="15" borderId="3" xfId="1" applyNumberFormat="1" applyFont="1" applyFill="1" applyBorder="1" applyAlignment="1">
      <alignment horizontal="left" vertical="center" wrapText="1"/>
    </xf>
    <xf numFmtId="183" fontId="1" fillId="15" borderId="3" xfId="5" applyFont="1" applyFill="1" applyBorder="1" applyAlignment="1">
      <alignment horizontal="center" vertical="center" wrapText="1"/>
    </xf>
    <xf numFmtId="183" fontId="11" fillId="15" borderId="38" xfId="1" applyNumberFormat="1" applyFont="1" applyFill="1" applyBorder="1" applyAlignment="1">
      <alignment horizontal="left" vertical="center" wrapText="1"/>
    </xf>
    <xf numFmtId="10" fontId="1" fillId="15" borderId="3" xfId="3" applyNumberFormat="1" applyFont="1" applyFill="1" applyBorder="1" applyAlignment="1">
      <alignment horizontal="center" vertical="center" wrapText="1"/>
    </xf>
    <xf numFmtId="183" fontId="11" fillId="18" borderId="3" xfId="1" applyFont="1" applyFill="1" applyBorder="1" applyAlignment="1">
      <alignment horizontal="center" vertical="center" wrapText="1"/>
    </xf>
    <xf numFmtId="183" fontId="11" fillId="18" borderId="3" xfId="1" applyNumberFormat="1" applyFont="1" applyFill="1" applyBorder="1" applyAlignment="1">
      <alignment horizontal="left" vertical="center" wrapText="1"/>
    </xf>
    <xf numFmtId="179" fontId="4" fillId="18" borderId="3" xfId="5" applyNumberFormat="1" applyFont="1" applyFill="1" applyBorder="1" applyAlignment="1">
      <alignment horizontal="center" vertical="center"/>
    </xf>
    <xf numFmtId="179" fontId="4" fillId="15" borderId="3" xfId="5" applyNumberFormat="1" applyFont="1" applyFill="1" applyBorder="1" applyAlignment="1">
      <alignment horizontal="center" vertical="center"/>
    </xf>
    <xf numFmtId="179" fontId="4" fillId="17" borderId="3" xfId="5" applyNumberFormat="1" applyFont="1" applyFill="1" applyBorder="1" applyAlignment="1">
      <alignment horizontal="center" vertical="center"/>
    </xf>
    <xf numFmtId="179" fontId="1" fillId="15" borderId="3" xfId="5" applyNumberFormat="1" applyFont="1" applyFill="1" applyBorder="1" applyAlignment="1">
      <alignment horizontal="center" vertical="center"/>
    </xf>
    <xf numFmtId="179" fontId="1" fillId="17" borderId="3" xfId="5" applyNumberFormat="1" applyFont="1" applyFill="1" applyBorder="1" applyAlignment="1">
      <alignment horizontal="center" vertical="center"/>
    </xf>
    <xf numFmtId="177" fontId="7" fillId="15" borderId="3" xfId="2" applyNumberFormat="1" applyFont="1" applyFill="1" applyBorder="1" applyAlignment="1">
      <alignment wrapText="1"/>
    </xf>
    <xf numFmtId="178" fontId="7" fillId="16" borderId="3" xfId="1" applyNumberFormat="1" applyFont="1" applyFill="1" applyBorder="1" applyAlignment="1">
      <alignment horizontal="center" vertical="center" wrapText="1"/>
    </xf>
    <xf numFmtId="179" fontId="7" fillId="16" borderId="3" xfId="1" applyNumberFormat="1" applyFont="1" applyFill="1" applyBorder="1" applyAlignment="1">
      <alignment horizontal="center" vertical="center" wrapText="1"/>
    </xf>
    <xf numFmtId="179" fontId="7" fillId="17" borderId="3" xfId="1" applyNumberFormat="1" applyFont="1" applyFill="1" applyBorder="1" applyAlignment="1">
      <alignment horizontal="center" vertical="center" wrapText="1"/>
    </xf>
    <xf numFmtId="178" fontId="7" fillId="15" borderId="3" xfId="5" applyNumberFormat="1" applyFont="1" applyFill="1" applyBorder="1" applyAlignment="1">
      <alignment horizontal="center" vertical="center" wrapText="1"/>
    </xf>
    <xf numFmtId="183" fontId="7" fillId="15" borderId="3" xfId="5" applyFont="1" applyFill="1" applyBorder="1" applyAlignment="1">
      <alignment horizontal="center" vertical="center" wrapText="1"/>
    </xf>
    <xf numFmtId="10" fontId="7" fillId="15" borderId="3" xfId="3" applyNumberFormat="1" applyFont="1" applyFill="1" applyBorder="1" applyAlignment="1">
      <alignment horizontal="center" vertical="center" wrapText="1"/>
    </xf>
    <xf numFmtId="184" fontId="7" fillId="15" borderId="3" xfId="5" applyNumberFormat="1" applyFont="1" applyFill="1" applyBorder="1" applyAlignment="1">
      <alignment horizontal="center" vertical="center" wrapText="1"/>
    </xf>
    <xf numFmtId="177" fontId="7" fillId="15" borderId="3" xfId="2" applyNumberFormat="1" applyFont="1" applyFill="1" applyBorder="1" applyAlignment="1">
      <alignment horizontal="center" vertical="center" wrapText="1"/>
    </xf>
    <xf numFmtId="178" fontId="7" fillId="15" borderId="3" xfId="3" applyNumberFormat="1" applyFont="1" applyFill="1" applyBorder="1" applyAlignment="1">
      <alignment horizontal="center" vertical="center" wrapText="1"/>
    </xf>
    <xf numFmtId="179" fontId="7" fillId="18" borderId="3" xfId="5" applyNumberFormat="1" applyFont="1" applyFill="1" applyBorder="1" applyAlignment="1">
      <alignment horizontal="center" vertical="center"/>
    </xf>
    <xf numFmtId="179" fontId="7" fillId="15" borderId="3" xfId="5" applyNumberFormat="1" applyFont="1" applyFill="1" applyBorder="1" applyAlignment="1">
      <alignment horizontal="center" vertical="center"/>
    </xf>
    <xf numFmtId="179" fontId="7" fillId="17" borderId="3" xfId="5" applyNumberFormat="1" applyFont="1" applyFill="1" applyBorder="1" applyAlignment="1">
      <alignment horizontal="center" vertical="center"/>
    </xf>
    <xf numFmtId="185" fontId="7" fillId="17" borderId="3" xfId="3" applyNumberFormat="1" applyFont="1" applyFill="1" applyBorder="1" applyAlignment="1">
      <alignment horizontal="center" vertical="center"/>
    </xf>
    <xf numFmtId="10" fontId="7" fillId="17" borderId="3" xfId="3" applyNumberFormat="1" applyFont="1" applyFill="1" applyBorder="1" applyAlignment="1">
      <alignment horizontal="center" vertical="center"/>
    </xf>
    <xf numFmtId="9" fontId="0" fillId="0" borderId="0" xfId="3" applyFont="1" applyAlignment="1"/>
    <xf numFmtId="183" fontId="7" fillId="6" borderId="3" xfId="0" applyFont="1" applyFill="1" applyBorder="1" applyAlignment="1">
      <alignment horizontal="center" vertical="center" wrapText="1"/>
    </xf>
    <xf numFmtId="57" fontId="7" fillId="6" borderId="3" xfId="0" applyNumberFormat="1" applyFont="1" applyFill="1" applyBorder="1" applyAlignment="1">
      <alignment vertical="center" wrapText="1"/>
    </xf>
    <xf numFmtId="57" fontId="7" fillId="6" borderId="24" xfId="0" applyNumberFormat="1" applyFont="1" applyFill="1" applyBorder="1" applyAlignment="1">
      <alignment vertical="center" wrapText="1"/>
    </xf>
    <xf numFmtId="183" fontId="22" fillId="0" borderId="0" xfId="6" applyFont="1" applyBorder="1" applyAlignment="1">
      <alignment horizontal="center" vertical="center" wrapText="1"/>
    </xf>
    <xf numFmtId="182" fontId="22" fillId="0" borderId="0" xfId="6" applyNumberFormat="1" applyFont="1" applyBorder="1" applyAlignment="1">
      <alignment horizontal="center" vertical="center" wrapText="1"/>
    </xf>
    <xf numFmtId="182" fontId="1" fillId="0" borderId="0" xfId="6" applyNumberFormat="1" applyFont="1" applyBorder="1" applyAlignment="1">
      <alignment horizontal="center" vertical="center" wrapText="1"/>
    </xf>
    <xf numFmtId="183" fontId="1" fillId="0" borderId="0" xfId="6" applyFont="1" applyBorder="1" applyAlignment="1">
      <alignment horizontal="center" vertical="center" wrapText="1"/>
    </xf>
    <xf numFmtId="183" fontId="1" fillId="0" borderId="0" xfId="6" applyFont="1" applyFill="1" applyBorder="1" applyAlignment="1">
      <alignment horizontal="center" vertical="center" wrapText="1"/>
    </xf>
    <xf numFmtId="183" fontId="1" fillId="0" borderId="39" xfId="6" applyFont="1" applyBorder="1" applyAlignment="1">
      <alignment horizontal="center" vertical="center" wrapText="1"/>
    </xf>
    <xf numFmtId="183" fontId="1" fillId="0" borderId="40" xfId="6" applyFont="1" applyBorder="1" applyAlignment="1">
      <alignment horizontal="center" vertical="center" wrapText="1"/>
    </xf>
    <xf numFmtId="182" fontId="1" fillId="0" borderId="40" xfId="6" applyNumberFormat="1" applyFont="1" applyBorder="1" applyAlignment="1">
      <alignment horizontal="center" vertical="center" wrapText="1"/>
    </xf>
    <xf numFmtId="183" fontId="22" fillId="0" borderId="41" xfId="6" applyFont="1" applyBorder="1" applyAlignment="1">
      <alignment horizontal="center" vertical="center" wrapText="1"/>
    </xf>
    <xf numFmtId="183" fontId="22" fillId="0" borderId="3" xfId="6" applyFont="1" applyBorder="1" applyAlignment="1">
      <alignment horizontal="center" vertical="center" wrapText="1"/>
    </xf>
    <xf numFmtId="183" fontId="23" fillId="0" borderId="3" xfId="6" applyFont="1" applyBorder="1" applyAlignment="1">
      <alignment horizontal="center" vertical="center" wrapText="1"/>
    </xf>
    <xf numFmtId="182" fontId="23" fillId="2" borderId="3" xfId="6" applyNumberFormat="1" applyFont="1" applyFill="1" applyBorder="1" applyAlignment="1">
      <alignment horizontal="center" vertical="center" wrapText="1"/>
    </xf>
    <xf numFmtId="183" fontId="22" fillId="2" borderId="3" xfId="6" applyFont="1" applyFill="1" applyBorder="1" applyAlignment="1">
      <alignment horizontal="center" vertical="center" wrapText="1"/>
    </xf>
    <xf numFmtId="183" fontId="22" fillId="0" borderId="34" xfId="6" applyFont="1" applyFill="1" applyBorder="1" applyAlignment="1">
      <alignment horizontal="center" vertical="center" wrapText="1"/>
    </xf>
    <xf numFmtId="183" fontId="1" fillId="0" borderId="3" xfId="6" applyFont="1" applyBorder="1" applyAlignment="1">
      <alignment horizontal="center" vertical="center" wrapText="1"/>
    </xf>
    <xf numFmtId="182" fontId="1" fillId="0" borderId="3" xfId="6" applyNumberFormat="1" applyFont="1" applyBorder="1" applyAlignment="1">
      <alignment horizontal="center" vertical="center" wrapText="1"/>
    </xf>
    <xf numFmtId="181" fontId="1" fillId="0" borderId="3" xfId="6" applyNumberFormat="1" applyFont="1" applyBorder="1" applyAlignment="1">
      <alignment horizontal="center" vertical="center" wrapText="1"/>
    </xf>
    <xf numFmtId="181" fontId="1" fillId="5" borderId="3" xfId="6" applyNumberFormat="1" applyFont="1" applyFill="1" applyBorder="1" applyAlignment="1">
      <alignment horizontal="center" vertical="center" wrapText="1"/>
    </xf>
    <xf numFmtId="183" fontId="1" fillId="19" borderId="3" xfId="6" applyFont="1" applyFill="1" applyBorder="1" applyAlignment="1">
      <alignment horizontal="center" vertical="center" wrapText="1"/>
    </xf>
    <xf numFmtId="182" fontId="1" fillId="19" borderId="3" xfId="6" applyNumberFormat="1" applyFont="1" applyFill="1" applyBorder="1" applyAlignment="1">
      <alignment horizontal="center" vertical="center" wrapText="1"/>
    </xf>
    <xf numFmtId="181" fontId="1" fillId="19" borderId="3" xfId="6" applyNumberFormat="1" applyFont="1" applyFill="1" applyBorder="1" applyAlignment="1">
      <alignment horizontal="center" vertical="center" wrapText="1"/>
    </xf>
    <xf numFmtId="183" fontId="23" fillId="0" borderId="34" xfId="6" applyFont="1" applyFill="1" applyBorder="1" applyAlignment="1">
      <alignment horizontal="center" vertical="center" wrapText="1"/>
    </xf>
    <xf numFmtId="183" fontId="1" fillId="0" borderId="3" xfId="6" applyFont="1" applyFill="1" applyBorder="1" applyAlignment="1">
      <alignment horizontal="center" vertical="center" wrapText="1"/>
    </xf>
    <xf numFmtId="183" fontId="22" fillId="0" borderId="3" xfId="6" applyFont="1" applyFill="1" applyBorder="1" applyAlignment="1">
      <alignment horizontal="center" vertical="center" wrapText="1"/>
    </xf>
    <xf numFmtId="183" fontId="22" fillId="0" borderId="28" xfId="6" applyFont="1" applyFill="1" applyBorder="1" applyAlignment="1">
      <alignment horizontal="center" vertical="center" wrapText="1"/>
    </xf>
    <xf numFmtId="183" fontId="1" fillId="0" borderId="28" xfId="6" applyFont="1" applyFill="1" applyBorder="1" applyAlignment="1">
      <alignment horizontal="center" vertical="center" wrapText="1"/>
    </xf>
    <xf numFmtId="181" fontId="1" fillId="0" borderId="28" xfId="6" applyNumberFormat="1" applyFont="1" applyBorder="1" applyAlignment="1">
      <alignment horizontal="center" vertical="center" wrapText="1"/>
    </xf>
    <xf numFmtId="183" fontId="1" fillId="19" borderId="28" xfId="6" applyFont="1" applyFill="1" applyBorder="1" applyAlignment="1">
      <alignment horizontal="center" vertical="center" wrapText="1"/>
    </xf>
    <xf numFmtId="181" fontId="1" fillId="19" borderId="28" xfId="6" applyNumberFormat="1" applyFont="1" applyFill="1" applyBorder="1" applyAlignment="1">
      <alignment horizontal="center" vertical="center" wrapText="1"/>
    </xf>
    <xf numFmtId="182" fontId="1" fillId="19" borderId="28" xfId="6" applyNumberFormat="1" applyFont="1" applyFill="1" applyBorder="1" applyAlignment="1">
      <alignment horizontal="center" vertical="center" wrapText="1"/>
    </xf>
    <xf numFmtId="183" fontId="1" fillId="5" borderId="3" xfId="6" applyFont="1" applyFill="1" applyBorder="1" applyAlignment="1">
      <alignment horizontal="center" vertical="center" wrapText="1"/>
    </xf>
    <xf numFmtId="183" fontId="1" fillId="5" borderId="28" xfId="6" applyFont="1" applyFill="1" applyBorder="1" applyAlignment="1">
      <alignment horizontal="center" vertical="center" wrapText="1"/>
    </xf>
    <xf numFmtId="183" fontId="24" fillId="0" borderId="28" xfId="6" applyFont="1" applyFill="1" applyBorder="1" applyAlignment="1">
      <alignment horizontal="center" vertical="center" wrapText="1"/>
    </xf>
    <xf numFmtId="183" fontId="1" fillId="0" borderId="28" xfId="6" applyFont="1" applyBorder="1" applyAlignment="1">
      <alignment horizontal="center" vertical="center" wrapText="1"/>
    </xf>
    <xf numFmtId="182" fontId="1" fillId="0" borderId="28" xfId="6" applyNumberFormat="1" applyFont="1" applyBorder="1" applyAlignment="1">
      <alignment horizontal="center" vertical="center" wrapText="1"/>
    </xf>
    <xf numFmtId="183" fontId="8" fillId="0" borderId="28" xfId="6" applyFont="1" applyFill="1" applyBorder="1" applyAlignment="1">
      <alignment horizontal="center" vertical="center" wrapText="1"/>
    </xf>
    <xf numFmtId="183" fontId="1" fillId="20" borderId="3" xfId="6" applyFont="1" applyFill="1" applyBorder="1" applyAlignment="1">
      <alignment horizontal="center" vertical="center" wrapText="1"/>
    </xf>
    <xf numFmtId="182" fontId="1" fillId="20" borderId="3" xfId="6" applyNumberFormat="1" applyFont="1" applyFill="1" applyBorder="1" applyAlignment="1">
      <alignment horizontal="center" vertical="center" wrapText="1"/>
    </xf>
    <xf numFmtId="181" fontId="1" fillId="20" borderId="3" xfId="6" applyNumberFormat="1" applyFont="1" applyFill="1" applyBorder="1" applyAlignment="1">
      <alignment horizontal="center" vertical="center" wrapText="1"/>
    </xf>
    <xf numFmtId="182" fontId="1" fillId="20" borderId="25" xfId="6" applyNumberFormat="1" applyFont="1" applyFill="1" applyBorder="1" applyAlignment="1">
      <alignment horizontal="center" vertical="center" wrapText="1"/>
    </xf>
    <xf numFmtId="181" fontId="1" fillId="20" borderId="48" xfId="6" applyNumberFormat="1" applyFont="1" applyFill="1" applyBorder="1" applyAlignment="1">
      <alignment horizontal="center" vertical="center" wrapText="1"/>
    </xf>
    <xf numFmtId="183" fontId="24" fillId="5" borderId="3" xfId="6" applyFont="1" applyFill="1" applyBorder="1" applyAlignment="1">
      <alignment horizontal="center" vertical="center" wrapText="1"/>
    </xf>
    <xf numFmtId="58" fontId="22" fillId="0" borderId="3" xfId="6" applyNumberFormat="1" applyFont="1" applyFill="1" applyBorder="1" applyAlignment="1">
      <alignment horizontal="center" vertical="center" wrapText="1"/>
    </xf>
    <xf numFmtId="183" fontId="22" fillId="5" borderId="34" xfId="6" applyFont="1" applyFill="1" applyBorder="1" applyAlignment="1">
      <alignment horizontal="center" vertical="center" wrapText="1"/>
    </xf>
    <xf numFmtId="183" fontId="8" fillId="5" borderId="3" xfId="6" applyFont="1" applyFill="1" applyBorder="1" applyAlignment="1">
      <alignment horizontal="center" vertical="center" wrapText="1"/>
    </xf>
    <xf numFmtId="183" fontId="8" fillId="5" borderId="34" xfId="6" applyFont="1" applyFill="1" applyBorder="1" applyAlignment="1">
      <alignment horizontal="center" vertical="center" wrapText="1"/>
    </xf>
    <xf numFmtId="181" fontId="1" fillId="0" borderId="3" xfId="4" applyNumberFormat="1" applyFont="1" applyBorder="1" applyAlignment="1">
      <alignment horizontal="center" vertical="center" wrapText="1"/>
    </xf>
    <xf numFmtId="178" fontId="1" fillId="5" borderId="3" xfId="6" applyNumberFormat="1" applyFont="1" applyFill="1" applyBorder="1" applyAlignment="1">
      <alignment horizontal="center" vertical="center" wrapText="1"/>
    </xf>
    <xf numFmtId="181" fontId="22" fillId="5" borderId="3" xfId="6" applyNumberFormat="1" applyFont="1" applyFill="1" applyBorder="1" applyAlignment="1">
      <alignment horizontal="center" vertical="center" wrapText="1"/>
    </xf>
    <xf numFmtId="183" fontId="22" fillId="5" borderId="3" xfId="6" applyFont="1" applyFill="1" applyBorder="1" applyAlignment="1">
      <alignment horizontal="center" vertical="center" wrapText="1"/>
    </xf>
    <xf numFmtId="183" fontId="23" fillId="0" borderId="28" xfId="6" applyFont="1" applyFill="1" applyBorder="1" applyAlignment="1">
      <alignment horizontal="center" vertical="center" wrapText="1"/>
    </xf>
    <xf numFmtId="183" fontId="22" fillId="5" borderId="28" xfId="6" applyFont="1" applyFill="1" applyBorder="1" applyAlignment="1">
      <alignment horizontal="center" vertical="center" wrapText="1"/>
    </xf>
    <xf numFmtId="183" fontId="1" fillId="0" borderId="3" xfId="4" applyFont="1" applyFill="1" applyBorder="1" applyAlignment="1">
      <alignment horizontal="center" vertical="center" wrapText="1"/>
    </xf>
    <xf numFmtId="183" fontId="1" fillId="0" borderId="28" xfId="4" applyFont="1" applyFill="1" applyBorder="1" applyAlignment="1">
      <alignment horizontal="center" vertical="center" wrapText="1"/>
    </xf>
    <xf numFmtId="178" fontId="22" fillId="5" borderId="28" xfId="6" applyNumberFormat="1" applyFont="1" applyFill="1" applyBorder="1" applyAlignment="1">
      <alignment horizontal="center" vertical="center" wrapText="1"/>
    </xf>
    <xf numFmtId="181" fontId="22" fillId="5" borderId="28" xfId="6" applyNumberFormat="1" applyFont="1" applyFill="1" applyBorder="1" applyAlignment="1">
      <alignment horizontal="center" vertical="center" wrapText="1"/>
    </xf>
    <xf numFmtId="183" fontId="22" fillId="0" borderId="28" xfId="4" applyFont="1" applyFill="1" applyBorder="1" applyAlignment="1">
      <alignment horizontal="center" vertical="center" wrapText="1"/>
    </xf>
    <xf numFmtId="183" fontId="8" fillId="0" borderId="34" xfId="6" applyFont="1" applyFill="1" applyBorder="1" applyAlignment="1">
      <alignment horizontal="center" vertical="center" wrapText="1"/>
    </xf>
    <xf numFmtId="183" fontId="24" fillId="5" borderId="34" xfId="6" applyFont="1" applyFill="1" applyBorder="1" applyAlignment="1">
      <alignment horizontal="center" vertical="center" wrapText="1"/>
    </xf>
    <xf numFmtId="181" fontId="25" fillId="19" borderId="3" xfId="6" applyNumberFormat="1" applyFont="1" applyFill="1" applyBorder="1" applyAlignment="1">
      <alignment horizontal="center" vertical="center" wrapText="1"/>
    </xf>
    <xf numFmtId="183" fontId="23" fillId="0" borderId="3" xfId="6" applyFont="1" applyFill="1" applyBorder="1" applyAlignment="1">
      <alignment horizontal="center" vertical="center" wrapText="1"/>
    </xf>
    <xf numFmtId="178" fontId="24" fillId="5" borderId="3" xfId="6" applyNumberFormat="1" applyFont="1" applyFill="1" applyBorder="1" applyAlignment="1">
      <alignment horizontal="center" vertical="center" wrapText="1"/>
    </xf>
    <xf numFmtId="183" fontId="24" fillId="5" borderId="28" xfId="6" applyFont="1" applyFill="1" applyBorder="1" applyAlignment="1">
      <alignment horizontal="center" vertical="center" wrapText="1"/>
    </xf>
    <xf numFmtId="178" fontId="24" fillId="5" borderId="28" xfId="6" applyNumberFormat="1" applyFont="1" applyFill="1" applyBorder="1" applyAlignment="1">
      <alignment horizontal="center" vertical="center" wrapText="1"/>
    </xf>
    <xf numFmtId="183" fontId="22" fillId="0" borderId="3" xfId="4" applyFont="1" applyFill="1" applyBorder="1" applyAlignment="1">
      <alignment horizontal="center" vertical="center" wrapText="1"/>
    </xf>
    <xf numFmtId="183" fontId="23" fillId="0" borderId="3" xfId="4" applyFont="1" applyFill="1" applyBorder="1" applyAlignment="1">
      <alignment horizontal="center" vertical="center" wrapText="1"/>
    </xf>
    <xf numFmtId="183" fontId="23" fillId="0" borderId="28" xfId="4" applyFont="1" applyFill="1" applyBorder="1" applyAlignment="1">
      <alignment horizontal="center" vertical="center" wrapText="1"/>
    </xf>
    <xf numFmtId="183" fontId="24" fillId="0" borderId="28" xfId="4" applyFont="1" applyFill="1" applyBorder="1" applyAlignment="1">
      <alignment horizontal="center" vertical="center" wrapText="1"/>
    </xf>
    <xf numFmtId="181" fontId="25" fillId="19" borderId="28" xfId="6" applyNumberFormat="1" applyFont="1" applyFill="1" applyBorder="1" applyAlignment="1">
      <alignment horizontal="center" vertical="center" wrapText="1"/>
    </xf>
    <xf numFmtId="181" fontId="1" fillId="0" borderId="3" xfId="6" applyNumberFormat="1" applyFont="1" applyFill="1" applyBorder="1" applyAlignment="1">
      <alignment horizontal="center" vertical="center" wrapText="1"/>
    </xf>
    <xf numFmtId="181" fontId="25" fillId="20" borderId="48" xfId="6" applyNumberFormat="1" applyFont="1" applyFill="1" applyBorder="1" applyAlignment="1">
      <alignment horizontal="center" vertical="center" wrapText="1"/>
    </xf>
    <xf numFmtId="181" fontId="1" fillId="5" borderId="34" xfId="6" applyNumberFormat="1" applyFont="1" applyFill="1" applyBorder="1" applyAlignment="1">
      <alignment horizontal="center" vertical="center" wrapText="1"/>
    </xf>
    <xf numFmtId="179" fontId="1" fillId="5" borderId="3" xfId="6" applyNumberFormat="1" applyFont="1" applyFill="1" applyBorder="1" applyAlignment="1">
      <alignment horizontal="center" vertical="center" wrapText="1"/>
    </xf>
    <xf numFmtId="179" fontId="1" fillId="0" borderId="3" xfId="6" applyNumberFormat="1" applyFont="1" applyBorder="1" applyAlignment="1">
      <alignment horizontal="center" vertical="center" wrapText="1"/>
    </xf>
    <xf numFmtId="183" fontId="26" fillId="5" borderId="34" xfId="6" applyFont="1" applyFill="1" applyBorder="1" applyAlignment="1">
      <alignment horizontal="center" vertical="center" wrapText="1"/>
    </xf>
    <xf numFmtId="183" fontId="24" fillId="5" borderId="24" xfId="6" applyFont="1" applyFill="1" applyBorder="1" applyAlignment="1">
      <alignment horizontal="center" vertical="center" wrapText="1"/>
    </xf>
    <xf numFmtId="183" fontId="23" fillId="5" borderId="34" xfId="6" applyFont="1" applyFill="1" applyBorder="1" applyAlignment="1">
      <alignment horizontal="center" vertical="center" wrapText="1"/>
    </xf>
    <xf numFmtId="183" fontId="23" fillId="5" borderId="49" xfId="6" applyFont="1" applyFill="1" applyBorder="1" applyAlignment="1">
      <alignment horizontal="center" vertical="center" wrapText="1"/>
    </xf>
    <xf numFmtId="181" fontId="1" fillId="5" borderId="50" xfId="6" applyNumberFormat="1" applyFont="1" applyFill="1" applyBorder="1" applyAlignment="1">
      <alignment horizontal="center" vertical="center" wrapText="1"/>
    </xf>
    <xf numFmtId="181" fontId="1" fillId="5" borderId="24" xfId="6" applyNumberFormat="1" applyFont="1" applyFill="1" applyBorder="1" applyAlignment="1">
      <alignment horizontal="center" vertical="center" wrapText="1"/>
    </xf>
    <xf numFmtId="178" fontId="1" fillId="5" borderId="50" xfId="6" applyNumberFormat="1" applyFont="1" applyFill="1" applyBorder="1" applyAlignment="1">
      <alignment horizontal="center" vertical="center" wrapText="1"/>
    </xf>
    <xf numFmtId="181" fontId="1" fillId="19" borderId="50" xfId="6" applyNumberFormat="1" applyFont="1" applyFill="1" applyBorder="1" applyAlignment="1">
      <alignment horizontal="center" vertical="center" wrapText="1"/>
    </xf>
    <xf numFmtId="181" fontId="1" fillId="19" borderId="24" xfId="6" applyNumberFormat="1" applyFont="1" applyFill="1" applyBorder="1" applyAlignment="1">
      <alignment horizontal="center" vertical="center" wrapText="1"/>
    </xf>
    <xf numFmtId="183" fontId="23" fillId="5" borderId="3" xfId="6" applyFont="1" applyFill="1" applyBorder="1" applyAlignment="1">
      <alignment horizontal="center" vertical="center" wrapText="1"/>
    </xf>
    <xf numFmtId="183" fontId="23" fillId="5" borderId="24" xfId="6" applyFont="1" applyFill="1" applyBorder="1" applyAlignment="1">
      <alignment horizontal="center" vertical="center" wrapText="1"/>
    </xf>
    <xf numFmtId="183" fontId="23" fillId="5" borderId="28" xfId="6" applyFont="1" applyFill="1" applyBorder="1" applyAlignment="1">
      <alignment horizontal="center" vertical="center" wrapText="1"/>
    </xf>
    <xf numFmtId="183" fontId="23" fillId="5" borderId="29" xfId="6" applyFont="1" applyFill="1" applyBorder="1" applyAlignment="1">
      <alignment horizontal="center" vertical="center" wrapText="1"/>
    </xf>
    <xf numFmtId="183" fontId="1" fillId="19" borderId="29" xfId="6" applyFont="1" applyFill="1" applyBorder="1" applyAlignment="1">
      <alignment horizontal="center" vertical="center" wrapText="1"/>
    </xf>
    <xf numFmtId="181" fontId="1" fillId="19" borderId="29" xfId="6" applyNumberFormat="1" applyFont="1" applyFill="1" applyBorder="1" applyAlignment="1">
      <alignment horizontal="center" vertical="center" wrapText="1"/>
    </xf>
    <xf numFmtId="182" fontId="1" fillId="19" borderId="29" xfId="6" applyNumberFormat="1" applyFont="1" applyFill="1" applyBorder="1" applyAlignment="1">
      <alignment horizontal="center" vertical="center" wrapText="1"/>
    </xf>
    <xf numFmtId="182" fontId="1" fillId="19" borderId="50" xfId="6" applyNumberFormat="1" applyFont="1" applyFill="1" applyBorder="1" applyAlignment="1">
      <alignment horizontal="center" vertical="center" wrapText="1"/>
    </xf>
    <xf numFmtId="181" fontId="1" fillId="20" borderId="24" xfId="6" applyNumberFormat="1" applyFont="1" applyFill="1" applyBorder="1" applyAlignment="1">
      <alignment horizontal="center" vertical="center" wrapText="1"/>
    </xf>
    <xf numFmtId="181" fontId="1" fillId="20" borderId="51" xfId="6" applyNumberFormat="1" applyFont="1" applyFill="1" applyBorder="1" applyAlignment="1">
      <alignment horizontal="center" vertical="center" wrapText="1"/>
    </xf>
    <xf numFmtId="183" fontId="7" fillId="21" borderId="52" xfId="6" applyFont="1" applyFill="1" applyBorder="1" applyAlignment="1">
      <alignment horizontal="center" vertical="center" wrapText="1"/>
    </xf>
    <xf numFmtId="183" fontId="7" fillId="21" borderId="30" xfId="6" applyFont="1" applyFill="1" applyBorder="1" applyAlignment="1">
      <alignment horizontal="center" vertical="center" wrapText="1"/>
    </xf>
    <xf numFmtId="183" fontId="7" fillId="21" borderId="38" xfId="6" applyFont="1" applyFill="1" applyBorder="1" applyAlignment="1">
      <alignment horizontal="center" vertical="center" wrapText="1"/>
    </xf>
    <xf numFmtId="181" fontId="7" fillId="21" borderId="36" xfId="6" applyNumberFormat="1" applyFont="1" applyFill="1" applyBorder="1" applyAlignment="1">
      <alignment horizontal="center" vertical="center" wrapText="1"/>
    </xf>
    <xf numFmtId="181" fontId="1" fillId="0" borderId="0" xfId="6" applyNumberFormat="1" applyFont="1" applyBorder="1" applyAlignment="1">
      <alignment horizontal="center" vertical="center" wrapText="1"/>
    </xf>
    <xf numFmtId="181" fontId="7" fillId="21" borderId="30" xfId="6" applyNumberFormat="1" applyFont="1" applyFill="1" applyBorder="1" applyAlignment="1">
      <alignment horizontal="center" vertical="center" wrapText="1"/>
    </xf>
    <xf numFmtId="178" fontId="7" fillId="21" borderId="36" xfId="6" applyNumberFormat="1" applyFont="1" applyFill="1" applyBorder="1" applyAlignment="1">
      <alignment horizontal="center" vertical="center" wrapText="1"/>
    </xf>
    <xf numFmtId="178" fontId="9" fillId="21" borderId="36" xfId="6" applyNumberFormat="1" applyFont="1" applyFill="1" applyBorder="1" applyAlignment="1">
      <alignment horizontal="center" vertical="center" wrapText="1"/>
    </xf>
    <xf numFmtId="181" fontId="22" fillId="0" borderId="0" xfId="6" applyNumberFormat="1" applyFont="1" applyBorder="1" applyAlignment="1">
      <alignment horizontal="center" vertical="center" wrapText="1"/>
    </xf>
    <xf numFmtId="178" fontId="7" fillId="21" borderId="30" xfId="6" applyNumberFormat="1" applyFont="1" applyFill="1" applyBorder="1" applyAlignment="1">
      <alignment horizontal="center" vertical="center" wrapText="1"/>
    </xf>
    <xf numFmtId="182" fontId="9" fillId="21" borderId="30" xfId="6" applyNumberFormat="1" applyFont="1" applyFill="1" applyBorder="1" applyAlignment="1">
      <alignment horizontal="center" vertical="center" wrapText="1"/>
    </xf>
    <xf numFmtId="182" fontId="9" fillId="21" borderId="36" xfId="6" applyNumberFormat="1" applyFont="1" applyFill="1" applyBorder="1" applyAlignment="1">
      <alignment horizontal="center" vertical="center" wrapText="1"/>
    </xf>
    <xf numFmtId="183" fontId="9" fillId="21" borderId="30" xfId="6" applyFont="1" applyFill="1" applyBorder="1" applyAlignment="1">
      <alignment horizontal="center" vertical="center" wrapText="1"/>
    </xf>
    <xf numFmtId="183" fontId="7" fillId="21" borderId="3" xfId="6" applyFont="1" applyFill="1" applyBorder="1" applyAlignment="1">
      <alignment horizontal="center" vertical="center" wrapText="1"/>
    </xf>
    <xf numFmtId="181" fontId="9" fillId="21" borderId="36" xfId="6" applyNumberFormat="1" applyFont="1" applyFill="1" applyBorder="1" applyAlignment="1">
      <alignment horizontal="center" vertical="center" wrapText="1"/>
    </xf>
    <xf numFmtId="181" fontId="7" fillId="20" borderId="30" xfId="6" applyNumberFormat="1" applyFont="1" applyFill="1" applyBorder="1" applyAlignment="1">
      <alignment horizontal="center" vertical="center" wrapText="1"/>
    </xf>
    <xf numFmtId="182" fontId="9" fillId="20" borderId="25" xfId="6" applyNumberFormat="1" applyFont="1" applyFill="1" applyBorder="1" applyAlignment="1">
      <alignment horizontal="center" vertical="center" wrapText="1"/>
    </xf>
    <xf numFmtId="181" fontId="7" fillId="20" borderId="53" xfId="6" applyNumberFormat="1" applyFont="1" applyFill="1" applyBorder="1" applyAlignment="1">
      <alignment horizontal="center" vertical="center" wrapText="1"/>
    </xf>
    <xf numFmtId="183" fontId="5" fillId="0" borderId="0" xfId="0" applyFont="1" applyFill="1" applyAlignment="1"/>
    <xf numFmtId="183" fontId="7" fillId="0" borderId="0" xfId="0" applyFont="1" applyAlignment="1">
      <alignment vertical="center"/>
    </xf>
    <xf numFmtId="183" fontId="1" fillId="0" borderId="0" xfId="0" applyFont="1" applyAlignment="1">
      <alignment horizontal="center" vertical="center"/>
    </xf>
    <xf numFmtId="183" fontId="1" fillId="0" borderId="0" xfId="0" applyFont="1" applyAlignment="1">
      <alignment horizontal="right" vertical="center"/>
    </xf>
    <xf numFmtId="183" fontId="8" fillId="0" borderId="0" xfId="0" applyFont="1" applyAlignment="1">
      <alignment horizontal="right" vertical="center"/>
    </xf>
    <xf numFmtId="183" fontId="1" fillId="0" borderId="0" xfId="0" applyFont="1" applyBorder="1" applyAlignment="1">
      <alignment vertical="center"/>
    </xf>
    <xf numFmtId="183" fontId="1" fillId="0" borderId="24" xfId="0" applyFont="1" applyBorder="1" applyAlignment="1">
      <alignment horizontal="center" vertical="center" wrapText="1"/>
    </xf>
    <xf numFmtId="183" fontId="1" fillId="0" borderId="3" xfId="0" applyFont="1" applyBorder="1" applyAlignment="1">
      <alignment horizontal="center" vertical="center" wrapText="1"/>
    </xf>
    <xf numFmtId="183" fontId="1" fillId="0" borderId="55" xfId="0" applyFont="1" applyBorder="1" applyAlignment="1">
      <alignment horizontal="center" vertical="center" wrapText="1"/>
    </xf>
    <xf numFmtId="183" fontId="1" fillId="0" borderId="34" xfId="0" applyFont="1" applyBorder="1" applyAlignment="1">
      <alignment horizontal="center" vertical="center" wrapText="1"/>
    </xf>
    <xf numFmtId="183" fontId="1" fillId="0" borderId="49" xfId="0" applyFont="1" applyBorder="1" applyAlignment="1">
      <alignment horizontal="center" vertical="center" wrapText="1"/>
    </xf>
    <xf numFmtId="183" fontId="1" fillId="0" borderId="0" xfId="0" applyFont="1" applyBorder="1" applyAlignment="1">
      <alignment horizontal="center" vertical="center" wrapText="1"/>
    </xf>
    <xf numFmtId="183" fontId="1" fillId="0" borderId="23" xfId="0" applyFont="1" applyBorder="1" applyAlignment="1">
      <alignment horizontal="center" vertical="center" wrapText="1"/>
    </xf>
    <xf numFmtId="183" fontId="1" fillId="0" borderId="35" xfId="0" applyFont="1" applyBorder="1" applyAlignment="1">
      <alignment horizontal="center" vertical="center" wrapText="1"/>
    </xf>
    <xf numFmtId="183" fontId="1" fillId="0" borderId="50" xfId="0" applyFont="1" applyBorder="1" applyAlignment="1">
      <alignment horizontal="center" vertical="center" wrapText="1"/>
    </xf>
    <xf numFmtId="183" fontId="7" fillId="7" borderId="57" xfId="0" applyFont="1" applyFill="1" applyBorder="1" applyAlignment="1">
      <alignment horizontal="center" vertical="center" wrapText="1"/>
    </xf>
    <xf numFmtId="183" fontId="0" fillId="0" borderId="28" xfId="0" applyBorder="1" applyAlignment="1"/>
    <xf numFmtId="183" fontId="7" fillId="7" borderId="3" xfId="0" applyFont="1" applyFill="1" applyBorder="1" applyAlignment="1">
      <alignment vertical="center" wrapText="1"/>
    </xf>
    <xf numFmtId="183" fontId="7" fillId="7" borderId="28" xfId="0" applyFont="1" applyFill="1" applyBorder="1" applyAlignment="1">
      <alignment horizontal="center" vertical="center" wrapText="1"/>
    </xf>
    <xf numFmtId="179" fontId="7" fillId="7" borderId="28" xfId="0" applyNumberFormat="1" applyFont="1" applyFill="1" applyBorder="1" applyAlignment="1">
      <alignment horizontal="center" vertical="center" wrapText="1"/>
    </xf>
    <xf numFmtId="179" fontId="7" fillId="7" borderId="29" xfId="0" applyNumberFormat="1" applyFont="1" applyFill="1" applyBorder="1" applyAlignment="1">
      <alignment horizontal="center" vertical="center" wrapText="1"/>
    </xf>
    <xf numFmtId="183" fontId="11" fillId="9" borderId="41" xfId="1" applyFont="1" applyFill="1" applyBorder="1" applyAlignment="1">
      <alignment horizontal="center" vertical="center" wrapText="1"/>
    </xf>
    <xf numFmtId="183" fontId="11" fillId="9" borderId="3" xfId="1" applyNumberFormat="1" applyFont="1" applyFill="1" applyBorder="1" applyAlignment="1">
      <alignment horizontal="left" vertical="center" wrapText="1"/>
    </xf>
    <xf numFmtId="2" fontId="11" fillId="9" borderId="3" xfId="1" applyNumberFormat="1" applyFont="1" applyFill="1" applyBorder="1" applyAlignment="1">
      <alignment vertical="center" wrapText="1"/>
    </xf>
    <xf numFmtId="43" fontId="12" fillId="9" borderId="3" xfId="0" applyNumberFormat="1" applyFont="1" applyFill="1" applyBorder="1" applyAlignment="1">
      <alignment horizontal="right" vertical="center"/>
    </xf>
    <xf numFmtId="43" fontId="12" fillId="9" borderId="24" xfId="0" applyNumberFormat="1" applyFont="1" applyFill="1" applyBorder="1" applyAlignment="1">
      <alignment horizontal="right" vertical="center"/>
    </xf>
    <xf numFmtId="183" fontId="11" fillId="3" borderId="41" xfId="1" applyFont="1" applyFill="1" applyBorder="1" applyAlignment="1">
      <alignment horizontal="center" vertical="center" wrapText="1"/>
    </xf>
    <xf numFmtId="183" fontId="11" fillId="3" borderId="3" xfId="1" applyNumberFormat="1" applyFont="1" applyFill="1" applyBorder="1" applyAlignment="1">
      <alignment horizontal="left" vertical="center" wrapText="1"/>
    </xf>
    <xf numFmtId="2" fontId="13" fillId="3" borderId="3" xfId="1" applyNumberFormat="1" applyFont="1" applyFill="1" applyBorder="1" applyAlignment="1">
      <alignment vertical="center" wrapText="1"/>
    </xf>
    <xf numFmtId="43" fontId="5" fillId="3" borderId="3" xfId="0" applyNumberFormat="1" applyFont="1" applyFill="1" applyBorder="1" applyAlignment="1">
      <alignment horizontal="right" vertical="center"/>
    </xf>
    <xf numFmtId="43" fontId="5" fillId="3" borderId="24" xfId="0" applyNumberFormat="1" applyFont="1" applyFill="1" applyBorder="1" applyAlignment="1">
      <alignment horizontal="right" vertical="center"/>
    </xf>
    <xf numFmtId="183" fontId="13" fillId="0" borderId="41" xfId="1" applyFont="1" applyFill="1" applyBorder="1" applyAlignment="1">
      <alignment horizontal="center" vertical="center" wrapText="1"/>
    </xf>
    <xf numFmtId="183" fontId="13" fillId="0" borderId="3" xfId="1" applyFont="1" applyFill="1" applyBorder="1" applyAlignment="1">
      <alignment horizontal="left" vertical="center" wrapText="1"/>
    </xf>
    <xf numFmtId="2" fontId="13" fillId="0" borderId="3" xfId="1" applyNumberFormat="1" applyFont="1" applyFill="1" applyBorder="1" applyAlignment="1">
      <alignment vertical="center" wrapText="1"/>
    </xf>
    <xf numFmtId="43" fontId="5" fillId="0" borderId="3" xfId="0" applyNumberFormat="1" applyFont="1" applyFill="1" applyBorder="1" applyAlignment="1">
      <alignment horizontal="right" vertical="center"/>
    </xf>
    <xf numFmtId="43" fontId="5" fillId="0" borderId="24" xfId="0" applyNumberFormat="1" applyFont="1" applyFill="1" applyBorder="1" applyAlignment="1">
      <alignment horizontal="right" vertical="center"/>
    </xf>
    <xf numFmtId="183" fontId="13" fillId="0" borderId="3" xfId="1" applyNumberFormat="1" applyFont="1" applyFill="1" applyBorder="1" applyAlignment="1">
      <alignment horizontal="left" vertical="center" wrapText="1"/>
    </xf>
    <xf numFmtId="177" fontId="7" fillId="0" borderId="0" xfId="0" applyNumberFormat="1" applyFont="1" applyBorder="1" applyAlignment="1">
      <alignment horizontal="center" vertical="center"/>
    </xf>
    <xf numFmtId="14" fontId="1" fillId="0" borderId="3" xfId="0" applyNumberFormat="1" applyFont="1" applyBorder="1" applyAlignment="1">
      <alignment horizontal="center" vertical="center" wrapText="1"/>
    </xf>
    <xf numFmtId="183" fontId="1" fillId="0" borderId="34" xfId="0" applyFont="1" applyBorder="1" applyAlignment="1">
      <alignment horizontal="center" vertical="center"/>
    </xf>
    <xf numFmtId="183" fontId="1" fillId="0" borderId="50" xfId="0" applyFont="1" applyBorder="1" applyAlignment="1">
      <alignment horizontal="center" vertical="center"/>
    </xf>
    <xf numFmtId="183" fontId="1" fillId="9" borderId="30" xfId="0" applyFont="1" applyFill="1" applyBorder="1" applyAlignment="1">
      <alignment horizontal="center" vertical="center"/>
    </xf>
    <xf numFmtId="49" fontId="1" fillId="3" borderId="30" xfId="0" applyNumberFormat="1" applyFont="1" applyFill="1" applyBorder="1" applyAlignment="1">
      <alignment horizontal="center" vertical="center"/>
    </xf>
    <xf numFmtId="49" fontId="1" fillId="9" borderId="30" xfId="0" applyNumberFormat="1" applyFont="1" applyFill="1" applyBorder="1" applyAlignment="1">
      <alignment horizontal="center" vertical="center"/>
    </xf>
    <xf numFmtId="49" fontId="1" fillId="0" borderId="30" xfId="0" applyNumberFormat="1" applyFont="1" applyFill="1" applyBorder="1" applyAlignment="1">
      <alignment horizontal="center" vertical="center"/>
    </xf>
    <xf numFmtId="49" fontId="1" fillId="0" borderId="30" xfId="0" applyNumberFormat="1" applyFont="1" applyFill="1" applyBorder="1" applyAlignment="1">
      <alignment horizontal="center" vertical="center" wrapText="1"/>
    </xf>
    <xf numFmtId="183" fontId="5" fillId="0" borderId="3" xfId="0" applyFont="1" applyFill="1" applyBorder="1" applyAlignment="1"/>
    <xf numFmtId="178" fontId="5" fillId="0" borderId="3" xfId="0" applyNumberFormat="1" applyFont="1" applyFill="1" applyBorder="1" applyAlignment="1"/>
    <xf numFmtId="183" fontId="1" fillId="0" borderId="3" xfId="0" applyFont="1" applyFill="1" applyBorder="1" applyAlignment="1"/>
    <xf numFmtId="2" fontId="13" fillId="0" borderId="12" xfId="1" applyNumberFormat="1" applyFont="1" applyFill="1" applyBorder="1" applyAlignment="1">
      <alignment vertical="center" wrapText="1"/>
    </xf>
    <xf numFmtId="2" fontId="15" fillId="0" borderId="12" xfId="1" applyNumberFormat="1" applyFont="1" applyFill="1" applyBorder="1" applyAlignment="1">
      <alignment vertical="center" wrapText="1"/>
    </xf>
    <xf numFmtId="178" fontId="5" fillId="0" borderId="3" xfId="0" applyNumberFormat="1" applyFont="1" applyFill="1" applyBorder="1" applyAlignment="1">
      <alignment horizontal="right" vertical="center"/>
    </xf>
    <xf numFmtId="49" fontId="1" fillId="9" borderId="30" xfId="0" applyNumberFormat="1" applyFont="1" applyFill="1" applyBorder="1" applyAlignment="1">
      <alignment horizontal="left" vertical="center" wrapText="1"/>
    </xf>
    <xf numFmtId="49" fontId="1" fillId="3" borderId="30" xfId="0" applyNumberFormat="1" applyFont="1" applyFill="1" applyBorder="1" applyAlignment="1">
      <alignment horizontal="left" vertical="center" wrapText="1"/>
    </xf>
    <xf numFmtId="43" fontId="1" fillId="0" borderId="0" xfId="0" applyNumberFormat="1" applyFont="1" applyFill="1" applyAlignment="1">
      <alignment vertical="center"/>
    </xf>
    <xf numFmtId="49" fontId="1" fillId="3" borderId="30" xfId="0" applyNumberFormat="1" applyFont="1" applyFill="1" applyBorder="1" applyAlignment="1">
      <alignment horizontal="center" vertical="center" wrapText="1"/>
    </xf>
    <xf numFmtId="182" fontId="11" fillId="0" borderId="0" xfId="1" applyNumberFormat="1" applyFont="1" applyFill="1" applyBorder="1" applyAlignment="1">
      <alignment vertical="center" wrapText="1"/>
    </xf>
    <xf numFmtId="182" fontId="17" fillId="0" borderId="0" xfId="1" applyNumberFormat="1" applyFont="1" applyFill="1" applyBorder="1" applyAlignment="1">
      <alignment vertical="center" wrapText="1"/>
    </xf>
    <xf numFmtId="183" fontId="11" fillId="7" borderId="41" xfId="1" applyFont="1" applyFill="1" applyBorder="1" applyAlignment="1">
      <alignment horizontal="center" vertical="center" wrapText="1"/>
    </xf>
    <xf numFmtId="183" fontId="18" fillId="7" borderId="3" xfId="1" applyNumberFormat="1" applyFont="1" applyFill="1" applyBorder="1" applyAlignment="1">
      <alignment horizontal="left" vertical="center" wrapText="1"/>
    </xf>
    <xf numFmtId="2" fontId="11" fillId="7" borderId="3" xfId="1" applyNumberFormat="1" applyFont="1" applyFill="1" applyBorder="1" applyAlignment="1">
      <alignment vertical="center" wrapText="1"/>
    </xf>
    <xf numFmtId="43" fontId="12" fillId="7" borderId="3" xfId="0" applyNumberFormat="1" applyFont="1" applyFill="1" applyBorder="1" applyAlignment="1">
      <alignment horizontal="right" vertical="center"/>
    </xf>
    <xf numFmtId="43" fontId="12" fillId="7" borderId="24" xfId="0" applyNumberFormat="1" applyFont="1" applyFill="1" applyBorder="1" applyAlignment="1">
      <alignment horizontal="right" vertical="center"/>
    </xf>
    <xf numFmtId="183" fontId="11" fillId="7" borderId="3" xfId="1" applyNumberFormat="1" applyFont="1" applyFill="1" applyBorder="1" applyAlignment="1">
      <alignment horizontal="left" vertical="center" wrapText="1"/>
    </xf>
    <xf numFmtId="183" fontId="11" fillId="22" borderId="41" xfId="1" applyFont="1" applyFill="1" applyBorder="1" applyAlignment="1">
      <alignment horizontal="center" vertical="center" wrapText="1"/>
    </xf>
    <xf numFmtId="183" fontId="18" fillId="22" borderId="3" xfId="1" applyNumberFormat="1" applyFont="1" applyFill="1" applyBorder="1" applyAlignment="1">
      <alignment horizontal="left" vertical="center" wrapText="1"/>
    </xf>
    <xf numFmtId="2" fontId="13" fillId="22" borderId="3" xfId="1" applyNumberFormat="1" applyFont="1" applyFill="1" applyBorder="1" applyAlignment="1">
      <alignment vertical="center" wrapText="1"/>
    </xf>
    <xf numFmtId="2" fontId="11" fillId="22" borderId="3" xfId="1" applyNumberFormat="1" applyFont="1" applyFill="1" applyBorder="1" applyAlignment="1">
      <alignment vertical="center" wrapText="1"/>
    </xf>
    <xf numFmtId="2" fontId="11" fillId="22" borderId="24" xfId="1" applyNumberFormat="1" applyFont="1" applyFill="1" applyBorder="1" applyAlignment="1">
      <alignment vertical="center" wrapText="1"/>
    </xf>
    <xf numFmtId="183" fontId="11" fillId="12" borderId="41" xfId="1" applyFont="1" applyFill="1" applyBorder="1" applyAlignment="1">
      <alignment horizontal="center" vertical="center" wrapText="1"/>
    </xf>
    <xf numFmtId="183" fontId="11" fillId="12" borderId="3" xfId="1" applyNumberFormat="1" applyFont="1" applyFill="1" applyBorder="1" applyAlignment="1">
      <alignment horizontal="left" vertical="center" wrapText="1"/>
    </xf>
    <xf numFmtId="2" fontId="11" fillId="12" borderId="3" xfId="1" applyNumberFormat="1" applyFont="1" applyFill="1" applyBorder="1" applyAlignment="1">
      <alignment vertical="center" wrapText="1"/>
    </xf>
    <xf numFmtId="43" fontId="5" fillId="12" borderId="3" xfId="0" applyNumberFormat="1" applyFont="1" applyFill="1" applyBorder="1" applyAlignment="1">
      <alignment horizontal="right" vertical="center"/>
    </xf>
    <xf numFmtId="43" fontId="5" fillId="12" borderId="24" xfId="0" applyNumberFormat="1" applyFont="1" applyFill="1" applyBorder="1" applyAlignment="1">
      <alignment horizontal="right" vertical="center"/>
    </xf>
    <xf numFmtId="183" fontId="11" fillId="0" borderId="41" xfId="1" applyFont="1" applyFill="1" applyBorder="1" applyAlignment="1">
      <alignment horizontal="center" vertical="center" wrapText="1"/>
    </xf>
    <xf numFmtId="183" fontId="11" fillId="0" borderId="3" xfId="1" applyNumberFormat="1" applyFont="1" applyFill="1" applyBorder="1" applyAlignment="1">
      <alignment horizontal="left" vertical="center" wrapText="1"/>
    </xf>
    <xf numFmtId="183" fontId="11" fillId="0" borderId="58" xfId="1" applyFont="1" applyFill="1" applyBorder="1" applyAlignment="1">
      <alignment horizontal="center" vertical="center" wrapText="1"/>
    </xf>
    <xf numFmtId="183" fontId="18" fillId="0" borderId="48" xfId="1" applyNumberFormat="1" applyFont="1" applyFill="1" applyBorder="1" applyAlignment="1">
      <alignment horizontal="left" vertical="center" wrapText="1"/>
    </xf>
    <xf numFmtId="10" fontId="11" fillId="0" borderId="48" xfId="3" applyNumberFormat="1" applyFont="1" applyFill="1" applyBorder="1" applyAlignment="1">
      <alignment vertical="center"/>
    </xf>
    <xf numFmtId="43" fontId="5" fillId="0" borderId="48" xfId="0" applyNumberFormat="1" applyFont="1" applyFill="1" applyBorder="1" applyAlignment="1">
      <alignment horizontal="right" vertical="center"/>
    </xf>
    <xf numFmtId="43" fontId="5" fillId="0" borderId="55" xfId="0" applyNumberFormat="1" applyFont="1" applyFill="1" applyBorder="1" applyAlignment="1">
      <alignment horizontal="right" vertical="center"/>
    </xf>
    <xf numFmtId="183" fontId="1" fillId="0" borderId="40" xfId="0" applyFont="1" applyBorder="1" applyAlignment="1">
      <alignment horizontal="right" vertical="center"/>
    </xf>
    <xf numFmtId="183" fontId="8" fillId="0" borderId="40" xfId="0" applyFont="1" applyBorder="1" applyAlignment="1">
      <alignment horizontal="right" vertical="center"/>
    </xf>
    <xf numFmtId="183" fontId="8" fillId="0" borderId="0" xfId="0" applyFont="1" applyBorder="1" applyAlignment="1">
      <alignment horizontal="right" vertical="center"/>
    </xf>
    <xf numFmtId="181" fontId="1" fillId="0" borderId="3" xfId="0" applyNumberFormat="1" applyFont="1" applyBorder="1" applyAlignment="1">
      <alignment horizontal="right" vertical="center"/>
    </xf>
    <xf numFmtId="181" fontId="8" fillId="0" borderId="3" xfId="0" applyNumberFormat="1" applyFont="1" applyBorder="1" applyAlignment="1">
      <alignment horizontal="right" vertical="center"/>
    </xf>
    <xf numFmtId="181" fontId="8" fillId="0" borderId="0" xfId="0" applyNumberFormat="1" applyFont="1" applyBorder="1" applyAlignment="1">
      <alignment horizontal="right" vertical="center"/>
    </xf>
    <xf numFmtId="181" fontId="1" fillId="0" borderId="48" xfId="0" applyNumberFormat="1" applyFont="1" applyBorder="1" applyAlignment="1">
      <alignment horizontal="right" vertical="center"/>
    </xf>
    <xf numFmtId="181" fontId="8" fillId="0" borderId="48" xfId="0" applyNumberFormat="1" applyFont="1" applyBorder="1" applyAlignment="1">
      <alignment horizontal="right" vertical="center"/>
    </xf>
    <xf numFmtId="183" fontId="7" fillId="0" borderId="0" xfId="0" applyFont="1" applyAlignment="1">
      <alignment horizontal="center" vertical="center"/>
    </xf>
    <xf numFmtId="49" fontId="7" fillId="3" borderId="30" xfId="0" applyNumberFormat="1" applyFont="1" applyFill="1" applyBorder="1" applyAlignment="1">
      <alignment horizontal="center" vertical="center"/>
    </xf>
    <xf numFmtId="183" fontId="1" fillId="0" borderId="30" xfId="0" applyFont="1" applyFill="1" applyBorder="1" applyAlignment="1">
      <alignment horizontal="left" vertical="center"/>
    </xf>
    <xf numFmtId="49" fontId="7" fillId="9" borderId="30" xfId="0" applyNumberFormat="1" applyFont="1" applyFill="1" applyBorder="1" applyAlignment="1">
      <alignment horizontal="center" vertical="center"/>
    </xf>
    <xf numFmtId="49" fontId="1" fillId="7" borderId="30" xfId="0" applyNumberFormat="1" applyFont="1" applyFill="1" applyBorder="1" applyAlignment="1">
      <alignment horizontal="center" vertical="center"/>
    </xf>
    <xf numFmtId="49" fontId="1" fillId="22" borderId="30" xfId="0" applyNumberFormat="1" applyFont="1" applyFill="1" applyBorder="1" applyAlignment="1">
      <alignment horizontal="center" vertical="center"/>
    </xf>
    <xf numFmtId="49" fontId="1" fillId="12" borderId="30" xfId="0" applyNumberFormat="1" applyFont="1" applyFill="1" applyBorder="1" applyAlignment="1">
      <alignment horizontal="center" vertical="center"/>
    </xf>
    <xf numFmtId="49" fontId="1" fillId="0" borderId="59" xfId="0" applyNumberFormat="1" applyFont="1" applyFill="1" applyBorder="1" applyAlignment="1">
      <alignment horizontal="center" vertical="center"/>
    </xf>
    <xf numFmtId="183" fontId="7" fillId="0" borderId="0" xfId="0" applyFont="1" applyFill="1" applyAlignment="1">
      <alignment vertical="center"/>
    </xf>
    <xf numFmtId="183" fontId="4" fillId="3" borderId="0" xfId="0" applyFont="1" applyFill="1" applyAlignment="1"/>
    <xf numFmtId="183" fontId="4" fillId="0" borderId="0" xfId="0" applyFont="1" applyFill="1" applyAlignment="1"/>
    <xf numFmtId="183" fontId="4" fillId="2" borderId="0" xfId="0" applyFont="1" applyFill="1" applyAlignment="1"/>
    <xf numFmtId="183" fontId="4" fillId="0" borderId="0" xfId="0" applyFont="1" applyFill="1" applyAlignment="1">
      <alignment vertical="center"/>
    </xf>
    <xf numFmtId="183" fontId="4" fillId="5" borderId="0" xfId="0" applyFont="1" applyFill="1" applyAlignment="1">
      <alignment vertical="center"/>
    </xf>
    <xf numFmtId="183" fontId="4" fillId="2" borderId="3" xfId="0" applyFont="1" applyFill="1" applyBorder="1" applyAlignment="1">
      <alignment vertical="center"/>
    </xf>
    <xf numFmtId="183" fontId="4" fillId="2" borderId="0" xfId="0" applyFont="1" applyFill="1" applyBorder="1" applyAlignment="1">
      <alignment vertical="center"/>
    </xf>
    <xf numFmtId="183" fontId="4" fillId="0" borderId="0" xfId="0" applyFont="1" applyFill="1" applyBorder="1" applyAlignment="1">
      <alignment vertical="center"/>
    </xf>
    <xf numFmtId="183" fontId="4" fillId="5" borderId="0" xfId="0" applyFont="1" applyFill="1" applyBorder="1" applyAlignment="1">
      <alignment vertical="center"/>
    </xf>
    <xf numFmtId="183" fontId="4" fillId="6" borderId="0" xfId="0" applyFont="1" applyFill="1" applyBorder="1" applyAlignment="1">
      <alignment vertical="center"/>
    </xf>
    <xf numFmtId="49" fontId="4" fillId="0" borderId="0" xfId="0" applyNumberFormat="1" applyFont="1" applyAlignment="1">
      <alignment horizontal="center"/>
    </xf>
    <xf numFmtId="183" fontId="4" fillId="0" borderId="0" xfId="0" applyFont="1" applyAlignment="1">
      <alignment horizontal="center"/>
    </xf>
    <xf numFmtId="183" fontId="4" fillId="0" borderId="0" xfId="0" applyFont="1" applyAlignment="1">
      <alignment horizontal="left"/>
    </xf>
    <xf numFmtId="183" fontId="1" fillId="0" borderId="0" xfId="0" applyFont="1" applyAlignment="1">
      <alignment horizontal="right"/>
    </xf>
    <xf numFmtId="183" fontId="1" fillId="0" borderId="0" xfId="0" applyFont="1" applyAlignment="1"/>
    <xf numFmtId="183" fontId="4" fillId="0" borderId="0" xfId="0" applyFont="1" applyAlignment="1">
      <alignment horizontal="left" wrapText="1"/>
    </xf>
    <xf numFmtId="177" fontId="1" fillId="0" borderId="0" xfId="0" applyNumberFormat="1" applyFont="1" applyAlignment="1"/>
    <xf numFmtId="183" fontId="7" fillId="0" borderId="0" xfId="0" applyFont="1" applyAlignment="1"/>
    <xf numFmtId="183" fontId="10" fillId="0" borderId="0" xfId="0" applyFont="1" applyAlignment="1"/>
    <xf numFmtId="183" fontId="4" fillId="0" borderId="0" xfId="0" applyFont="1" applyAlignment="1">
      <alignment horizontal="center" vertical="center"/>
    </xf>
    <xf numFmtId="183" fontId="4" fillId="0" borderId="0" xfId="0" applyFont="1" applyAlignment="1">
      <alignment vertical="center"/>
    </xf>
    <xf numFmtId="183" fontId="4" fillId="0" borderId="0" xfId="0" applyFont="1" applyAlignment="1">
      <alignment horizontal="left" vertical="center"/>
    </xf>
    <xf numFmtId="49" fontId="4" fillId="3" borderId="60" xfId="0" applyNumberFormat="1" applyFont="1" applyFill="1" applyBorder="1" applyAlignment="1">
      <alignment horizontal="center" vertical="center" wrapText="1"/>
    </xf>
    <xf numFmtId="183" fontId="4" fillId="3" borderId="32" xfId="0" applyFont="1" applyFill="1" applyBorder="1" applyAlignment="1">
      <alignment horizontal="center" vertical="center" wrapText="1"/>
    </xf>
    <xf numFmtId="183" fontId="4" fillId="3" borderId="32" xfId="0" applyFont="1" applyFill="1" applyBorder="1" applyAlignment="1">
      <alignment horizontal="center" vertical="center"/>
    </xf>
    <xf numFmtId="183" fontId="1" fillId="0" borderId="3" xfId="0" applyFont="1" applyFill="1" applyBorder="1" applyAlignment="1">
      <alignment horizontal="center" vertical="center"/>
    </xf>
    <xf numFmtId="2" fontId="1" fillId="6" borderId="3" xfId="0" applyNumberFormat="1" applyFont="1" applyFill="1" applyBorder="1" applyAlignment="1">
      <alignment horizontal="center" vertical="center"/>
    </xf>
    <xf numFmtId="183" fontId="1" fillId="6" borderId="3" xfId="0" applyFont="1" applyFill="1" applyBorder="1" applyAlignment="1">
      <alignment horizontal="center" vertical="center"/>
    </xf>
    <xf numFmtId="178" fontId="1" fillId="6" borderId="3" xfId="0" applyNumberFormat="1" applyFont="1" applyFill="1" applyBorder="1" applyAlignment="1">
      <alignment horizontal="right" vertical="center" wrapText="1"/>
    </xf>
    <xf numFmtId="2" fontId="1" fillId="6" borderId="3" xfId="0" applyNumberFormat="1" applyFont="1" applyFill="1" applyBorder="1" applyAlignment="1">
      <alignment horizontal="right" vertical="center"/>
    </xf>
    <xf numFmtId="43" fontId="1" fillId="6" borderId="3" xfId="2" applyFont="1" applyFill="1" applyBorder="1" applyAlignment="1">
      <alignment horizontal="right" vertical="center"/>
    </xf>
    <xf numFmtId="183" fontId="1" fillId="0" borderId="3" xfId="0" applyFont="1" applyFill="1" applyBorder="1" applyAlignment="1">
      <alignment vertical="center"/>
    </xf>
    <xf numFmtId="49" fontId="5" fillId="23"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183" fontId="1" fillId="0" borderId="3" xfId="0" applyFont="1" applyBorder="1" applyAlignment="1">
      <alignment horizontal="left" vertical="center" wrapText="1"/>
    </xf>
    <xf numFmtId="183" fontId="1" fillId="0" borderId="3" xfId="0" applyFont="1" applyBorder="1" applyAlignment="1">
      <alignment vertical="center"/>
    </xf>
    <xf numFmtId="2" fontId="1" fillId="0" borderId="3" xfId="0" applyNumberFormat="1" applyFont="1" applyBorder="1" applyAlignment="1">
      <alignment horizontal="right" vertical="center"/>
    </xf>
    <xf numFmtId="183" fontId="1" fillId="2" borderId="3" xfId="0" applyFont="1" applyFill="1" applyBorder="1" applyAlignment="1">
      <alignment horizontal="center" vertical="center"/>
    </xf>
    <xf numFmtId="183" fontId="1" fillId="2" borderId="3" xfId="0" applyFont="1" applyFill="1" applyBorder="1" applyAlignment="1">
      <alignment vertical="center"/>
    </xf>
    <xf numFmtId="2" fontId="1" fillId="2" borderId="3" xfId="0" applyNumberFormat="1" applyFont="1" applyFill="1" applyBorder="1" applyAlignment="1">
      <alignment horizontal="right" vertical="center"/>
    </xf>
    <xf numFmtId="43" fontId="1" fillId="2" borderId="3" xfId="2" applyFont="1" applyFill="1" applyBorder="1" applyAlignment="1">
      <alignment horizontal="right" vertical="center"/>
    </xf>
    <xf numFmtId="183" fontId="1" fillId="2" borderId="3" xfId="0" applyFont="1" applyFill="1" applyBorder="1" applyAlignment="1"/>
    <xf numFmtId="183" fontId="1" fillId="5" borderId="3" xfId="0" applyFont="1" applyFill="1" applyBorder="1" applyAlignment="1">
      <alignment horizontal="center" vertical="center"/>
    </xf>
    <xf numFmtId="43" fontId="1" fillId="5" borderId="3" xfId="2" applyFont="1" applyFill="1" applyBorder="1" applyAlignment="1">
      <alignment horizontal="right" vertical="center"/>
    </xf>
    <xf numFmtId="10" fontId="4" fillId="3" borderId="32" xfId="3" applyNumberFormat="1" applyFont="1" applyFill="1" applyBorder="1" applyAlignment="1">
      <alignment horizontal="center" vertical="center" wrapText="1"/>
    </xf>
    <xf numFmtId="183" fontId="1" fillId="3" borderId="33" xfId="0" applyFont="1" applyFill="1" applyBorder="1" applyAlignment="1">
      <alignment horizontal="center" vertical="center" wrapText="1"/>
    </xf>
    <xf numFmtId="183" fontId="1" fillId="3" borderId="45" xfId="0" applyFont="1" applyFill="1" applyBorder="1" applyAlignment="1">
      <alignment horizontal="center" vertical="center" wrapText="1"/>
    </xf>
    <xf numFmtId="177" fontId="1" fillId="3" borderId="25" xfId="0" applyNumberFormat="1" applyFont="1" applyFill="1" applyBorder="1" applyAlignment="1">
      <alignment horizontal="center" vertical="center" wrapText="1"/>
    </xf>
    <xf numFmtId="185" fontId="1" fillId="0" borderId="3" xfId="3" applyNumberFormat="1" applyFont="1" applyFill="1" applyBorder="1" applyAlignment="1">
      <alignment horizontal="center" vertical="center"/>
    </xf>
    <xf numFmtId="1" fontId="1" fillId="0" borderId="3" xfId="3" applyNumberFormat="1" applyFont="1" applyFill="1" applyBorder="1" applyAlignment="1">
      <alignment horizontal="right" vertical="center"/>
    </xf>
    <xf numFmtId="183" fontId="6" fillId="0" borderId="3" xfId="0" applyFont="1" applyFill="1" applyBorder="1" applyAlignment="1">
      <alignment horizontal="center" vertical="center" wrapText="1"/>
    </xf>
    <xf numFmtId="177" fontId="1" fillId="0" borderId="0" xfId="0" applyNumberFormat="1" applyFont="1" applyFill="1" applyAlignment="1"/>
    <xf numFmtId="178" fontId="1" fillId="2" borderId="3" xfId="2" applyNumberFormat="1" applyFont="1" applyFill="1" applyBorder="1" applyAlignment="1">
      <alignment horizontal="right" vertical="center"/>
    </xf>
    <xf numFmtId="185" fontId="1" fillId="2" borderId="3" xfId="3" applyNumberFormat="1" applyFont="1" applyFill="1" applyBorder="1" applyAlignment="1">
      <alignment horizontal="center" vertical="center"/>
    </xf>
    <xf numFmtId="1" fontId="1" fillId="2" borderId="3" xfId="3" applyNumberFormat="1" applyFont="1" applyFill="1" applyBorder="1" applyAlignment="1">
      <alignment horizontal="right" vertical="center"/>
    </xf>
    <xf numFmtId="183" fontId="6" fillId="2" borderId="3" xfId="0" applyFont="1" applyFill="1" applyBorder="1" applyAlignment="1">
      <alignment horizontal="center" vertical="center" wrapText="1"/>
    </xf>
    <xf numFmtId="177" fontId="1" fillId="2" borderId="0" xfId="0" applyNumberFormat="1" applyFont="1" applyFill="1" applyAlignment="1"/>
    <xf numFmtId="178" fontId="29" fillId="0" borderId="0" xfId="0" applyNumberFormat="1" applyFont="1" applyFill="1" applyAlignment="1">
      <alignment wrapText="1"/>
    </xf>
    <xf numFmtId="177" fontId="1" fillId="0" borderId="0" xfId="0" applyNumberFormat="1" applyFont="1" applyFill="1" applyAlignment="1">
      <alignment vertical="center"/>
    </xf>
    <xf numFmtId="178" fontId="1" fillId="2" borderId="3" xfId="0" applyNumberFormat="1" applyFont="1" applyFill="1" applyBorder="1" applyAlignment="1">
      <alignment horizontal="left" vertical="center" wrapText="1"/>
    </xf>
    <xf numFmtId="183" fontId="1" fillId="0" borderId="0" xfId="0" applyFont="1" applyFill="1" applyAlignment="1">
      <alignment horizontal="justify" wrapText="1"/>
    </xf>
    <xf numFmtId="183" fontId="6" fillId="0" borderId="0" xfId="0" applyFont="1" applyFill="1" applyAlignment="1">
      <alignment vertical="center" wrapText="1"/>
    </xf>
    <xf numFmtId="178" fontId="1" fillId="5" borderId="3" xfId="2" applyNumberFormat="1" applyFont="1" applyFill="1" applyBorder="1" applyAlignment="1">
      <alignment horizontal="right" vertical="center"/>
    </xf>
    <xf numFmtId="185" fontId="1" fillId="5" borderId="3" xfId="3" applyNumberFormat="1" applyFont="1" applyFill="1" applyBorder="1" applyAlignment="1">
      <alignment horizontal="center" vertical="center"/>
    </xf>
    <xf numFmtId="1" fontId="1" fillId="5" borderId="3" xfId="3" applyNumberFormat="1" applyFont="1" applyFill="1" applyBorder="1" applyAlignment="1">
      <alignment horizontal="right" vertical="center"/>
    </xf>
    <xf numFmtId="183" fontId="6" fillId="5" borderId="3" xfId="0" applyFont="1" applyFill="1" applyBorder="1" applyAlignment="1">
      <alignment horizontal="center" vertical="center" wrapText="1"/>
    </xf>
    <xf numFmtId="177" fontId="1" fillId="5" borderId="0" xfId="0" applyNumberFormat="1" applyFont="1" applyFill="1" applyAlignment="1">
      <alignment vertical="center"/>
    </xf>
    <xf numFmtId="183" fontId="1" fillId="3" borderId="0" xfId="0" applyFont="1" applyFill="1" applyAlignment="1">
      <alignment vertical="center"/>
    </xf>
    <xf numFmtId="2" fontId="1" fillId="0" borderId="34" xfId="0" applyNumberFormat="1" applyFont="1" applyFill="1" applyBorder="1" applyAlignment="1">
      <alignment horizontal="right" vertical="center"/>
    </xf>
    <xf numFmtId="49" fontId="5" fillId="4" borderId="34" xfId="0" applyNumberFormat="1" applyFont="1" applyFill="1" applyBorder="1" applyAlignment="1">
      <alignment horizontal="center" vertical="center"/>
    </xf>
    <xf numFmtId="2" fontId="1" fillId="2" borderId="34" xfId="0" applyNumberFormat="1" applyFont="1" applyFill="1" applyBorder="1" applyAlignment="1">
      <alignment horizontal="center" vertical="center"/>
    </xf>
    <xf numFmtId="183" fontId="1" fillId="0" borderId="34" xfId="0" applyFont="1" applyFill="1" applyBorder="1" applyAlignment="1">
      <alignment horizontal="center" vertical="center"/>
    </xf>
    <xf numFmtId="183" fontId="1" fillId="2" borderId="34" xfId="0" applyFont="1" applyFill="1" applyBorder="1" applyAlignment="1">
      <alignment horizontal="left" vertical="center" wrapText="1"/>
    </xf>
    <xf numFmtId="183" fontId="1" fillId="2" borderId="34" xfId="0" applyFont="1" applyFill="1" applyBorder="1" applyAlignment="1">
      <alignment vertical="center" wrapText="1"/>
    </xf>
    <xf numFmtId="2" fontId="1" fillId="2" borderId="34" xfId="0" applyNumberFormat="1" applyFont="1" applyFill="1" applyBorder="1" applyAlignment="1">
      <alignment horizontal="right" vertical="center"/>
    </xf>
    <xf numFmtId="43" fontId="1" fillId="0" borderId="34" xfId="2" applyFont="1" applyFill="1" applyBorder="1" applyAlignment="1">
      <alignment horizontal="right" vertical="center"/>
    </xf>
    <xf numFmtId="183" fontId="1" fillId="5" borderId="0" xfId="0" applyFont="1" applyFill="1" applyBorder="1" applyAlignment="1">
      <alignment horizontal="left" vertical="center" wrapText="1"/>
    </xf>
    <xf numFmtId="2" fontId="1" fillId="24" borderId="3" xfId="0" applyNumberFormat="1" applyFont="1" applyFill="1" applyBorder="1" applyAlignment="1">
      <alignment horizontal="right" vertical="center"/>
    </xf>
    <xf numFmtId="183" fontId="1" fillId="25" borderId="3" xfId="0" applyFont="1" applyFill="1" applyBorder="1" applyAlignment="1">
      <alignment horizontal="left" vertical="center" wrapText="1"/>
    </xf>
    <xf numFmtId="183" fontId="1" fillId="25" borderId="3" xfId="0" applyFont="1" applyFill="1" applyBorder="1" applyAlignment="1">
      <alignment vertical="center" wrapText="1"/>
    </xf>
    <xf numFmtId="2" fontId="1" fillId="25" borderId="3" xfId="0" applyNumberFormat="1" applyFont="1" applyFill="1" applyBorder="1" applyAlignment="1">
      <alignment horizontal="right" vertical="center"/>
    </xf>
    <xf numFmtId="49" fontId="5" fillId="0" borderId="3" xfId="0" applyNumberFormat="1" applyFont="1" applyFill="1" applyBorder="1" applyAlignment="1">
      <alignment horizontal="center" vertical="center"/>
    </xf>
    <xf numFmtId="183" fontId="1" fillId="26" borderId="3" xfId="0" applyFont="1" applyFill="1" applyBorder="1" applyAlignment="1">
      <alignment horizontal="left" vertical="center" wrapText="1"/>
    </xf>
    <xf numFmtId="183" fontId="1" fillId="26" borderId="3" xfId="0" applyFont="1" applyFill="1" applyBorder="1" applyAlignment="1">
      <alignment vertical="center" wrapText="1"/>
    </xf>
    <xf numFmtId="2" fontId="1" fillId="26" borderId="3" xfId="0" applyNumberFormat="1" applyFont="1" applyFill="1" applyBorder="1" applyAlignment="1">
      <alignment horizontal="right" vertical="center"/>
    </xf>
    <xf numFmtId="183" fontId="1" fillId="24" borderId="3" xfId="0" applyFont="1" applyFill="1" applyBorder="1" applyAlignment="1">
      <alignment horizontal="left" vertical="center" wrapText="1"/>
    </xf>
    <xf numFmtId="183" fontId="1" fillId="24" borderId="3" xfId="0" applyFont="1" applyFill="1" applyBorder="1" applyAlignment="1">
      <alignment vertical="center" wrapText="1"/>
    </xf>
    <xf numFmtId="43" fontId="1" fillId="2" borderId="3" xfId="2" applyFont="1" applyFill="1" applyBorder="1" applyAlignment="1">
      <alignment horizontal="center" vertical="center"/>
    </xf>
    <xf numFmtId="178" fontId="1" fillId="0" borderId="34" xfId="2" applyNumberFormat="1" applyFont="1" applyFill="1" applyBorder="1" applyAlignment="1">
      <alignment horizontal="right" vertical="center"/>
    </xf>
    <xf numFmtId="185" fontId="1" fillId="0" borderId="34" xfId="3" applyNumberFormat="1" applyFont="1" applyFill="1" applyBorder="1" applyAlignment="1">
      <alignment horizontal="center" vertical="center"/>
    </xf>
    <xf numFmtId="1" fontId="1" fillId="0" borderId="34" xfId="3" applyNumberFormat="1" applyFont="1" applyFill="1" applyBorder="1" applyAlignment="1">
      <alignment horizontal="right" vertical="center"/>
    </xf>
    <xf numFmtId="177" fontId="1" fillId="2" borderId="3" xfId="0" applyNumberFormat="1" applyFont="1" applyFill="1" applyBorder="1" applyAlignment="1">
      <alignment vertical="center"/>
    </xf>
    <xf numFmtId="177" fontId="1" fillId="2" borderId="0" xfId="0" applyNumberFormat="1" applyFont="1" applyFill="1" applyBorder="1" applyAlignment="1">
      <alignment vertical="center"/>
    </xf>
    <xf numFmtId="177" fontId="1" fillId="0" borderId="0" xfId="0" applyNumberFormat="1" applyFont="1" applyFill="1" applyBorder="1" applyAlignment="1">
      <alignment vertical="center"/>
    </xf>
    <xf numFmtId="177" fontId="1" fillId="5" borderId="0" xfId="0" applyNumberFormat="1" applyFont="1" applyFill="1" applyBorder="1" applyAlignment="1">
      <alignment vertical="center"/>
    </xf>
    <xf numFmtId="183" fontId="1" fillId="11" borderId="3" xfId="0" applyFont="1" applyFill="1" applyBorder="1" applyAlignment="1">
      <alignment horizontal="left" vertical="center" wrapText="1"/>
    </xf>
    <xf numFmtId="2" fontId="1" fillId="11" borderId="3" xfId="0" applyNumberFormat="1" applyFont="1" applyFill="1" applyBorder="1" applyAlignment="1">
      <alignment horizontal="right" vertical="center"/>
    </xf>
    <xf numFmtId="183" fontId="1" fillId="6" borderId="3" xfId="0" applyFont="1" applyFill="1" applyBorder="1" applyAlignment="1">
      <alignment vertical="center" wrapText="1"/>
    </xf>
    <xf numFmtId="178" fontId="1" fillId="6" borderId="3" xfId="2" applyNumberFormat="1" applyFont="1" applyFill="1" applyBorder="1" applyAlignment="1">
      <alignment horizontal="right" vertical="center"/>
    </xf>
    <xf numFmtId="185" fontId="1" fillId="6" borderId="3" xfId="3" applyNumberFormat="1" applyFont="1" applyFill="1" applyBorder="1" applyAlignment="1">
      <alignment horizontal="center" vertical="center"/>
    </xf>
    <xf numFmtId="1" fontId="1" fillId="6" borderId="3" xfId="3" applyNumberFormat="1" applyFont="1" applyFill="1" applyBorder="1" applyAlignment="1">
      <alignment horizontal="right" vertical="center"/>
    </xf>
    <xf numFmtId="183" fontId="6" fillId="6" borderId="3" xfId="0" applyFont="1" applyFill="1" applyBorder="1" applyAlignment="1">
      <alignment horizontal="center" vertical="center" wrapText="1"/>
    </xf>
    <xf numFmtId="177" fontId="1" fillId="6" borderId="0" xfId="0" applyNumberFormat="1" applyFont="1" applyFill="1" applyBorder="1" applyAlignment="1">
      <alignment vertical="center"/>
    </xf>
    <xf numFmtId="183" fontId="11" fillId="3" borderId="3" xfId="1" applyFont="1" applyFill="1" applyBorder="1" applyAlignment="1">
      <alignment horizontal="center" vertical="center" wrapText="1"/>
    </xf>
    <xf numFmtId="183" fontId="1" fillId="12" borderId="3" xfId="0" applyFont="1" applyFill="1" applyBorder="1" applyAlignment="1">
      <alignment horizontal="center" vertical="center"/>
    </xf>
    <xf numFmtId="183" fontId="1" fillId="12" borderId="3" xfId="0" applyFont="1" applyFill="1" applyBorder="1" applyAlignment="1">
      <alignment horizontal="left" vertical="center"/>
    </xf>
    <xf numFmtId="2" fontId="1" fillId="12" borderId="3" xfId="0" applyNumberFormat="1" applyFont="1" applyFill="1" applyBorder="1" applyAlignment="1">
      <alignment horizontal="right" vertical="center"/>
    </xf>
    <xf numFmtId="183" fontId="13" fillId="0" borderId="61" xfId="1" applyFont="1" applyFill="1" applyBorder="1" applyAlignment="1">
      <alignment horizontal="center" vertical="center" wrapText="1"/>
    </xf>
    <xf numFmtId="178" fontId="1" fillId="0" borderId="0" xfId="0" applyNumberFormat="1" applyFont="1" applyAlignment="1">
      <alignment horizontal="right"/>
    </xf>
    <xf numFmtId="43" fontId="1" fillId="0" borderId="35" xfId="2" applyFont="1" applyBorder="1" applyAlignment="1">
      <alignment horizontal="right" vertical="center"/>
    </xf>
    <xf numFmtId="183" fontId="15" fillId="0" borderId="8" xfId="1" applyFont="1" applyFill="1" applyBorder="1" applyAlignment="1">
      <alignment horizontal="center" vertical="center" wrapText="1"/>
    </xf>
    <xf numFmtId="178" fontId="1" fillId="0" borderId="0" xfId="0" applyNumberFormat="1" applyFont="1" applyAlignment="1"/>
    <xf numFmtId="43" fontId="1" fillId="0" borderId="0" xfId="2" applyFont="1" applyAlignment="1">
      <alignment horizontal="right" vertical="center"/>
    </xf>
    <xf numFmtId="183" fontId="4" fillId="3" borderId="62" xfId="0" applyFont="1" applyFill="1" applyBorder="1" applyAlignment="1"/>
    <xf numFmtId="183" fontId="4" fillId="0" borderId="31" xfId="0" applyFont="1" applyBorder="1" applyAlignment="1">
      <alignment horizontal="left" vertical="center"/>
    </xf>
    <xf numFmtId="183" fontId="4" fillId="3" borderId="63" xfId="0" applyFont="1" applyFill="1" applyBorder="1" applyAlignment="1"/>
    <xf numFmtId="183" fontId="4" fillId="0" borderId="25" xfId="0" applyFont="1" applyBorder="1" applyAlignment="1">
      <alignment horizontal="left" vertical="center"/>
    </xf>
    <xf numFmtId="183" fontId="4" fillId="0" borderId="56" xfId="0" applyFont="1" applyBorder="1" applyAlignment="1">
      <alignment horizontal="left" vertical="center"/>
    </xf>
    <xf numFmtId="183" fontId="4" fillId="0" borderId="31" xfId="0" applyFont="1" applyBorder="1" applyAlignment="1">
      <alignment horizontal="left"/>
    </xf>
    <xf numFmtId="183" fontId="4" fillId="0" borderId="56" xfId="0" applyFont="1" applyBorder="1" applyAlignment="1">
      <alignment horizontal="left"/>
    </xf>
    <xf numFmtId="183" fontId="4" fillId="3" borderId="63" xfId="0" applyFont="1" applyFill="1" applyBorder="1" applyAlignment="1">
      <alignment horizontal="center"/>
    </xf>
    <xf numFmtId="183" fontId="1" fillId="0" borderId="0" xfId="0" applyFont="1" applyFill="1" applyAlignment="1">
      <alignment horizontal="right"/>
    </xf>
    <xf numFmtId="183" fontId="4" fillId="0" borderId="31" xfId="0" applyFont="1" applyBorder="1" applyAlignment="1">
      <alignment horizontal="center" vertical="center"/>
    </xf>
    <xf numFmtId="183" fontId="1" fillId="0" borderId="52" xfId="0" applyFont="1" applyBorder="1" applyAlignment="1">
      <alignment horizontal="center" vertical="center"/>
    </xf>
    <xf numFmtId="183" fontId="4" fillId="0" borderId="25" xfId="0" applyFont="1" applyBorder="1" applyAlignment="1">
      <alignment horizontal="center" vertical="center"/>
    </xf>
    <xf numFmtId="183" fontId="1" fillId="0" borderId="3" xfId="0" applyFont="1" applyBorder="1" applyAlignment="1">
      <alignment horizontal="right" vertical="center"/>
    </xf>
    <xf numFmtId="183" fontId="1" fillId="0" borderId="30" xfId="0" applyFont="1" applyBorder="1" applyAlignment="1">
      <alignment horizontal="center" vertical="center"/>
    </xf>
    <xf numFmtId="2" fontId="4" fillId="0" borderId="0" xfId="0" applyNumberFormat="1" applyFont="1" applyAlignment="1"/>
    <xf numFmtId="183" fontId="1" fillId="0" borderId="34" xfId="0" applyFont="1" applyBorder="1" applyAlignment="1">
      <alignment horizontal="right" vertical="center"/>
    </xf>
    <xf numFmtId="183" fontId="1" fillId="0" borderId="38" xfId="0" applyFont="1" applyBorder="1" applyAlignment="1">
      <alignment horizontal="center" vertical="center"/>
    </xf>
    <xf numFmtId="183" fontId="1" fillId="0" borderId="3" xfId="0" applyFont="1" applyBorder="1" applyAlignment="1">
      <alignment horizontal="center" vertical="center"/>
    </xf>
    <xf numFmtId="183" fontId="4" fillId="3" borderId="66" xfId="0" applyFont="1" applyFill="1" applyBorder="1" applyAlignment="1"/>
    <xf numFmtId="183" fontId="4" fillId="22" borderId="3" xfId="0" applyFont="1" applyFill="1" applyBorder="1" applyAlignment="1">
      <alignment horizontal="left"/>
    </xf>
    <xf numFmtId="178" fontId="4" fillId="0" borderId="0" xfId="0" applyNumberFormat="1" applyFont="1" applyAlignment="1"/>
    <xf numFmtId="178" fontId="5" fillId="0" borderId="0" xfId="0" applyNumberFormat="1" applyFont="1" applyAlignment="1">
      <alignment horizontal="center" vertical="center" wrapText="1"/>
    </xf>
    <xf numFmtId="2" fontId="1" fillId="0" borderId="0" xfId="0" applyNumberFormat="1" applyFont="1" applyAlignment="1">
      <alignment horizontal="right" vertical="center"/>
    </xf>
    <xf numFmtId="43" fontId="4" fillId="0" borderId="0" xfId="0" applyNumberFormat="1" applyFont="1" applyAlignment="1"/>
    <xf numFmtId="183" fontId="4" fillId="0" borderId="0" xfId="0" applyFont="1" applyFill="1" applyAlignment="1">
      <alignment horizontal="center" vertical="center"/>
    </xf>
    <xf numFmtId="183" fontId="0" fillId="2" borderId="0" xfId="0" applyFill="1" applyAlignment="1">
      <alignment horizontal="center" vertical="center"/>
    </xf>
    <xf numFmtId="183" fontId="0" fillId="0" borderId="0" xfId="0" applyFill="1" applyAlignment="1">
      <alignment horizontal="center" vertical="center"/>
    </xf>
    <xf numFmtId="183" fontId="0" fillId="5" borderId="0" xfId="0" applyFill="1" applyAlignment="1">
      <alignment horizontal="center" vertical="center"/>
    </xf>
    <xf numFmtId="183" fontId="0" fillId="10" borderId="0" xfId="0" applyFill="1" applyAlignment="1">
      <alignment horizontal="center" vertical="center"/>
    </xf>
    <xf numFmtId="183" fontId="0" fillId="25" borderId="0" xfId="0" applyFill="1" applyAlignment="1">
      <alignment horizontal="center" vertical="center"/>
    </xf>
    <xf numFmtId="183" fontId="0" fillId="6" borderId="0" xfId="0" applyFill="1" applyAlignment="1">
      <alignment horizontal="center" vertical="center"/>
    </xf>
    <xf numFmtId="183" fontId="0" fillId="23" borderId="0" xfId="0" applyFill="1" applyAlignment="1">
      <alignment horizontal="center" vertical="center"/>
    </xf>
    <xf numFmtId="183" fontId="0" fillId="3" borderId="0" xfId="0" applyFill="1" applyAlignment="1">
      <alignment horizontal="center" vertical="center"/>
    </xf>
    <xf numFmtId="49" fontId="0" fillId="0" borderId="0" xfId="0" applyNumberFormat="1" applyAlignment="1">
      <alignment horizontal="center" vertical="center"/>
    </xf>
    <xf numFmtId="183" fontId="0" fillId="0" borderId="0" xfId="0" applyAlignment="1">
      <alignment horizontal="center" vertical="center"/>
    </xf>
    <xf numFmtId="177" fontId="4" fillId="0" borderId="0" xfId="0" applyNumberFormat="1" applyFont="1" applyAlignment="1">
      <alignment vertical="center"/>
    </xf>
    <xf numFmtId="183" fontId="0" fillId="0" borderId="0" xfId="0" applyAlignment="1">
      <alignment vertical="center"/>
    </xf>
    <xf numFmtId="183" fontId="0" fillId="0" borderId="0" xfId="0" applyAlignment="1">
      <alignment horizontal="left" vertical="center"/>
    </xf>
    <xf numFmtId="183" fontId="0" fillId="22" borderId="0" xfId="0" applyFill="1" applyAlignment="1">
      <alignment horizontal="center" vertical="center"/>
    </xf>
    <xf numFmtId="49" fontId="0" fillId="0" borderId="1" xfId="0" applyNumberFormat="1" applyFont="1" applyBorder="1" applyAlignment="1">
      <alignment horizontal="center" vertical="center" wrapText="1"/>
    </xf>
    <xf numFmtId="183" fontId="0" fillId="0" borderId="2" xfId="0" applyFont="1" applyBorder="1" applyAlignment="1">
      <alignment horizontal="center" vertical="center" wrapText="1"/>
    </xf>
    <xf numFmtId="177" fontId="4" fillId="0" borderId="2" xfId="0" applyNumberFormat="1" applyFont="1" applyBorder="1" applyAlignment="1">
      <alignment vertical="center" wrapText="1"/>
    </xf>
    <xf numFmtId="183" fontId="0" fillId="0" borderId="2" xfId="0" applyBorder="1" applyAlignment="1">
      <alignment vertical="center" wrapText="1"/>
    </xf>
    <xf numFmtId="183" fontId="0" fillId="0" borderId="2" xfId="0" applyBorder="1" applyAlignment="1">
      <alignment horizontal="center" vertical="center" wrapText="1"/>
    </xf>
    <xf numFmtId="183" fontId="0" fillId="0" borderId="5" xfId="0" applyFont="1" applyFill="1" applyBorder="1" applyAlignment="1">
      <alignment horizontal="center" vertical="center" wrapText="1"/>
    </xf>
    <xf numFmtId="14" fontId="5" fillId="0" borderId="3" xfId="0" applyNumberFormat="1" applyFont="1" applyFill="1" applyBorder="1" applyAlignment="1">
      <alignment horizontal="center" vertical="center"/>
    </xf>
    <xf numFmtId="177" fontId="1" fillId="0" borderId="3" xfId="0" applyNumberFormat="1" applyFont="1" applyFill="1" applyBorder="1" applyAlignment="1">
      <alignment vertical="center"/>
    </xf>
    <xf numFmtId="2" fontId="1" fillId="0" borderId="3" xfId="2" applyNumberFormat="1" applyFont="1" applyFill="1" applyBorder="1" applyAlignment="1">
      <alignment vertical="center"/>
    </xf>
    <xf numFmtId="176" fontId="1" fillId="0" borderId="3" xfId="2" applyNumberFormat="1" applyFont="1" applyFill="1" applyBorder="1" applyAlignment="1">
      <alignment vertical="center"/>
    </xf>
    <xf numFmtId="183" fontId="5" fillId="0" borderId="3" xfId="0" applyFont="1" applyFill="1" applyBorder="1" applyAlignment="1">
      <alignment horizontal="left" vertical="center" wrapText="1"/>
    </xf>
    <xf numFmtId="1" fontId="5" fillId="0" borderId="3" xfId="2" applyNumberFormat="1" applyFont="1" applyFill="1" applyBorder="1" applyAlignment="1">
      <alignment horizontal="center" vertical="center"/>
    </xf>
    <xf numFmtId="183" fontId="5" fillId="0" borderId="3" xfId="0" applyFont="1" applyFill="1" applyBorder="1" applyAlignment="1">
      <alignment horizontal="center" vertical="center"/>
    </xf>
    <xf numFmtId="183" fontId="5" fillId="0" borderId="3" xfId="0" applyFont="1" applyBorder="1" applyAlignment="1">
      <alignment horizontal="center" vertical="center"/>
    </xf>
    <xf numFmtId="176" fontId="1" fillId="0" borderId="3" xfId="2" applyNumberFormat="1" applyFont="1" applyBorder="1" applyAlignment="1">
      <alignment vertical="center"/>
    </xf>
    <xf numFmtId="183" fontId="5" fillId="0" borderId="3" xfId="0" applyFont="1" applyBorder="1" applyAlignment="1">
      <alignment horizontal="left" vertical="center" wrapText="1"/>
    </xf>
    <xf numFmtId="49" fontId="5" fillId="0" borderId="3" xfId="0" applyNumberFormat="1" applyFont="1" applyBorder="1" applyAlignment="1">
      <alignment horizontal="center" vertical="center"/>
    </xf>
    <xf numFmtId="177" fontId="1" fillId="0" borderId="3" xfId="0" applyNumberFormat="1" applyFont="1" applyBorder="1" applyAlignment="1">
      <alignment vertical="center"/>
    </xf>
    <xf numFmtId="49" fontId="5" fillId="2" borderId="3" xfId="0" applyNumberFormat="1" applyFont="1" applyFill="1" applyBorder="1" applyAlignment="1">
      <alignment horizontal="center" vertical="center"/>
    </xf>
    <xf numFmtId="183" fontId="5" fillId="2" borderId="3" xfId="0" applyFont="1" applyFill="1" applyBorder="1" applyAlignment="1">
      <alignment horizontal="center" vertical="center"/>
    </xf>
    <xf numFmtId="2" fontId="1" fillId="2" borderId="3" xfId="2" applyNumberFormat="1" applyFont="1" applyFill="1" applyBorder="1" applyAlignment="1">
      <alignment vertical="center"/>
    </xf>
    <xf numFmtId="176" fontId="1" fillId="2" borderId="3" xfId="2" applyNumberFormat="1" applyFont="1" applyFill="1" applyBorder="1" applyAlignment="1">
      <alignment vertical="center"/>
    </xf>
    <xf numFmtId="183" fontId="5" fillId="2" borderId="3" xfId="0" applyFont="1" applyFill="1" applyBorder="1" applyAlignment="1">
      <alignment horizontal="left" vertical="center" wrapText="1"/>
    </xf>
    <xf numFmtId="1" fontId="5" fillId="2" borderId="3" xfId="2" applyNumberFormat="1" applyFont="1" applyFill="1" applyBorder="1" applyAlignment="1">
      <alignment horizontal="center" vertical="center"/>
    </xf>
    <xf numFmtId="183" fontId="0" fillId="0" borderId="34" xfId="0" applyFont="1" applyBorder="1" applyAlignment="1">
      <alignment horizontal="center" vertical="center" wrapText="1"/>
    </xf>
    <xf numFmtId="183" fontId="5" fillId="5" borderId="3" xfId="0" applyFont="1" applyFill="1" applyBorder="1" applyAlignment="1">
      <alignment horizontal="center" vertical="center"/>
    </xf>
    <xf numFmtId="177" fontId="1" fillId="5" borderId="3" xfId="0" applyNumberFormat="1" applyFont="1" applyFill="1" applyBorder="1" applyAlignment="1">
      <alignment vertical="center"/>
    </xf>
    <xf numFmtId="176" fontId="1" fillId="5" borderId="3" xfId="2" applyNumberFormat="1" applyFont="1" applyFill="1" applyBorder="1" applyAlignment="1">
      <alignment vertical="center"/>
    </xf>
    <xf numFmtId="183" fontId="5" fillId="5" borderId="3" xfId="0" applyFont="1" applyFill="1" applyBorder="1" applyAlignment="1">
      <alignment horizontal="left" vertical="center" wrapText="1"/>
    </xf>
    <xf numFmtId="1" fontId="5" fillId="5" borderId="3" xfId="2" applyNumberFormat="1" applyFont="1" applyFill="1" applyBorder="1" applyAlignment="1">
      <alignment horizontal="center" vertical="center"/>
    </xf>
    <xf numFmtId="183" fontId="5" fillId="10" borderId="3" xfId="0" applyFont="1" applyFill="1" applyBorder="1" applyAlignment="1">
      <alignment horizontal="center" vertical="center"/>
    </xf>
    <xf numFmtId="177" fontId="1" fillId="10" borderId="3" xfId="0" applyNumberFormat="1" applyFont="1" applyFill="1" applyBorder="1" applyAlignment="1">
      <alignment vertical="center"/>
    </xf>
    <xf numFmtId="176" fontId="1" fillId="10" borderId="3" xfId="2" applyNumberFormat="1" applyFont="1" applyFill="1" applyBorder="1" applyAlignment="1">
      <alignment vertical="center"/>
    </xf>
    <xf numFmtId="183" fontId="5" fillId="10" borderId="3" xfId="0" applyFont="1" applyFill="1" applyBorder="1" applyAlignment="1">
      <alignment horizontal="left" vertical="center" wrapText="1"/>
    </xf>
    <xf numFmtId="1" fontId="5" fillId="10" borderId="3" xfId="2" applyNumberFormat="1" applyFont="1" applyFill="1" applyBorder="1" applyAlignment="1">
      <alignment horizontal="center" vertical="center"/>
    </xf>
    <xf numFmtId="49" fontId="5" fillId="25" borderId="3" xfId="0" applyNumberFormat="1" applyFont="1" applyFill="1" applyBorder="1" applyAlignment="1">
      <alignment horizontal="center" vertical="center"/>
    </xf>
    <xf numFmtId="183" fontId="5" fillId="25" borderId="3" xfId="0" applyFont="1" applyFill="1" applyBorder="1" applyAlignment="1">
      <alignment horizontal="center" vertical="center"/>
    </xf>
    <xf numFmtId="177" fontId="1" fillId="25" borderId="3" xfId="0" applyNumberFormat="1" applyFont="1" applyFill="1" applyBorder="1" applyAlignment="1">
      <alignment vertical="center"/>
    </xf>
    <xf numFmtId="176" fontId="1" fillId="25" borderId="3" xfId="2" applyNumberFormat="1" applyFont="1" applyFill="1" applyBorder="1" applyAlignment="1">
      <alignment vertical="center"/>
    </xf>
    <xf numFmtId="183" fontId="5" fillId="25" borderId="3" xfId="0" applyFont="1" applyFill="1" applyBorder="1" applyAlignment="1">
      <alignment horizontal="left" vertical="center" wrapText="1"/>
    </xf>
    <xf numFmtId="1" fontId="5" fillId="25" borderId="3" xfId="2" applyNumberFormat="1" applyFont="1" applyFill="1" applyBorder="1" applyAlignment="1">
      <alignment horizontal="center" vertical="center"/>
    </xf>
    <xf numFmtId="183" fontId="5" fillId="6" borderId="3" xfId="0" applyFont="1" applyFill="1" applyBorder="1" applyAlignment="1">
      <alignment horizontal="center" vertical="center"/>
    </xf>
    <xf numFmtId="177" fontId="1" fillId="6" borderId="3" xfId="0" applyNumberFormat="1" applyFont="1" applyFill="1" applyBorder="1" applyAlignment="1">
      <alignment vertical="center"/>
    </xf>
    <xf numFmtId="176" fontId="1" fillId="6" borderId="3" xfId="2" applyNumberFormat="1" applyFont="1" applyFill="1" applyBorder="1" applyAlignment="1">
      <alignment vertical="center"/>
    </xf>
    <xf numFmtId="183" fontId="5" fillId="6" borderId="3" xfId="0" applyFont="1" applyFill="1" applyBorder="1" applyAlignment="1">
      <alignment horizontal="left" vertical="center" wrapText="1"/>
    </xf>
    <xf numFmtId="1" fontId="5" fillId="6" borderId="3" xfId="2" applyNumberFormat="1" applyFont="1" applyFill="1" applyBorder="1" applyAlignment="1">
      <alignment horizontal="center" vertical="center"/>
    </xf>
    <xf numFmtId="183" fontId="5" fillId="23" borderId="3" xfId="0" applyFont="1" applyFill="1" applyBorder="1" applyAlignment="1">
      <alignment horizontal="center" vertical="center"/>
    </xf>
    <xf numFmtId="177" fontId="1" fillId="23" borderId="3" xfId="0" applyNumberFormat="1" applyFont="1" applyFill="1" applyBorder="1" applyAlignment="1">
      <alignment vertical="center"/>
    </xf>
    <xf numFmtId="2" fontId="1" fillId="23" borderId="3" xfId="2" applyNumberFormat="1" applyFont="1" applyFill="1" applyBorder="1" applyAlignment="1">
      <alignment vertical="center"/>
    </xf>
    <xf numFmtId="176" fontId="1" fillId="23" borderId="3" xfId="2" applyNumberFormat="1" applyFont="1" applyFill="1" applyBorder="1" applyAlignment="1">
      <alignment vertical="center"/>
    </xf>
    <xf numFmtId="183" fontId="5" fillId="23" borderId="3" xfId="0" applyFont="1" applyFill="1" applyBorder="1" applyAlignment="1">
      <alignment horizontal="left" vertical="center" wrapText="1"/>
    </xf>
    <xf numFmtId="1" fontId="5" fillId="23" borderId="3" xfId="2" applyNumberFormat="1" applyFont="1" applyFill="1" applyBorder="1" applyAlignment="1">
      <alignment horizontal="center" vertical="center"/>
    </xf>
    <xf numFmtId="183" fontId="1" fillId="10" borderId="3" xfId="0" applyFont="1" applyFill="1" applyBorder="1" applyAlignment="1">
      <alignment horizontal="center" vertical="center"/>
    </xf>
    <xf numFmtId="183" fontId="1" fillId="25" borderId="3" xfId="0" applyFont="1" applyFill="1" applyBorder="1" applyAlignment="1">
      <alignment horizontal="center" vertical="center"/>
    </xf>
    <xf numFmtId="183" fontId="1" fillId="23" borderId="3" xfId="0" applyFont="1" applyFill="1" applyBorder="1" applyAlignment="1">
      <alignment horizontal="center" vertical="center"/>
    </xf>
    <xf numFmtId="2" fontId="1" fillId="6" borderId="3" xfId="2" applyNumberFormat="1" applyFont="1" applyFill="1" applyBorder="1" applyAlignment="1">
      <alignment vertical="center"/>
    </xf>
    <xf numFmtId="0" fontId="5" fillId="0"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177" fontId="1" fillId="3" borderId="3" xfId="2" applyNumberFormat="1" applyFont="1" applyFill="1" applyBorder="1" applyAlignment="1">
      <alignment vertical="center"/>
    </xf>
    <xf numFmtId="2" fontId="1" fillId="3" borderId="3" xfId="2" applyNumberFormat="1" applyFont="1" applyFill="1" applyBorder="1" applyAlignment="1">
      <alignment vertical="center"/>
    </xf>
    <xf numFmtId="1" fontId="5" fillId="22" borderId="3" xfId="2" applyNumberFormat="1" applyFont="1" applyFill="1" applyBorder="1" applyAlignment="1">
      <alignment horizontal="center" vertical="center"/>
    </xf>
    <xf numFmtId="183" fontId="5" fillId="3" borderId="3" xfId="0" applyFont="1" applyFill="1" applyBorder="1" applyAlignment="1">
      <alignment horizontal="center" vertical="center"/>
    </xf>
    <xf numFmtId="177" fontId="4" fillId="0" borderId="0" xfId="0" applyNumberFormat="1" applyFont="1" applyFill="1" applyAlignment="1">
      <alignment vertical="center"/>
    </xf>
    <xf numFmtId="183" fontId="0" fillId="0" borderId="28" xfId="0" applyFill="1" applyBorder="1" applyAlignment="1">
      <alignment horizontal="center" vertical="center"/>
    </xf>
    <xf numFmtId="177" fontId="4" fillId="0" borderId="0" xfId="0" applyNumberFormat="1" applyFont="1" applyAlignment="1">
      <alignment horizontal="center" vertical="center"/>
    </xf>
    <xf numFmtId="177" fontId="0" fillId="0" borderId="0" xfId="0" applyNumberFormat="1" applyAlignment="1">
      <alignment vertical="center"/>
    </xf>
    <xf numFmtId="180" fontId="0" fillId="0" borderId="0" xfId="0" applyNumberFormat="1" applyAlignment="1">
      <alignment vertical="center"/>
    </xf>
    <xf numFmtId="183" fontId="1" fillId="3" borderId="3" xfId="0" applyFont="1" applyFill="1" applyBorder="1" applyAlignment="1">
      <alignment horizontal="center" vertical="center"/>
    </xf>
    <xf numFmtId="183" fontId="0" fillId="5" borderId="0" xfId="0" applyFill="1" applyAlignment="1"/>
    <xf numFmtId="43" fontId="1" fillId="0" borderId="67" xfId="2" applyFont="1" applyFill="1" applyBorder="1" applyAlignment="1">
      <alignment horizontal="right" vertical="center"/>
    </xf>
    <xf numFmtId="49" fontId="5" fillId="5" borderId="0" xfId="0" applyNumberFormat="1" applyFont="1" applyFill="1" applyBorder="1" applyAlignment="1">
      <alignment horizontal="center" vertical="center"/>
    </xf>
    <xf numFmtId="43" fontId="1" fillId="5" borderId="67" xfId="2" applyFont="1" applyFill="1" applyBorder="1" applyAlignment="1">
      <alignment horizontal="right" vertical="center"/>
    </xf>
    <xf numFmtId="49" fontId="1" fillId="0" borderId="0" xfId="0" applyNumberFormat="1" applyFont="1" applyFill="1" applyBorder="1" applyAlignment="1">
      <alignment horizontal="center" vertical="center"/>
    </xf>
    <xf numFmtId="43" fontId="0" fillId="0" borderId="0" xfId="0" applyNumberFormat="1" applyAlignment="1"/>
    <xf numFmtId="183" fontId="0" fillId="0" borderId="0" xfId="0" applyNumberFormat="1" applyAlignment="1"/>
    <xf numFmtId="183" fontId="30" fillId="0" borderId="0" xfId="0" applyFont="1" applyAlignment="1">
      <alignment horizontal="center"/>
    </xf>
    <xf numFmtId="183" fontId="31" fillId="0" borderId="0" xfId="0" applyFont="1" applyAlignment="1">
      <alignment horizontal="center"/>
    </xf>
    <xf numFmtId="183" fontId="32" fillId="0" borderId="0" xfId="0" applyFont="1" applyAlignment="1">
      <alignment horizontal="center"/>
    </xf>
    <xf numFmtId="183" fontId="32" fillId="0" borderId="0" xfId="0" applyNumberFormat="1" applyFont="1" applyAlignment="1">
      <alignment horizontal="center"/>
    </xf>
    <xf numFmtId="183" fontId="0" fillId="0" borderId="0" xfId="0" applyAlignment="1">
      <alignment horizontal="left" wrapText="1"/>
    </xf>
    <xf numFmtId="183" fontId="10" fillId="0" borderId="0" xfId="0" applyFont="1" applyAlignment="1">
      <alignment horizontal="center"/>
    </xf>
    <xf numFmtId="183" fontId="0" fillId="0" borderId="0" xfId="0" applyAlignment="1">
      <alignment horizontal="center"/>
    </xf>
    <xf numFmtId="183" fontId="0" fillId="0" borderId="0" xfId="0" applyAlignment="1">
      <alignment wrapText="1"/>
    </xf>
    <xf numFmtId="183" fontId="1" fillId="0" borderId="48" xfId="0" applyFont="1" applyBorder="1" applyAlignment="1">
      <alignment horizontal="center"/>
    </xf>
    <xf numFmtId="183" fontId="1" fillId="0" borderId="59" xfId="0" applyFont="1" applyBorder="1" applyAlignment="1">
      <alignment horizontal="center"/>
    </xf>
    <xf numFmtId="43" fontId="1" fillId="22" borderId="24" xfId="0" applyNumberFormat="1" applyFont="1" applyFill="1" applyBorder="1" applyAlignment="1">
      <alignment horizontal="center"/>
    </xf>
    <xf numFmtId="43" fontId="1" fillId="22" borderId="25" xfId="0" applyNumberFormat="1" applyFont="1" applyFill="1" applyBorder="1" applyAlignment="1">
      <alignment horizontal="center"/>
    </xf>
    <xf numFmtId="183" fontId="1" fillId="22" borderId="3" xfId="0" applyFont="1" applyFill="1" applyBorder="1" applyAlignment="1">
      <alignment horizontal="center"/>
    </xf>
    <xf numFmtId="43" fontId="1" fillId="0" borderId="24" xfId="2" applyFont="1" applyBorder="1" applyAlignment="1">
      <alignment horizontal="center" vertical="center"/>
    </xf>
    <xf numFmtId="43" fontId="1" fillId="0" borderId="64" xfId="2" applyFont="1" applyBorder="1" applyAlignment="1">
      <alignment horizontal="center" vertical="center"/>
    </xf>
    <xf numFmtId="43" fontId="1" fillId="0" borderId="55" xfId="2" applyFont="1" applyBorder="1" applyAlignment="1">
      <alignment horizontal="center" vertical="center"/>
    </xf>
    <xf numFmtId="43" fontId="1" fillId="0" borderId="65" xfId="2" applyFont="1" applyBorder="1" applyAlignment="1">
      <alignment horizontal="center" vertical="center"/>
    </xf>
    <xf numFmtId="183" fontId="1" fillId="0" borderId="40" xfId="0" applyFont="1" applyBorder="1" applyAlignment="1">
      <alignment horizontal="center"/>
    </xf>
    <xf numFmtId="183" fontId="1" fillId="0" borderId="52" xfId="0" applyFont="1" applyBorder="1" applyAlignment="1">
      <alignment horizontal="center"/>
    </xf>
    <xf numFmtId="183" fontId="27" fillId="0" borderId="0" xfId="0" applyFont="1" applyAlignment="1">
      <alignment vertical="center"/>
    </xf>
    <xf numFmtId="14" fontId="28" fillId="0" borderId="0" xfId="0" applyNumberFormat="1" applyFont="1" applyAlignment="1">
      <alignment horizontal="left" vertical="center"/>
    </xf>
    <xf numFmtId="183" fontId="4" fillId="0" borderId="0" xfId="0" applyFont="1" applyAlignment="1">
      <alignment horizontal="left" vertical="center"/>
    </xf>
    <xf numFmtId="43" fontId="1" fillId="0" borderId="40" xfId="2" applyFont="1" applyBorder="1" applyAlignment="1">
      <alignment horizontal="center" vertical="center"/>
    </xf>
    <xf numFmtId="43" fontId="1" fillId="0" borderId="52" xfId="2" applyFont="1" applyBorder="1" applyAlignment="1">
      <alignment horizontal="center" vertical="center"/>
    </xf>
    <xf numFmtId="179" fontId="7" fillId="7" borderId="34" xfId="0" applyNumberFormat="1" applyFont="1" applyFill="1" applyBorder="1" applyAlignment="1">
      <alignment horizontal="center" vertical="center" wrapText="1"/>
    </xf>
    <xf numFmtId="179" fontId="7" fillId="7" borderId="28" xfId="0" applyNumberFormat="1" applyFont="1" applyFill="1" applyBorder="1" applyAlignment="1">
      <alignment horizontal="center" vertical="center" wrapText="1"/>
    </xf>
    <xf numFmtId="179" fontId="7" fillId="7" borderId="32" xfId="0" applyNumberFormat="1" applyFont="1" applyFill="1" applyBorder="1" applyAlignment="1">
      <alignment horizontal="center" vertical="center" wrapText="1"/>
    </xf>
    <xf numFmtId="179" fontId="7" fillId="7" borderId="35" xfId="0" applyNumberFormat="1" applyFont="1" applyFill="1" applyBorder="1" applyAlignment="1">
      <alignment horizontal="center" vertical="center" wrapText="1"/>
    </xf>
    <xf numFmtId="183" fontId="7" fillId="7" borderId="33" xfId="0" applyFont="1" applyFill="1" applyBorder="1" applyAlignment="1">
      <alignment horizontal="center" vertical="center" wrapText="1"/>
    </xf>
    <xf numFmtId="183" fontId="7" fillId="7" borderId="36" xfId="0" applyFont="1" applyFill="1" applyBorder="1" applyAlignment="1">
      <alignment horizontal="center" vertical="center" wrapText="1"/>
    </xf>
    <xf numFmtId="183" fontId="7" fillId="7" borderId="37" xfId="0" applyFont="1" applyFill="1" applyBorder="1" applyAlignment="1">
      <alignment horizontal="center" vertical="center" wrapText="1"/>
    </xf>
    <xf numFmtId="179" fontId="7" fillId="7" borderId="24" xfId="0" applyNumberFormat="1" applyFont="1" applyFill="1" applyBorder="1" applyAlignment="1">
      <alignment horizontal="center" vertical="center" wrapText="1"/>
    </xf>
    <xf numFmtId="179" fontId="7" fillId="7" borderId="25" xfId="0" applyNumberFormat="1" applyFont="1" applyFill="1" applyBorder="1" applyAlignment="1">
      <alignment horizontal="center" vertical="center" wrapText="1"/>
    </xf>
    <xf numFmtId="179" fontId="7" fillId="7" borderId="3" xfId="0" applyNumberFormat="1" applyFont="1" applyFill="1" applyBorder="1" applyAlignment="1">
      <alignment horizontal="center" vertical="center" wrapText="1"/>
    </xf>
    <xf numFmtId="183" fontId="10" fillId="0" borderId="0" xfId="0" applyFont="1" applyAlignment="1">
      <alignment horizontal="center" vertical="center"/>
    </xf>
    <xf numFmtId="183" fontId="1" fillId="0" borderId="54" xfId="0" applyFont="1" applyBorder="1" applyAlignment="1">
      <alignment vertical="center"/>
    </xf>
    <xf numFmtId="183" fontId="1" fillId="0" borderId="24" xfId="0" applyFont="1" applyBorder="1" applyAlignment="1">
      <alignment horizontal="center" vertical="center" wrapText="1"/>
    </xf>
    <xf numFmtId="183" fontId="1" fillId="0" borderId="25" xfId="0" applyFont="1" applyBorder="1" applyAlignment="1">
      <alignment horizontal="center" vertical="center" wrapText="1"/>
    </xf>
    <xf numFmtId="183" fontId="1" fillId="0" borderId="55" xfId="0" applyFont="1" applyBorder="1" applyAlignment="1">
      <alignment horizontal="center" vertical="center" wrapText="1"/>
    </xf>
    <xf numFmtId="183" fontId="1" fillId="0" borderId="56" xfId="0" applyFont="1" applyBorder="1" applyAlignment="1">
      <alignment horizontal="center" vertical="center" wrapText="1"/>
    </xf>
    <xf numFmtId="183" fontId="7" fillId="7" borderId="39" xfId="0" applyFont="1" applyFill="1" applyBorder="1" applyAlignment="1">
      <alignment horizontal="center" vertical="center" wrapText="1"/>
    </xf>
    <xf numFmtId="183" fontId="0" fillId="0" borderId="40" xfId="0" applyBorder="1" applyAlignment="1"/>
    <xf numFmtId="183" fontId="7" fillId="7" borderId="18" xfId="0" applyFont="1" applyFill="1" applyBorder="1" applyAlignment="1">
      <alignment horizontal="center" vertical="center" wrapText="1"/>
    </xf>
    <xf numFmtId="183" fontId="7" fillId="7" borderId="17" xfId="0" applyFont="1" applyFill="1" applyBorder="1" applyAlignment="1">
      <alignment horizontal="center" vertical="center" wrapText="1"/>
    </xf>
    <xf numFmtId="179" fontId="7" fillId="7" borderId="20" xfId="0" applyNumberFormat="1" applyFont="1" applyFill="1" applyBorder="1" applyAlignment="1">
      <alignment horizontal="center" vertical="center" wrapText="1"/>
    </xf>
    <xf numFmtId="179" fontId="7" fillId="7" borderId="21" xfId="0" applyNumberFormat="1" applyFont="1" applyFill="1" applyBorder="1" applyAlignment="1">
      <alignment horizontal="center" vertical="center" wrapText="1"/>
    </xf>
    <xf numFmtId="179" fontId="7" fillId="7" borderId="31" xfId="0" applyNumberFormat="1" applyFont="1" applyFill="1" applyBorder="1" applyAlignment="1">
      <alignment horizontal="center" vertical="center" wrapText="1"/>
    </xf>
    <xf numFmtId="183" fontId="1" fillId="20" borderId="22" xfId="6" applyFont="1" applyFill="1" applyBorder="1" applyAlignment="1">
      <alignment horizontal="center" vertical="center" wrapText="1"/>
    </xf>
    <xf numFmtId="183" fontId="1" fillId="20" borderId="23" xfId="6" applyFont="1" applyFill="1" applyBorder="1" applyAlignment="1">
      <alignment horizontal="center" vertical="center" wrapText="1"/>
    </xf>
    <xf numFmtId="183" fontId="1" fillId="20" borderId="46" xfId="6" applyFont="1" applyFill="1" applyBorder="1" applyAlignment="1">
      <alignment horizontal="center" vertical="center" wrapText="1"/>
    </xf>
    <xf numFmtId="183" fontId="1" fillId="20" borderId="47" xfId="6" applyFont="1" applyFill="1" applyBorder="1" applyAlignment="1">
      <alignment horizontal="center" vertical="center" wrapText="1"/>
    </xf>
    <xf numFmtId="183" fontId="1" fillId="0" borderId="44" xfId="6" applyFont="1" applyBorder="1" applyAlignment="1">
      <alignment horizontal="center" vertical="center" wrapText="1"/>
    </xf>
    <xf numFmtId="183" fontId="1" fillId="0" borderId="45" xfId="6" applyFont="1" applyBorder="1" applyAlignment="1">
      <alignment horizontal="center" vertical="center" wrapText="1"/>
    </xf>
    <xf numFmtId="183" fontId="1" fillId="0" borderId="22" xfId="6" applyFont="1" applyBorder="1" applyAlignment="1">
      <alignment horizontal="center" vertical="center" wrapText="1"/>
    </xf>
    <xf numFmtId="183" fontId="1" fillId="0" borderId="23" xfId="6" applyFont="1" applyBorder="1" applyAlignment="1">
      <alignment horizontal="center" vertical="center" wrapText="1"/>
    </xf>
    <xf numFmtId="183" fontId="1" fillId="0" borderId="26" xfId="6" applyFont="1" applyBorder="1" applyAlignment="1">
      <alignment horizontal="center" vertical="center" wrapText="1"/>
    </xf>
    <xf numFmtId="183" fontId="1" fillId="0" borderId="27" xfId="6" applyFont="1" applyBorder="1" applyAlignment="1">
      <alignment horizontal="center" vertical="center" wrapText="1"/>
    </xf>
    <xf numFmtId="183" fontId="1" fillId="0" borderId="3" xfId="6" applyFont="1" applyBorder="1" applyAlignment="1">
      <alignment horizontal="center" vertical="center" wrapText="1"/>
    </xf>
    <xf numFmtId="182" fontId="1" fillId="20" borderId="24" xfId="6" applyNumberFormat="1" applyFont="1" applyFill="1" applyBorder="1" applyAlignment="1">
      <alignment horizontal="center" vertical="center" wrapText="1"/>
    </xf>
    <xf numFmtId="182" fontId="1" fillId="20" borderId="25" xfId="6" applyNumberFormat="1" applyFont="1" applyFill="1" applyBorder="1" applyAlignment="1">
      <alignment horizontal="center" vertical="center" wrapText="1"/>
    </xf>
    <xf numFmtId="183" fontId="1" fillId="20" borderId="48" xfId="6" applyFont="1" applyFill="1" applyBorder="1" applyAlignment="1">
      <alignment horizontal="center" vertical="center" wrapText="1"/>
    </xf>
    <xf numFmtId="183" fontId="1" fillId="0" borderId="42" xfId="6" applyFont="1" applyBorder="1" applyAlignment="1">
      <alignment horizontal="center" vertical="center" wrapText="1"/>
    </xf>
    <xf numFmtId="183" fontId="1" fillId="0" borderId="43" xfId="6" applyFont="1" applyBorder="1" applyAlignment="1">
      <alignment horizontal="center" vertical="center" wrapText="1"/>
    </xf>
    <xf numFmtId="183" fontId="1" fillId="19" borderId="3" xfId="6" applyFont="1" applyFill="1" applyBorder="1" applyAlignment="1">
      <alignment horizontal="center" vertical="center" wrapText="1"/>
    </xf>
    <xf numFmtId="183" fontId="23" fillId="0" borderId="34" xfId="6" applyFont="1" applyFill="1" applyBorder="1" applyAlignment="1">
      <alignment horizontal="center" vertical="center" wrapText="1"/>
    </xf>
    <xf numFmtId="183" fontId="22" fillId="0" borderId="35" xfId="6" applyFont="1" applyFill="1" applyBorder="1" applyAlignment="1">
      <alignment horizontal="center" vertical="center" wrapText="1"/>
    </xf>
    <xf numFmtId="183" fontId="22" fillId="0" borderId="28" xfId="6" applyFont="1" applyFill="1" applyBorder="1" applyAlignment="1">
      <alignment horizontal="center" vertical="center" wrapText="1"/>
    </xf>
    <xf numFmtId="183" fontId="23" fillId="19" borderId="34" xfId="6" applyFont="1" applyFill="1" applyBorder="1" applyAlignment="1">
      <alignment horizontal="center" vertical="center" wrapText="1"/>
    </xf>
    <xf numFmtId="183" fontId="22" fillId="19" borderId="35" xfId="6" applyFont="1" applyFill="1" applyBorder="1" applyAlignment="1">
      <alignment horizontal="center" vertical="center" wrapText="1"/>
    </xf>
    <xf numFmtId="183" fontId="22" fillId="19" borderId="28" xfId="6" applyFont="1" applyFill="1" applyBorder="1" applyAlignment="1">
      <alignment horizontal="center" vertical="center" wrapText="1"/>
    </xf>
    <xf numFmtId="183" fontId="1" fillId="0" borderId="41" xfId="6" applyFont="1" applyBorder="1" applyAlignment="1">
      <alignment horizontal="center" vertical="center" wrapText="1"/>
    </xf>
    <xf numFmtId="183" fontId="1" fillId="0" borderId="24" xfId="6" applyFont="1" applyBorder="1" applyAlignment="1">
      <alignment horizontal="center" vertical="center" wrapText="1"/>
    </xf>
    <xf numFmtId="183" fontId="1" fillId="0" borderId="25" xfId="6" applyFont="1" applyBorder="1" applyAlignment="1">
      <alignment horizontal="center" vertical="center" wrapText="1"/>
    </xf>
    <xf numFmtId="182" fontId="1" fillId="19" borderId="24" xfId="6" applyNumberFormat="1" applyFont="1" applyFill="1" applyBorder="1" applyAlignment="1">
      <alignment horizontal="center" vertical="center" wrapText="1"/>
    </xf>
    <xf numFmtId="182" fontId="1" fillId="19" borderId="25" xfId="6" applyNumberFormat="1" applyFont="1" applyFill="1" applyBorder="1" applyAlignment="1">
      <alignment horizontal="center" vertical="center" wrapText="1"/>
    </xf>
    <xf numFmtId="183" fontId="1" fillId="19" borderId="24" xfId="6" applyFont="1" applyFill="1" applyBorder="1" applyAlignment="1">
      <alignment horizontal="center" vertical="center" wrapText="1"/>
    </xf>
    <xf numFmtId="183" fontId="1" fillId="19" borderId="25" xfId="6" applyFont="1" applyFill="1" applyBorder="1" applyAlignment="1">
      <alignment horizontal="center" vertical="center" wrapText="1"/>
    </xf>
    <xf numFmtId="183" fontId="1" fillId="0" borderId="20" xfId="6" applyFont="1" applyBorder="1" applyAlignment="1">
      <alignment horizontal="center" vertical="center" wrapText="1"/>
    </xf>
    <xf numFmtId="183" fontId="1" fillId="0" borderId="21" xfId="6" applyFont="1" applyBorder="1" applyAlignment="1">
      <alignment horizontal="center" vertical="center" wrapText="1"/>
    </xf>
    <xf numFmtId="183" fontId="1" fillId="0" borderId="31" xfId="6" applyFont="1" applyBorder="1" applyAlignment="1">
      <alignment horizontal="center" vertical="center" wrapText="1"/>
    </xf>
    <xf numFmtId="183" fontId="22" fillId="0" borderId="42" xfId="6" applyFont="1" applyFill="1" applyBorder="1" applyAlignment="1">
      <alignment horizontal="center" vertical="center" wrapText="1"/>
    </xf>
    <xf numFmtId="183" fontId="22" fillId="0" borderId="34" xfId="6" applyFont="1" applyFill="1" applyBorder="1" applyAlignment="1">
      <alignment horizontal="center" vertical="center" wrapText="1"/>
    </xf>
    <xf numFmtId="57" fontId="1" fillId="0" borderId="40" xfId="6" applyNumberFormat="1" applyFont="1" applyBorder="1" applyAlignment="1">
      <alignment horizontal="center" vertical="center" wrapText="1"/>
    </xf>
    <xf numFmtId="183" fontId="1" fillId="0" borderId="40" xfId="6" applyFont="1" applyBorder="1" applyAlignment="1">
      <alignment horizontal="center" vertical="center" wrapText="1"/>
    </xf>
    <xf numFmtId="183" fontId="19" fillId="0" borderId="0" xfId="0" applyFont="1" applyAlignment="1">
      <alignment horizontal="center"/>
    </xf>
    <xf numFmtId="179" fontId="7" fillId="6" borderId="32" xfId="0" applyNumberFormat="1" applyFont="1" applyFill="1" applyBorder="1" applyAlignment="1">
      <alignment horizontal="center" vertical="center" wrapText="1"/>
    </xf>
    <xf numFmtId="179" fontId="7" fillId="6" borderId="35" xfId="0" applyNumberFormat="1" applyFont="1" applyFill="1" applyBorder="1" applyAlignment="1">
      <alignment horizontal="center" vertical="center" wrapText="1"/>
    </xf>
    <xf numFmtId="183" fontId="7" fillId="6" borderId="33" xfId="0" applyFont="1" applyFill="1" applyBorder="1" applyAlignment="1">
      <alignment horizontal="center" vertical="center" wrapText="1"/>
    </xf>
    <xf numFmtId="183" fontId="7" fillId="6" borderId="36" xfId="0" applyFont="1" applyFill="1" applyBorder="1" applyAlignment="1">
      <alignment horizontal="center" vertical="center" wrapText="1"/>
    </xf>
    <xf numFmtId="177" fontId="7" fillId="0" borderId="34" xfId="2" applyNumberFormat="1" applyFont="1" applyBorder="1" applyAlignment="1">
      <alignment horizontal="center" wrapText="1"/>
    </xf>
    <xf numFmtId="177" fontId="7" fillId="0" borderId="28" xfId="2" applyNumberFormat="1" applyFont="1" applyBorder="1" applyAlignment="1">
      <alignment horizontal="center" wrapText="1"/>
    </xf>
    <xf numFmtId="183" fontId="7" fillId="6" borderId="16" xfId="0" applyFont="1" applyFill="1" applyBorder="1" applyAlignment="1">
      <alignment horizontal="center" vertical="center" wrapText="1"/>
    </xf>
    <xf numFmtId="183" fontId="7" fillId="6" borderId="17" xfId="0" applyFont="1" applyFill="1" applyBorder="1" applyAlignment="1">
      <alignment horizontal="center" vertical="center" wrapText="1"/>
    </xf>
    <xf numFmtId="183" fontId="7" fillId="6" borderId="22" xfId="0" applyFont="1" applyFill="1" applyBorder="1" applyAlignment="1">
      <alignment horizontal="center" vertical="center" wrapText="1"/>
    </xf>
    <xf numFmtId="183" fontId="7" fillId="6" borderId="23" xfId="0" applyFont="1" applyFill="1" applyBorder="1" applyAlignment="1">
      <alignment horizontal="center" vertical="center" wrapText="1"/>
    </xf>
    <xf numFmtId="183" fontId="7" fillId="6" borderId="18" xfId="0" applyFont="1" applyFill="1" applyBorder="1" applyAlignment="1">
      <alignment horizontal="center" vertical="center" wrapText="1"/>
    </xf>
    <xf numFmtId="179" fontId="7" fillId="6" borderId="20" xfId="0" applyNumberFormat="1" applyFont="1" applyFill="1" applyBorder="1" applyAlignment="1">
      <alignment horizontal="center" vertical="center" wrapText="1"/>
    </xf>
    <xf numFmtId="179" fontId="7" fillId="6" borderId="21" xfId="0" applyNumberFormat="1" applyFont="1" applyFill="1" applyBorder="1" applyAlignment="1">
      <alignment horizontal="center" vertical="center" wrapText="1"/>
    </xf>
    <xf numFmtId="179" fontId="7" fillId="6" borderId="31" xfId="0" applyNumberFormat="1" applyFont="1" applyFill="1" applyBorder="1" applyAlignment="1">
      <alignment horizontal="center" vertical="center" wrapText="1"/>
    </xf>
    <xf numFmtId="179" fontId="7" fillId="6" borderId="24" xfId="0" applyNumberFormat="1" applyFont="1" applyFill="1" applyBorder="1" applyAlignment="1">
      <alignment horizontal="center" vertical="center" wrapText="1"/>
    </xf>
    <xf numFmtId="179" fontId="7" fillId="6" borderId="25" xfId="0" applyNumberFormat="1" applyFont="1" applyFill="1" applyBorder="1" applyAlignment="1">
      <alignment horizontal="center" vertical="center" wrapText="1"/>
    </xf>
    <xf numFmtId="179" fontId="7" fillId="6" borderId="3" xfId="0" applyNumberFormat="1" applyFont="1" applyFill="1" applyBorder="1" applyAlignment="1">
      <alignment horizontal="center" vertical="center" wrapText="1"/>
    </xf>
    <xf numFmtId="179" fontId="7" fillId="6" borderId="34" xfId="0" applyNumberFormat="1" applyFont="1" applyFill="1" applyBorder="1" applyAlignment="1">
      <alignment horizontal="center" vertical="center" wrapText="1"/>
    </xf>
    <xf numFmtId="179" fontId="7" fillId="6" borderId="28" xfId="0" applyNumberFormat="1" applyFont="1" applyFill="1" applyBorder="1" applyAlignment="1">
      <alignment horizontal="center" vertical="center" wrapText="1"/>
    </xf>
    <xf numFmtId="183" fontId="7" fillId="6" borderId="37" xfId="0" applyFont="1" applyFill="1" applyBorder="1" applyAlignment="1">
      <alignment horizontal="center" vertical="center" wrapText="1"/>
    </xf>
    <xf numFmtId="183" fontId="7" fillId="6" borderId="26" xfId="0" applyFont="1" applyFill="1" applyBorder="1" applyAlignment="1">
      <alignment horizontal="center" vertical="center" wrapText="1"/>
    </xf>
    <xf numFmtId="183" fontId="7" fillId="6" borderId="27" xfId="0" applyFont="1" applyFill="1" applyBorder="1" applyAlignment="1">
      <alignment horizontal="center" vertical="center" wrapText="1"/>
    </xf>
    <xf numFmtId="183" fontId="10" fillId="0" borderId="6" xfId="0" applyFont="1" applyBorder="1" applyAlignment="1">
      <alignment horizontal="center" vertical="center"/>
    </xf>
    <xf numFmtId="183" fontId="1" fillId="0" borderId="7" xfId="0" applyFont="1" applyBorder="1" applyAlignment="1">
      <alignment vertical="center"/>
    </xf>
    <xf numFmtId="183" fontId="2" fillId="0" borderId="0" xfId="0" applyFont="1" applyAlignment="1">
      <alignment horizontal="center"/>
    </xf>
  </cellXfs>
  <cellStyles count="7">
    <cellStyle name="百分比" xfId="3" builtinId="5"/>
    <cellStyle name="常规" xfId="0" builtinId="0"/>
    <cellStyle name="常规 2" xfId="6"/>
    <cellStyle name="常规 2 2" xfId="4"/>
    <cellStyle name="常规_北辰项目经济指标测算05.3.4测算ok" xfId="1"/>
    <cellStyle name="常规_王村地块财务指标测算08.4.3改管理费用" xfId="5"/>
    <cellStyle name="千位分隔" xfId="2" builtinId="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zh-CN"/>
              <a:t>备注</a:t>
            </a:r>
          </a:p>
        </c:rich>
      </c:tx>
      <c:overlay val="0"/>
      <c:spPr>
        <a:noFill/>
        <a:ln>
          <a:noFill/>
        </a:ln>
      </c:spPr>
    </c:title>
    <c:autoTitleDeleted val="0"/>
    <c:plotArea>
      <c:layout/>
      <c:barChart>
        <c:barDir val="col"/>
        <c:grouping val="clustered"/>
        <c:varyColors val="0"/>
        <c:ser>
          <c:idx val="0"/>
          <c:order val="0"/>
          <c:tx>
            <c:strRef>
              <c:f>拨款台帐!$I$1</c:f>
              <c:strCache>
                <c:ptCount val="1"/>
                <c:pt idx="0">
                  <c:v>备注</c:v>
                </c:pt>
              </c:strCache>
            </c:strRef>
          </c:tx>
          <c:spPr>
            <a:solidFill>
              <a:srgbClr val="4F81BD"/>
            </a:solidFill>
            <a:ln>
              <a:noFill/>
            </a:ln>
          </c:spPr>
          <c:invertIfNegative val="0"/>
          <c:cat>
            <c:strRef>
              <c:f>拨款台帐!$A$2:$H$2</c:f>
              <c:strCache>
                <c:ptCount val="8"/>
                <c:pt idx="0">
                  <c:v>JXA-001</c:v>
                </c:pt>
                <c:pt idx="1">
                  <c:v>2013.7.5</c:v>
                </c:pt>
                <c:pt idx="2">
                  <c:v>12055.17 </c:v>
                </c:pt>
                <c:pt idx="3">
                  <c:v>12055.17</c:v>
                </c:pt>
                <c:pt idx="4">
                  <c:v>0.00</c:v>
                </c:pt>
                <c:pt idx="5">
                  <c:v>南郡蓝山核定用地图合同</c:v>
                </c:pt>
                <c:pt idx="6">
                  <c:v>天津市蓟县测绘队</c:v>
                </c:pt>
                <c:pt idx="7">
                  <c:v>FK1</c:v>
                </c:pt>
              </c:strCache>
            </c:strRef>
          </c:cat>
          <c:val>
            <c:numRef>
              <c:f>拨款台帐!$I$2:$I$2</c:f>
              <c:numCache>
                <c:formatCode>[DBNum1][$-804]yyyy"年"m"月"d"日"</c:formatCode>
                <c:ptCount val="1"/>
                <c:pt idx="0">
                  <c:v>0</c:v>
                </c:pt>
              </c:numCache>
            </c:numRef>
          </c:val>
        </c:ser>
        <c:dLbls>
          <c:showLegendKey val="0"/>
          <c:showVal val="0"/>
          <c:showCatName val="0"/>
          <c:showSerName val="0"/>
          <c:showPercent val="0"/>
          <c:showBubbleSize val="0"/>
        </c:dLbls>
        <c:gapWidth val="150"/>
        <c:axId val="442184400"/>
        <c:axId val="442184944"/>
      </c:barChart>
      <c:catAx>
        <c:axId val="442184400"/>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442184944"/>
        <c:crosses val="autoZero"/>
        <c:auto val="0"/>
        <c:lblAlgn val="ctr"/>
        <c:lblOffset val="100"/>
        <c:tickLblSkip val="1"/>
        <c:noMultiLvlLbl val="0"/>
      </c:catAx>
      <c:valAx>
        <c:axId val="442184944"/>
        <c:scaling>
          <c:orientation val="minMax"/>
        </c:scaling>
        <c:delete val="0"/>
        <c:axPos val="l"/>
        <c:majorGridlines>
          <c:spPr>
            <a:ln w="3175" cap="flat" cmpd="sng" algn="ctr">
              <a:solidFill>
                <a:srgbClr val="000000"/>
              </a:solidFill>
              <a:prstDash val="solid"/>
              <a:round/>
            </a:ln>
          </c:spPr>
        </c:majorGridlines>
        <c:numFmt formatCode="[DBNum1][$-804]yyyy&quot;年&quot;m&quot;月&quot;d&quot;日&quot;"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442184400"/>
        <c:crosses val="autoZero"/>
        <c:crossBetween val="between"/>
      </c:valAx>
      <c:spPr>
        <a:solidFill>
          <a:srgbClr val="FFFFFF"/>
        </a:solidFill>
        <a:ln>
          <a:noFill/>
        </a:ln>
      </c:spPr>
    </c:plotArea>
    <c:legend>
      <c:legendPos val="r"/>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276225</xdr:colOff>
      <xdr:row>30</xdr:row>
      <xdr:rowOff>171450</xdr:rowOff>
    </xdr:to>
    <xdr:graphicFrame macro="">
      <xdr:nvGraphicFramePr>
        <xdr:cNvPr id="4097"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zoomScale="90" zoomScaleNormal="90" workbookViewId="0">
      <selection sqref="A1:M1"/>
    </sheetView>
  </sheetViews>
  <sheetFormatPr defaultColWidth="9" defaultRowHeight="14.25"/>
  <cols>
    <col min="1" max="1" width="11.625" customWidth="1"/>
    <col min="7" max="7" width="25" customWidth="1"/>
  </cols>
  <sheetData>
    <row r="1" spans="1:13" ht="142.5" customHeight="1">
      <c r="A1" s="712" t="s">
        <v>0</v>
      </c>
      <c r="B1" s="713"/>
      <c r="C1" s="713"/>
      <c r="D1" s="713"/>
      <c r="E1" s="713"/>
      <c r="F1" s="713"/>
      <c r="G1" s="713"/>
      <c r="H1" s="713"/>
      <c r="I1" s="713"/>
      <c r="J1" s="713"/>
      <c r="K1" s="713"/>
      <c r="L1" s="713"/>
      <c r="M1" s="713"/>
    </row>
    <row r="2" spans="1:13" ht="114" customHeight="1">
      <c r="A2" s="714" t="s">
        <v>1</v>
      </c>
      <c r="B2" s="714"/>
      <c r="C2" s="714"/>
      <c r="D2" s="714"/>
      <c r="E2" s="714"/>
      <c r="F2" s="714"/>
      <c r="G2" s="714"/>
      <c r="H2" s="714"/>
      <c r="I2" s="714"/>
      <c r="J2" s="714"/>
      <c r="K2" s="714"/>
      <c r="L2" s="714"/>
      <c r="M2" s="714"/>
    </row>
    <row r="3" spans="1:13" ht="31.5" customHeight="1">
      <c r="A3" s="714" t="s">
        <v>2</v>
      </c>
      <c r="B3" s="714"/>
      <c r="C3" s="714"/>
      <c r="D3" s="714"/>
      <c r="E3" s="714"/>
      <c r="F3" s="714"/>
      <c r="G3" s="714"/>
      <c r="H3" s="714"/>
      <c r="I3" s="714"/>
      <c r="J3" s="714"/>
      <c r="K3" s="714"/>
      <c r="L3" s="714"/>
      <c r="M3" s="714"/>
    </row>
    <row r="4" spans="1:13" ht="33" customHeight="1">
      <c r="A4" s="715" t="s">
        <v>3</v>
      </c>
      <c r="B4" s="715"/>
      <c r="C4" s="715"/>
      <c r="D4" s="715"/>
      <c r="E4" s="715"/>
      <c r="F4" s="715"/>
      <c r="G4" s="715"/>
      <c r="H4" s="715"/>
      <c r="I4" s="715"/>
      <c r="J4" s="715"/>
      <c r="K4" s="715"/>
      <c r="L4" s="715"/>
      <c r="M4" s="715"/>
    </row>
    <row r="5" spans="1:13">
      <c r="G5" s="711"/>
    </row>
  </sheetData>
  <mergeCells count="4">
    <mergeCell ref="A1:M1"/>
    <mergeCell ref="A2:M2"/>
    <mergeCell ref="A3:M3"/>
    <mergeCell ref="A4:M4"/>
  </mergeCells>
  <phoneticPr fontId="40" type="noConversion"/>
  <pageMargins left="0.75" right="0.75" top="1" bottom="1" header="0.5" footer="0.5"/>
  <pageSetup paperSize="9" orientation="landscape" useFirstPageNumber="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abSelected="1" workbookViewId="0">
      <pane xSplit="2" ySplit="5" topLeftCell="F160" activePane="bottomRight" state="frozen"/>
      <selection pane="topRight"/>
      <selection pane="bottomLeft"/>
      <selection pane="bottomRight" activeCell="N168" sqref="N168"/>
    </sheetView>
  </sheetViews>
  <sheetFormatPr defaultColWidth="8.875" defaultRowHeight="14.25" outlineLevelRow="2"/>
  <cols>
    <col min="2" max="2" width="20.375" customWidth="1"/>
    <col min="3" max="3" width="9.5" customWidth="1"/>
    <col min="4" max="5" width="12.625" customWidth="1"/>
    <col min="6" max="6" width="13.875" customWidth="1"/>
    <col min="7" max="9" width="9" customWidth="1"/>
    <col min="10" max="10" width="12.125" customWidth="1"/>
    <col min="11" max="11" width="9" customWidth="1"/>
    <col min="12" max="12" width="11.125" customWidth="1"/>
    <col min="13" max="13" width="9" style="200" customWidth="1"/>
    <col min="14" max="14" width="11.375" customWidth="1"/>
    <col min="15" max="15" width="10.625" customWidth="1"/>
    <col min="16" max="16" width="18" style="12" customWidth="1"/>
  </cols>
  <sheetData>
    <row r="1" spans="1:17" s="200" customFormat="1" ht="22.5">
      <c r="A1" s="796" t="s">
        <v>1516</v>
      </c>
      <c r="B1" s="796"/>
      <c r="C1" s="796"/>
      <c r="D1" s="796"/>
      <c r="E1" s="796"/>
      <c r="F1" s="796"/>
      <c r="G1" s="796"/>
      <c r="H1" s="796"/>
      <c r="I1" s="796"/>
      <c r="J1" s="796"/>
      <c r="K1" s="796"/>
      <c r="L1" s="796"/>
      <c r="M1" s="796"/>
      <c r="N1" s="796"/>
      <c r="O1" s="796"/>
      <c r="P1" s="796"/>
      <c r="Q1" s="796"/>
    </row>
    <row r="3" spans="1:17" s="201" customFormat="1" ht="28.5" customHeight="1">
      <c r="A3" s="803" t="s">
        <v>996</v>
      </c>
      <c r="B3" s="804"/>
      <c r="C3" s="807" t="s">
        <v>1270</v>
      </c>
      <c r="D3" s="804"/>
      <c r="E3" s="203" t="s">
        <v>1271</v>
      </c>
      <c r="F3" s="808" t="s">
        <v>998</v>
      </c>
      <c r="G3" s="809"/>
      <c r="H3" s="809"/>
      <c r="I3" s="809"/>
      <c r="J3" s="809"/>
      <c r="K3" s="810"/>
      <c r="L3" s="808" t="s">
        <v>999</v>
      </c>
      <c r="M3" s="810"/>
      <c r="N3" s="797" t="s">
        <v>1000</v>
      </c>
      <c r="O3" s="797" t="s">
        <v>1001</v>
      </c>
      <c r="P3" s="799" t="s">
        <v>1002</v>
      </c>
      <c r="Q3" s="234"/>
    </row>
    <row r="4" spans="1:17" s="201" customFormat="1" ht="28.5" customHeight="1">
      <c r="A4" s="805"/>
      <c r="B4" s="806"/>
      <c r="C4" s="204" t="s">
        <v>1517</v>
      </c>
      <c r="D4" s="204">
        <v>95754.15</v>
      </c>
      <c r="E4" s="205"/>
      <c r="F4" s="811" t="s">
        <v>1003</v>
      </c>
      <c r="G4" s="812"/>
      <c r="H4" s="811" t="s">
        <v>985</v>
      </c>
      <c r="I4" s="812"/>
      <c r="J4" s="813" t="s">
        <v>1872</v>
      </c>
      <c r="K4" s="814" t="s">
        <v>1005</v>
      </c>
      <c r="L4" s="814" t="s">
        <v>1006</v>
      </c>
      <c r="M4" s="814" t="s">
        <v>1005</v>
      </c>
      <c r="N4" s="798"/>
      <c r="O4" s="798"/>
      <c r="P4" s="800"/>
      <c r="Q4" s="234"/>
    </row>
    <row r="5" spans="1:17" s="201" customFormat="1" ht="28.5" customHeight="1">
      <c r="A5" s="817"/>
      <c r="B5" s="818"/>
      <c r="C5" s="207" t="s">
        <v>1007</v>
      </c>
      <c r="D5" s="207" t="s">
        <v>1008</v>
      </c>
      <c r="E5" s="207"/>
      <c r="F5" s="208" t="s">
        <v>1009</v>
      </c>
      <c r="G5" s="209" t="s">
        <v>1010</v>
      </c>
      <c r="H5" s="208" t="s">
        <v>1009</v>
      </c>
      <c r="I5" s="209" t="s">
        <v>1010</v>
      </c>
      <c r="J5" s="813"/>
      <c r="K5" s="815"/>
      <c r="L5" s="815"/>
      <c r="M5" s="815"/>
      <c r="N5" s="815"/>
      <c r="O5" s="815"/>
      <c r="P5" s="816"/>
      <c r="Q5" s="234"/>
    </row>
    <row r="6" spans="1:17" s="201" customFormat="1" ht="28.5" customHeight="1">
      <c r="A6" s="206"/>
      <c r="B6" s="210"/>
      <c r="C6" s="207"/>
      <c r="D6" s="208" t="s">
        <v>1518</v>
      </c>
      <c r="E6" s="209"/>
      <c r="F6" s="209" t="s">
        <v>1519</v>
      </c>
      <c r="G6" s="208" t="s">
        <v>1520</v>
      </c>
      <c r="H6" s="209" t="s">
        <v>1521</v>
      </c>
      <c r="I6" s="209" t="s">
        <v>1522</v>
      </c>
      <c r="J6" s="224" t="s">
        <v>1523</v>
      </c>
      <c r="K6" s="208"/>
      <c r="L6" s="208" t="s">
        <v>1524</v>
      </c>
      <c r="M6" s="225"/>
      <c r="N6" s="208" t="s">
        <v>1525</v>
      </c>
      <c r="O6" s="208" t="s">
        <v>1526</v>
      </c>
      <c r="P6" s="226"/>
      <c r="Q6" s="234"/>
    </row>
    <row r="7" spans="1:17" s="201" customFormat="1" ht="28.5" customHeight="1">
      <c r="A7" s="206"/>
      <c r="B7" s="210"/>
      <c r="C7" s="207"/>
      <c r="D7" s="208"/>
      <c r="E7" s="209"/>
      <c r="F7" s="209"/>
      <c r="G7" s="208"/>
      <c r="H7" s="209"/>
      <c r="I7" s="209"/>
      <c r="J7" s="224"/>
      <c r="K7" s="208"/>
      <c r="L7" s="208"/>
      <c r="M7" s="225"/>
      <c r="N7" s="208"/>
      <c r="O7" s="208"/>
      <c r="P7" s="226"/>
      <c r="Q7" s="234"/>
    </row>
    <row r="8" spans="1:17" ht="16.5" customHeight="1">
      <c r="A8" s="211" t="s">
        <v>1011</v>
      </c>
      <c r="B8" s="212" t="s">
        <v>1012</v>
      </c>
      <c r="C8" s="213">
        <f>C9+C10+C11+C12+C13+C14+C15</f>
        <v>4379.9983917146155</v>
      </c>
      <c r="D8" s="213">
        <f t="shared" ref="D8:F8" si="0">D9+D10+D11+D12+D13+D14+D15</f>
        <v>41940.302300000003</v>
      </c>
      <c r="E8" s="213">
        <v>41940.285418084997</v>
      </c>
      <c r="F8" s="213">
        <f t="shared" si="0"/>
        <v>41966.709757000004</v>
      </c>
      <c r="G8" s="213">
        <f t="shared" ref="G8:O8" si="1">G9+G10+G11+G12+G13+G14+G15</f>
        <v>0</v>
      </c>
      <c r="H8" s="213">
        <f t="shared" si="1"/>
        <v>0</v>
      </c>
      <c r="I8" s="213">
        <f t="shared" si="1"/>
        <v>0</v>
      </c>
      <c r="J8" s="213">
        <f t="shared" si="1"/>
        <v>41966.709757000004</v>
      </c>
      <c r="K8" s="213"/>
      <c r="L8" s="213">
        <f t="shared" si="1"/>
        <v>-26.424357000000025</v>
      </c>
      <c r="M8" s="227"/>
      <c r="N8" s="213">
        <f t="shared" si="1"/>
        <v>41940.285400000008</v>
      </c>
      <c r="O8" s="213">
        <f t="shared" si="1"/>
        <v>-1.6899999999992588E-2</v>
      </c>
      <c r="P8" s="228" t="s">
        <v>1527</v>
      </c>
    </row>
    <row r="9" spans="1:17" ht="16.5" customHeight="1" outlineLevel="1">
      <c r="A9" s="214">
        <v>1.1000000000000001</v>
      </c>
      <c r="B9" s="215" t="s">
        <v>970</v>
      </c>
      <c r="C9" s="216">
        <f>D9/$D$4*10000</f>
        <v>3823.3329834790452</v>
      </c>
      <c r="D9" s="216">
        <f>成本明细!E5</f>
        <v>36610</v>
      </c>
      <c r="E9" s="216">
        <v>36610</v>
      </c>
      <c r="F9" s="216">
        <f>成本明细!F5/10000</f>
        <v>36610</v>
      </c>
      <c r="G9" s="216"/>
      <c r="H9" s="216"/>
      <c r="I9" s="216"/>
      <c r="J9" s="216">
        <f>F9+G9+H9+I9</f>
        <v>36610</v>
      </c>
      <c r="K9" s="216"/>
      <c r="L9" s="216">
        <v>0</v>
      </c>
      <c r="M9" s="229"/>
      <c r="N9" s="216">
        <f>J9+L9</f>
        <v>36610</v>
      </c>
      <c r="O9" s="216">
        <f>N9-D9</f>
        <v>0</v>
      </c>
      <c r="P9" s="230"/>
    </row>
    <row r="10" spans="1:17" ht="16.5" customHeight="1" outlineLevel="1">
      <c r="A10" s="214">
        <v>1.2</v>
      </c>
      <c r="B10" s="215" t="s">
        <v>1013</v>
      </c>
      <c r="C10" s="216">
        <f t="shared" ref="C10:C15" si="2">D10/$D$4*10000</f>
        <v>253.06539716555369</v>
      </c>
      <c r="D10" s="216">
        <f>成本明细!E9</f>
        <v>2423.2062000000001</v>
      </c>
      <c r="E10" s="216">
        <v>2423.2061699999999</v>
      </c>
      <c r="F10" s="216">
        <f>成本明细!F9/10000</f>
        <v>2439.28334</v>
      </c>
      <c r="G10" s="216"/>
      <c r="H10" s="216"/>
      <c r="I10" s="216"/>
      <c r="J10" s="216">
        <f t="shared" ref="J10:J15" si="3">F10+G10+H10+I10</f>
        <v>2439.28334</v>
      </c>
      <c r="K10" s="216"/>
      <c r="L10" s="216">
        <f>D10-F10</f>
        <v>-16.077139999999872</v>
      </c>
      <c r="M10" s="229"/>
      <c r="N10" s="216">
        <f t="shared" ref="N10:N15" si="4">J10+L10</f>
        <v>2423.2062000000001</v>
      </c>
      <c r="O10" s="216">
        <f t="shared" ref="O10:O15" si="5">N10-D10</f>
        <v>0</v>
      </c>
      <c r="P10" s="230"/>
    </row>
    <row r="11" spans="1:17" ht="16.5" customHeight="1" outlineLevel="1">
      <c r="A11" s="214">
        <v>1.3</v>
      </c>
      <c r="B11" s="215" t="s">
        <v>442</v>
      </c>
      <c r="C11" s="216">
        <f t="shared" si="2"/>
        <v>121.86339704336574</v>
      </c>
      <c r="D11" s="216">
        <f>成本明细!E13</f>
        <v>1166.8925999999999</v>
      </c>
      <c r="E11" s="216">
        <v>1166.8926449999999</v>
      </c>
      <c r="F11" s="216">
        <f>成本明细!F13/10000</f>
        <v>1196.7564170000001</v>
      </c>
      <c r="G11" s="216"/>
      <c r="H11" s="216"/>
      <c r="I11" s="216"/>
      <c r="J11" s="216">
        <f t="shared" si="3"/>
        <v>1196.7564170000001</v>
      </c>
      <c r="K11" s="216"/>
      <c r="L11" s="216">
        <f>D11-J11</f>
        <v>-29.863817000000154</v>
      </c>
      <c r="M11" s="229"/>
      <c r="N11" s="216">
        <f t="shared" si="4"/>
        <v>1166.8925999999999</v>
      </c>
      <c r="O11" s="216">
        <f t="shared" si="5"/>
        <v>0</v>
      </c>
      <c r="P11" s="230" t="s">
        <v>1528</v>
      </c>
    </row>
    <row r="12" spans="1:17" ht="16.5" customHeight="1" outlineLevel="1">
      <c r="A12" s="214">
        <v>1.4</v>
      </c>
      <c r="B12" s="215" t="s">
        <v>1014</v>
      </c>
      <c r="C12" s="216">
        <f t="shared" si="2"/>
        <v>19.118429853954112</v>
      </c>
      <c r="D12" s="216">
        <f>成本明细!E16</f>
        <v>183.0669</v>
      </c>
      <c r="E12" s="216">
        <v>183.05</v>
      </c>
      <c r="F12" s="216">
        <f>成本明细!F16/10000</f>
        <v>183.05</v>
      </c>
      <c r="G12" s="216"/>
      <c r="H12" s="216"/>
      <c r="I12" s="216"/>
      <c r="J12" s="216">
        <f t="shared" si="3"/>
        <v>183.05</v>
      </c>
      <c r="K12" s="216"/>
      <c r="L12" s="216">
        <v>0</v>
      </c>
      <c r="M12" s="229"/>
      <c r="N12" s="216">
        <f t="shared" si="4"/>
        <v>183.05</v>
      </c>
      <c r="O12" s="216">
        <f t="shared" si="5"/>
        <v>-1.6899999999992588E-2</v>
      </c>
      <c r="P12" s="230"/>
    </row>
    <row r="13" spans="1:17" ht="16.5" customHeight="1" outlineLevel="1">
      <c r="A13" s="214">
        <v>1.5</v>
      </c>
      <c r="B13" s="217" t="s">
        <v>1275</v>
      </c>
      <c r="C13" s="216">
        <f t="shared" si="2"/>
        <v>2.0381988665765403</v>
      </c>
      <c r="D13" s="216">
        <f>成本明细!E19</f>
        <v>19.5166</v>
      </c>
      <c r="E13" s="216">
        <v>19.516603085</v>
      </c>
      <c r="F13" s="216">
        <f>成本明细!F19/10000</f>
        <v>0</v>
      </c>
      <c r="G13" s="216"/>
      <c r="H13" s="216"/>
      <c r="I13" s="216"/>
      <c r="J13" s="216">
        <f t="shared" si="3"/>
        <v>0</v>
      </c>
      <c r="K13" s="216"/>
      <c r="L13" s="216">
        <f>D13</f>
        <v>19.5166</v>
      </c>
      <c r="M13" s="229"/>
      <c r="N13" s="216">
        <f t="shared" si="4"/>
        <v>19.5166</v>
      </c>
      <c r="O13" s="216">
        <f t="shared" si="5"/>
        <v>0</v>
      </c>
      <c r="P13" s="230"/>
    </row>
    <row r="14" spans="1:17" ht="16.5" customHeight="1" outlineLevel="1">
      <c r="A14" s="214">
        <v>1.6</v>
      </c>
      <c r="B14" s="215" t="s">
        <v>1276</v>
      </c>
      <c r="C14" s="216">
        <f t="shared" si="2"/>
        <v>7.646665966958091</v>
      </c>
      <c r="D14" s="216">
        <f>成本明细!E22</f>
        <v>73.22</v>
      </c>
      <c r="E14" s="216">
        <v>73.22</v>
      </c>
      <c r="F14" s="216">
        <f>成本明细!F22/10000</f>
        <v>73.22</v>
      </c>
      <c r="G14" s="216"/>
      <c r="H14" s="216"/>
      <c r="I14" s="216"/>
      <c r="J14" s="216">
        <f t="shared" si="3"/>
        <v>73.22</v>
      </c>
      <c r="K14" s="216"/>
      <c r="L14" s="216">
        <v>0</v>
      </c>
      <c r="M14" s="229"/>
      <c r="N14" s="216">
        <f t="shared" si="4"/>
        <v>73.22</v>
      </c>
      <c r="O14" s="216">
        <f t="shared" si="5"/>
        <v>0</v>
      </c>
      <c r="P14" s="230"/>
    </row>
    <row r="15" spans="1:17" ht="16.5" customHeight="1" outlineLevel="1">
      <c r="A15" s="214">
        <v>1.7</v>
      </c>
      <c r="B15" s="215" t="s">
        <v>1277</v>
      </c>
      <c r="C15" s="216">
        <f t="shared" si="2"/>
        <v>152.93331933916181</v>
      </c>
      <c r="D15" s="216">
        <f>成本明细!E25</f>
        <v>1464.4</v>
      </c>
      <c r="E15" s="216">
        <v>1464.4</v>
      </c>
      <c r="F15" s="216">
        <f>成本明细!F25/10000</f>
        <v>1464.4</v>
      </c>
      <c r="G15" s="216"/>
      <c r="H15" s="216"/>
      <c r="I15" s="216"/>
      <c r="J15" s="216">
        <f t="shared" si="3"/>
        <v>1464.4</v>
      </c>
      <c r="K15" s="216"/>
      <c r="L15" s="216">
        <v>0</v>
      </c>
      <c r="M15" s="229"/>
      <c r="N15" s="216">
        <f t="shared" si="4"/>
        <v>1464.4</v>
      </c>
      <c r="O15" s="216">
        <f t="shared" si="5"/>
        <v>0</v>
      </c>
      <c r="P15" s="230"/>
    </row>
    <row r="16" spans="1:17" ht="16.5" customHeight="1">
      <c r="A16" s="218" t="s">
        <v>1016</v>
      </c>
      <c r="B16" s="219" t="s">
        <v>1017</v>
      </c>
      <c r="C16" s="213">
        <f t="shared" ref="C16:J16" si="6">C17+C21+C28+C36+C41+C48+C55+C62</f>
        <v>274.7254505418303</v>
      </c>
      <c r="D16" s="213">
        <f t="shared" si="6"/>
        <v>2630.6102000000005</v>
      </c>
      <c r="E16" s="213">
        <v>2921.16396746808</v>
      </c>
      <c r="F16" s="213">
        <f t="shared" si="6"/>
        <v>2501.114728</v>
      </c>
      <c r="G16" s="213">
        <f t="shared" si="6"/>
        <v>6.3845000000000001</v>
      </c>
      <c r="H16" s="213">
        <f t="shared" si="6"/>
        <v>0</v>
      </c>
      <c r="I16" s="213">
        <f t="shared" si="6"/>
        <v>0</v>
      </c>
      <c r="J16" s="213">
        <f t="shared" si="6"/>
        <v>2507.4992279999997</v>
      </c>
      <c r="K16" s="213"/>
      <c r="L16" s="213">
        <f t="shared" ref="L16:O16" si="7">L17+L21+L28+L36+L41+L48+L55+L62</f>
        <v>351.067049</v>
      </c>
      <c r="M16" s="227"/>
      <c r="N16" s="213">
        <f t="shared" si="7"/>
        <v>2858.5662769999999</v>
      </c>
      <c r="O16" s="213">
        <f t="shared" si="7"/>
        <v>227.95607699999985</v>
      </c>
      <c r="P16" s="228"/>
    </row>
    <row r="17" spans="1:16" ht="16.5" customHeight="1" outlineLevel="1">
      <c r="A17" s="220">
        <v>2.1</v>
      </c>
      <c r="B17" s="221" t="s">
        <v>1278</v>
      </c>
      <c r="C17" s="222">
        <f t="shared" ref="C17:F17" si="8">SUM(C18:C20)</f>
        <v>14.399992063007188</v>
      </c>
      <c r="D17" s="222">
        <f t="shared" si="8"/>
        <v>137.88589999999999</v>
      </c>
      <c r="E17" s="222">
        <v>137.88584489153999</v>
      </c>
      <c r="F17" s="222">
        <f t="shared" si="8"/>
        <v>127.60080000000001</v>
      </c>
      <c r="G17" s="222">
        <f t="shared" ref="G17:O17" si="9">SUM(G18:G20)</f>
        <v>3.0554999999999999</v>
      </c>
      <c r="H17" s="222">
        <f t="shared" si="9"/>
        <v>0</v>
      </c>
      <c r="I17" s="222">
        <f t="shared" si="9"/>
        <v>0</v>
      </c>
      <c r="J17" s="222">
        <f t="shared" si="9"/>
        <v>130.65629999999999</v>
      </c>
      <c r="K17" s="222"/>
      <c r="L17" s="222">
        <f t="shared" si="9"/>
        <v>7.7224999999999966</v>
      </c>
      <c r="M17" s="231"/>
      <c r="N17" s="222">
        <f t="shared" si="9"/>
        <v>138.37879999999998</v>
      </c>
      <c r="O17" s="222">
        <f t="shared" si="9"/>
        <v>0.49290000000000034</v>
      </c>
      <c r="P17" s="232"/>
    </row>
    <row r="18" spans="1:16" ht="16.5" customHeight="1" outlineLevel="2">
      <c r="A18" s="214" t="s">
        <v>1279</v>
      </c>
      <c r="B18" s="215" t="s">
        <v>1020</v>
      </c>
      <c r="C18" s="216">
        <f t="shared" ref="C18:C69" si="10">D18/$D$4*10000</f>
        <v>12.632350660519673</v>
      </c>
      <c r="D18" s="216">
        <f>成本明细!E30</f>
        <v>120.96</v>
      </c>
      <c r="E18" s="216">
        <v>120.96</v>
      </c>
      <c r="F18" s="216">
        <f>成本明细!F30/10000-3.0555</f>
        <v>110.182</v>
      </c>
      <c r="G18" s="216">
        <v>3.0554999999999999</v>
      </c>
      <c r="H18" s="216"/>
      <c r="I18" s="216"/>
      <c r="J18" s="216">
        <f>F18+G18+H18+I18</f>
        <v>113.2375</v>
      </c>
      <c r="K18" s="216"/>
      <c r="L18" s="216">
        <f>D18-J18</f>
        <v>7.7224999999999966</v>
      </c>
      <c r="M18" s="229" t="s">
        <v>1529</v>
      </c>
      <c r="N18" s="216">
        <f t="shared" ref="N18:N69" si="11">J18+L18</f>
        <v>120.96</v>
      </c>
      <c r="O18" s="216">
        <f t="shared" ref="O18:O69" si="12">N18-D18</f>
        <v>0</v>
      </c>
      <c r="P18" s="230"/>
    </row>
    <row r="19" spans="1:16" ht="16.5" customHeight="1" outlineLevel="2">
      <c r="A19" s="214" t="s">
        <v>1280</v>
      </c>
      <c r="B19" s="215" t="s">
        <v>1281</v>
      </c>
      <c r="C19" s="216">
        <f t="shared" si="10"/>
        <v>1.6627999935250848</v>
      </c>
      <c r="D19" s="216">
        <f>成本明细!E34</f>
        <v>15.922000000000001</v>
      </c>
      <c r="E19" s="216">
        <v>15.921979392600001</v>
      </c>
      <c r="F19" s="216">
        <f>成本明细!F34/10000</f>
        <v>16.418800000000001</v>
      </c>
      <c r="G19" s="216"/>
      <c r="H19" s="216"/>
      <c r="I19" s="216"/>
      <c r="J19" s="216">
        <f t="shared" ref="J19:J69" si="13">F19+G19+H19+I19</f>
        <v>16.418800000000001</v>
      </c>
      <c r="K19" s="216"/>
      <c r="L19" s="216">
        <v>0</v>
      </c>
      <c r="M19" s="229"/>
      <c r="N19" s="216">
        <f t="shared" si="11"/>
        <v>16.418800000000001</v>
      </c>
      <c r="O19" s="216">
        <f t="shared" si="12"/>
        <v>0.49680000000000035</v>
      </c>
      <c r="P19" s="230"/>
    </row>
    <row r="20" spans="1:16" ht="16.5" customHeight="1" outlineLevel="2">
      <c r="A20" s="214" t="s">
        <v>1282</v>
      </c>
      <c r="B20" s="215" t="s">
        <v>1046</v>
      </c>
      <c r="C20" s="216">
        <f t="shared" si="10"/>
        <v>0.1048414089624314</v>
      </c>
      <c r="D20" s="216">
        <f>成本明细!E41</f>
        <v>1.0039</v>
      </c>
      <c r="E20" s="216">
        <v>1.00386549894</v>
      </c>
      <c r="F20" s="216">
        <f>成本明细!F41/10000</f>
        <v>1</v>
      </c>
      <c r="G20" s="216"/>
      <c r="H20" s="216"/>
      <c r="I20" s="216"/>
      <c r="J20" s="216">
        <f t="shared" si="13"/>
        <v>1</v>
      </c>
      <c r="K20" s="216"/>
      <c r="L20" s="216">
        <v>0</v>
      </c>
      <c r="M20" s="229"/>
      <c r="N20" s="216">
        <f t="shared" si="11"/>
        <v>1</v>
      </c>
      <c r="O20" s="216">
        <f t="shared" si="12"/>
        <v>-3.9000000000000146E-3</v>
      </c>
      <c r="P20" s="230"/>
    </row>
    <row r="21" spans="1:16" ht="16.5" customHeight="1" outlineLevel="1">
      <c r="A21" s="220">
        <v>2.2000000000000002</v>
      </c>
      <c r="B21" s="221" t="s">
        <v>1023</v>
      </c>
      <c r="C21" s="222">
        <f t="shared" ref="C21:F21" si="14">SUM(C22:C27)</f>
        <v>130.95099272459734</v>
      </c>
      <c r="D21" s="222">
        <f t="shared" si="14"/>
        <v>1253.9101000000001</v>
      </c>
      <c r="E21" s="222">
        <v>1453.4849224240199</v>
      </c>
      <c r="F21" s="222">
        <f t="shared" si="14"/>
        <v>1278.8694</v>
      </c>
      <c r="G21" s="222">
        <f t="shared" ref="G21:O21" si="15">SUM(G22:G27)</f>
        <v>3.3290000000000002</v>
      </c>
      <c r="H21" s="222">
        <f t="shared" si="15"/>
        <v>0</v>
      </c>
      <c r="I21" s="222">
        <f t="shared" si="15"/>
        <v>0</v>
      </c>
      <c r="J21" s="222">
        <f t="shared" si="15"/>
        <v>1282.1984</v>
      </c>
      <c r="K21" s="222"/>
      <c r="L21" s="222">
        <f t="shared" si="15"/>
        <v>171.2619</v>
      </c>
      <c r="M21" s="231"/>
      <c r="N21" s="222">
        <f t="shared" si="15"/>
        <v>1453.4603000000002</v>
      </c>
      <c r="O21" s="222">
        <f t="shared" si="15"/>
        <v>199.5501999999999</v>
      </c>
      <c r="P21" s="232"/>
    </row>
    <row r="22" spans="1:16" ht="16.5" customHeight="1" outlineLevel="2">
      <c r="A22" s="214" t="s">
        <v>1283</v>
      </c>
      <c r="B22" s="215" t="s">
        <v>1284</v>
      </c>
      <c r="C22" s="216">
        <f t="shared" si="10"/>
        <v>79.899931230134683</v>
      </c>
      <c r="D22" s="216">
        <f>成本明细!E46</f>
        <v>765.07500000000005</v>
      </c>
      <c r="E22" s="216">
        <v>948.89</v>
      </c>
      <c r="F22" s="216">
        <f>成本明细!F46/10000</f>
        <v>780</v>
      </c>
      <c r="G22" s="216"/>
      <c r="H22" s="216"/>
      <c r="I22" s="216"/>
      <c r="J22" s="216">
        <f t="shared" si="13"/>
        <v>780</v>
      </c>
      <c r="K22" s="216"/>
      <c r="L22" s="216">
        <f>-31.11+200</f>
        <v>168.89</v>
      </c>
      <c r="M22" s="229" t="s">
        <v>1530</v>
      </c>
      <c r="N22" s="216">
        <f t="shared" si="11"/>
        <v>948.89</v>
      </c>
      <c r="O22" s="216">
        <f t="shared" si="12"/>
        <v>183.81499999999994</v>
      </c>
      <c r="P22" s="230"/>
    </row>
    <row r="23" spans="1:16" ht="16.5" customHeight="1" outlineLevel="2">
      <c r="A23" s="214" t="s">
        <v>1285</v>
      </c>
      <c r="B23" s="215" t="s">
        <v>1286</v>
      </c>
      <c r="C23" s="216">
        <f t="shared" si="10"/>
        <v>7.3554618781535845</v>
      </c>
      <c r="D23" s="216">
        <f>成本明细!E49</f>
        <v>70.431600000000003</v>
      </c>
      <c r="E23" s="216">
        <v>73.329949999999997</v>
      </c>
      <c r="F23" s="216">
        <f>成本明细!F49/10000-3.329</f>
        <v>70.405000000000001</v>
      </c>
      <c r="G23" s="216">
        <v>3.3290000000000002</v>
      </c>
      <c r="H23" s="216"/>
      <c r="I23" s="216"/>
      <c r="J23" s="216">
        <f t="shared" si="13"/>
        <v>73.733999999999995</v>
      </c>
      <c r="K23" s="216"/>
      <c r="L23" s="216">
        <v>0</v>
      </c>
      <c r="M23" s="229"/>
      <c r="N23" s="216">
        <f t="shared" si="11"/>
        <v>73.733999999999995</v>
      </c>
      <c r="O23" s="216">
        <f t="shared" si="12"/>
        <v>3.3023999999999916</v>
      </c>
      <c r="P23" s="230" t="s">
        <v>1287</v>
      </c>
    </row>
    <row r="24" spans="1:16" ht="16.5" customHeight="1" outlineLevel="2">
      <c r="A24" s="214" t="s">
        <v>1288</v>
      </c>
      <c r="B24" s="215" t="s">
        <v>1289</v>
      </c>
      <c r="C24" s="216">
        <f t="shared" si="10"/>
        <v>28.025678260420051</v>
      </c>
      <c r="D24" s="216">
        <f>成本明细!E52</f>
        <v>268.35750000000002</v>
      </c>
      <c r="E24" s="216">
        <v>268.35745524191998</v>
      </c>
      <c r="F24" s="216">
        <f>成本明细!F52/10000</f>
        <v>268.35750000000002</v>
      </c>
      <c r="G24" s="216"/>
      <c r="H24" s="216"/>
      <c r="I24" s="216"/>
      <c r="J24" s="216">
        <f t="shared" si="13"/>
        <v>268.35750000000002</v>
      </c>
      <c r="K24" s="216"/>
      <c r="L24" s="216">
        <v>0</v>
      </c>
      <c r="M24" s="229"/>
      <c r="N24" s="216">
        <f t="shared" si="11"/>
        <v>268.35750000000002</v>
      </c>
      <c r="O24" s="216">
        <f t="shared" si="12"/>
        <v>0</v>
      </c>
      <c r="P24" s="230"/>
    </row>
    <row r="25" spans="1:16" ht="16.5" customHeight="1" outlineLevel="2">
      <c r="A25" s="214" t="s">
        <v>1290</v>
      </c>
      <c r="B25" s="215" t="s">
        <v>1029</v>
      </c>
      <c r="C25" s="216">
        <f t="shared" si="10"/>
        <v>5.2173404494739914</v>
      </c>
      <c r="D25" s="216">
        <f>成本明细!E55</f>
        <v>49.958199999999998</v>
      </c>
      <c r="E25" s="216">
        <v>49.778221242599997</v>
      </c>
      <c r="F25" s="216">
        <f>成本明细!F55/10000</f>
        <v>49.78</v>
      </c>
      <c r="G25" s="216"/>
      <c r="H25" s="216"/>
      <c r="I25" s="216"/>
      <c r="J25" s="216">
        <f t="shared" si="13"/>
        <v>49.78</v>
      </c>
      <c r="K25" s="216"/>
      <c r="L25" s="216">
        <v>0</v>
      </c>
      <c r="M25" s="229"/>
      <c r="N25" s="216">
        <f t="shared" si="11"/>
        <v>49.78</v>
      </c>
      <c r="O25" s="216">
        <f t="shared" si="12"/>
        <v>-0.17819999999999681</v>
      </c>
      <c r="P25" s="230"/>
    </row>
    <row r="26" spans="1:16" ht="16.5" customHeight="1" outlineLevel="2">
      <c r="A26" s="214" t="s">
        <v>1291</v>
      </c>
      <c r="B26" s="215" t="s">
        <v>1292</v>
      </c>
      <c r="C26" s="216">
        <f t="shared" si="10"/>
        <v>8.0787099044793358</v>
      </c>
      <c r="D26" s="216">
        <f>成本明细!E59</f>
        <v>77.356999999999999</v>
      </c>
      <c r="E26" s="216">
        <v>89.966935639499994</v>
      </c>
      <c r="F26" s="216">
        <f>成本明细!F59/10000</f>
        <v>89.968000000000004</v>
      </c>
      <c r="G26" s="216"/>
      <c r="H26" s="216"/>
      <c r="I26" s="216"/>
      <c r="J26" s="216">
        <f t="shared" si="13"/>
        <v>89.968000000000004</v>
      </c>
      <c r="K26" s="216"/>
      <c r="L26" s="216">
        <v>0</v>
      </c>
      <c r="M26" s="229"/>
      <c r="N26" s="216">
        <f t="shared" si="11"/>
        <v>89.968000000000004</v>
      </c>
      <c r="O26" s="216">
        <f t="shared" si="12"/>
        <v>12.611000000000004</v>
      </c>
      <c r="P26" s="230" t="s">
        <v>1293</v>
      </c>
    </row>
    <row r="27" spans="1:16" ht="16.5" customHeight="1" outlineLevel="2">
      <c r="A27" s="214" t="s">
        <v>1294</v>
      </c>
      <c r="B27" s="215" t="s">
        <v>1055</v>
      </c>
      <c r="C27" s="216">
        <f t="shared" si="10"/>
        <v>2.3738710019356861</v>
      </c>
      <c r="D27" s="216">
        <f>成本明细!E64</f>
        <v>22.730799999999999</v>
      </c>
      <c r="E27" s="216">
        <v>22.7307603</v>
      </c>
      <c r="F27" s="216">
        <f>成本明细!F64/10000</f>
        <v>20.358899999999998</v>
      </c>
      <c r="G27" s="216"/>
      <c r="H27" s="216"/>
      <c r="I27" s="216"/>
      <c r="J27" s="216">
        <f t="shared" si="13"/>
        <v>20.358899999999998</v>
      </c>
      <c r="K27" s="216"/>
      <c r="L27" s="216">
        <f>D27-J27</f>
        <v>2.3719000000000001</v>
      </c>
      <c r="M27" s="229" t="s">
        <v>1531</v>
      </c>
      <c r="N27" s="216">
        <f t="shared" si="11"/>
        <v>22.730799999999999</v>
      </c>
      <c r="O27" s="216">
        <f t="shared" si="12"/>
        <v>0</v>
      </c>
      <c r="P27" s="230"/>
    </row>
    <row r="28" spans="1:16" ht="16.5" customHeight="1" outlineLevel="1">
      <c r="A28" s="220">
        <v>2.2999999999999998</v>
      </c>
      <c r="B28" s="221" t="s">
        <v>1295</v>
      </c>
      <c r="C28" s="222">
        <f t="shared" ref="C28:F28" si="16">SUM(C29:C35)</f>
        <v>89.479985984941649</v>
      </c>
      <c r="D28" s="222">
        <f t="shared" si="16"/>
        <v>856.80799999999999</v>
      </c>
      <c r="E28" s="222">
        <v>872.73927721860002</v>
      </c>
      <c r="F28" s="222">
        <f t="shared" si="16"/>
        <v>834.97069999999997</v>
      </c>
      <c r="G28" s="222">
        <f t="shared" ref="G28:O28" si="17">SUM(G29:G35)</f>
        <v>0</v>
      </c>
      <c r="H28" s="222">
        <f t="shared" si="17"/>
        <v>0</v>
      </c>
      <c r="I28" s="222">
        <f t="shared" si="17"/>
        <v>0</v>
      </c>
      <c r="J28" s="222">
        <f t="shared" si="17"/>
        <v>834.97069999999997</v>
      </c>
      <c r="K28" s="222"/>
      <c r="L28" s="222">
        <f t="shared" si="17"/>
        <v>37.7453</v>
      </c>
      <c r="M28" s="231"/>
      <c r="N28" s="222">
        <f t="shared" si="17"/>
        <v>872.71600000000001</v>
      </c>
      <c r="O28" s="222">
        <f t="shared" si="17"/>
        <v>15.907999999999971</v>
      </c>
      <c r="P28" s="232"/>
    </row>
    <row r="29" spans="1:16" ht="16.5" customHeight="1" outlineLevel="2">
      <c r="A29" s="214" t="s">
        <v>1296</v>
      </c>
      <c r="B29" s="215" t="s">
        <v>1297</v>
      </c>
      <c r="C29" s="216">
        <f t="shared" si="10"/>
        <v>5.3069031472787342</v>
      </c>
      <c r="D29" s="216">
        <f>成本明细!E76</f>
        <v>50.815800000000003</v>
      </c>
      <c r="E29" s="216">
        <v>77.620085900999996</v>
      </c>
      <c r="F29" s="216">
        <f>成本明细!F76/10000</f>
        <v>65.617699999999999</v>
      </c>
      <c r="G29" s="216"/>
      <c r="H29" s="216"/>
      <c r="I29" s="216"/>
      <c r="J29" s="216">
        <f t="shared" si="13"/>
        <v>65.617699999999999</v>
      </c>
      <c r="K29" s="216"/>
      <c r="L29" s="216">
        <v>12</v>
      </c>
      <c r="M29" s="233" t="s">
        <v>1532</v>
      </c>
      <c r="N29" s="216">
        <f t="shared" si="11"/>
        <v>77.617699999999999</v>
      </c>
      <c r="O29" s="216">
        <f t="shared" si="12"/>
        <v>26.801899999999996</v>
      </c>
      <c r="P29" s="230" t="s">
        <v>1298</v>
      </c>
    </row>
    <row r="30" spans="1:16" ht="16.5" customHeight="1" outlineLevel="2">
      <c r="A30" s="214" t="s">
        <v>1299</v>
      </c>
      <c r="B30" s="215" t="s">
        <v>1300</v>
      </c>
      <c r="C30" s="216">
        <f t="shared" si="10"/>
        <v>0.62389985186020658</v>
      </c>
      <c r="D30" s="216">
        <f>成本明细!E84</f>
        <v>5.9741</v>
      </c>
      <c r="E30" s="216">
        <v>5.9740877147999996</v>
      </c>
      <c r="F30" s="216">
        <f>成本明细!F84/10000</f>
        <v>5.9504999999999999</v>
      </c>
      <c r="G30" s="216"/>
      <c r="H30" s="216"/>
      <c r="I30" s="216"/>
      <c r="J30" s="216">
        <f t="shared" si="13"/>
        <v>5.9504999999999999</v>
      </c>
      <c r="K30" s="216"/>
      <c r="L30" s="216">
        <v>0</v>
      </c>
      <c r="M30" s="229"/>
      <c r="N30" s="216">
        <f t="shared" si="11"/>
        <v>5.9504999999999999</v>
      </c>
      <c r="O30" s="216">
        <f t="shared" si="12"/>
        <v>-2.3600000000000065E-2</v>
      </c>
      <c r="P30" s="230"/>
    </row>
    <row r="31" spans="1:16" ht="16.5" customHeight="1" outlineLevel="2">
      <c r="A31" s="214" t="s">
        <v>1301</v>
      </c>
      <c r="B31" s="215" t="s">
        <v>1302</v>
      </c>
      <c r="C31" s="216">
        <f t="shared" si="10"/>
        <v>0</v>
      </c>
      <c r="D31" s="216">
        <f>成本明细!E88</f>
        <v>0</v>
      </c>
      <c r="E31" s="216">
        <v>0</v>
      </c>
      <c r="F31" s="216">
        <f>成本明细!F88</f>
        <v>0</v>
      </c>
      <c r="G31" s="216"/>
      <c r="H31" s="216"/>
      <c r="I31" s="216"/>
      <c r="J31" s="216">
        <f t="shared" si="13"/>
        <v>0</v>
      </c>
      <c r="K31" s="216"/>
      <c r="L31" s="216">
        <v>0</v>
      </c>
      <c r="M31" s="229"/>
      <c r="N31" s="216">
        <f t="shared" si="11"/>
        <v>0</v>
      </c>
      <c r="O31" s="216">
        <f t="shared" si="12"/>
        <v>0</v>
      </c>
      <c r="P31" s="230"/>
    </row>
    <row r="32" spans="1:16" ht="16.5" customHeight="1" outlineLevel="2">
      <c r="A32" s="214" t="s">
        <v>1303</v>
      </c>
      <c r="B32" s="215" t="s">
        <v>1304</v>
      </c>
      <c r="C32" s="216">
        <f t="shared" si="10"/>
        <v>72.969641524675438</v>
      </c>
      <c r="D32" s="216">
        <f>成本明细!E91</f>
        <v>698.71460000000002</v>
      </c>
      <c r="E32" s="216">
        <v>674.99976657599996</v>
      </c>
      <c r="F32" s="216">
        <f>成本明细!F91/10000</f>
        <v>675</v>
      </c>
      <c r="G32" s="216"/>
      <c r="H32" s="216"/>
      <c r="I32" s="216"/>
      <c r="J32" s="216">
        <f t="shared" si="13"/>
        <v>675</v>
      </c>
      <c r="K32" s="216"/>
      <c r="L32" s="216">
        <v>0</v>
      </c>
      <c r="M32" s="229"/>
      <c r="N32" s="216">
        <f t="shared" si="11"/>
        <v>675</v>
      </c>
      <c r="O32" s="216">
        <f t="shared" si="12"/>
        <v>-23.714600000000019</v>
      </c>
      <c r="P32" s="230"/>
    </row>
    <row r="33" spans="1:16" ht="16.5" customHeight="1" outlineLevel="2">
      <c r="A33" s="214" t="s">
        <v>1306</v>
      </c>
      <c r="B33" s="215" t="s">
        <v>1307</v>
      </c>
      <c r="C33" s="216">
        <f t="shared" si="10"/>
        <v>4.8609172552834528</v>
      </c>
      <c r="D33" s="216">
        <f>成本明细!E94</f>
        <v>46.545299999999997</v>
      </c>
      <c r="E33" s="216">
        <v>46.545287999999999</v>
      </c>
      <c r="F33" s="216">
        <f>成本明细!F94/10000</f>
        <v>33.799999999999997</v>
      </c>
      <c r="G33" s="216"/>
      <c r="H33" s="216"/>
      <c r="I33" s="216"/>
      <c r="J33" s="216">
        <f t="shared" si="13"/>
        <v>33.799999999999997</v>
      </c>
      <c r="K33" s="216"/>
      <c r="L33" s="216">
        <f>D33-J33</f>
        <v>12.7453</v>
      </c>
      <c r="M33" s="229" t="s">
        <v>1533</v>
      </c>
      <c r="N33" s="216">
        <f t="shared" si="11"/>
        <v>46.545299999999997</v>
      </c>
      <c r="O33" s="216">
        <f t="shared" si="12"/>
        <v>0</v>
      </c>
      <c r="P33" s="230"/>
    </row>
    <row r="34" spans="1:16" ht="16.5" customHeight="1" outlineLevel="2">
      <c r="A34" s="214" t="s">
        <v>1308</v>
      </c>
      <c r="B34" s="215" t="s">
        <v>1065</v>
      </c>
      <c r="C34" s="216">
        <f t="shared" si="10"/>
        <v>4.1520706935417424</v>
      </c>
      <c r="D34" s="216">
        <f>成本明细!E98</f>
        <v>39.757800000000003</v>
      </c>
      <c r="E34" s="216">
        <v>52.599666336600002</v>
      </c>
      <c r="F34" s="216">
        <f>成本明细!F98/10000</f>
        <v>39.602499999999999</v>
      </c>
      <c r="G34" s="216"/>
      <c r="H34" s="216"/>
      <c r="I34" s="216"/>
      <c r="J34" s="216">
        <f t="shared" si="13"/>
        <v>39.602499999999999</v>
      </c>
      <c r="K34" s="216"/>
      <c r="L34" s="216">
        <v>13</v>
      </c>
      <c r="M34" s="229" t="s">
        <v>1534</v>
      </c>
      <c r="N34" s="216">
        <f t="shared" si="11"/>
        <v>52.602499999999999</v>
      </c>
      <c r="O34" s="216">
        <f t="shared" si="12"/>
        <v>12.844699999999996</v>
      </c>
      <c r="P34" s="230"/>
    </row>
    <row r="35" spans="1:16" ht="16.5" customHeight="1" outlineLevel="2">
      <c r="A35" s="214" t="s">
        <v>1310</v>
      </c>
      <c r="B35" s="215" t="s">
        <v>1311</v>
      </c>
      <c r="C35" s="216">
        <f t="shared" si="10"/>
        <v>1.566553512302078</v>
      </c>
      <c r="D35" s="216">
        <f>成本明细!E103</f>
        <v>15.000400000000001</v>
      </c>
      <c r="E35" s="216">
        <v>15.0003826902</v>
      </c>
      <c r="F35" s="216">
        <f>成本明细!F103/10000</f>
        <v>15</v>
      </c>
      <c r="G35" s="216"/>
      <c r="H35" s="216"/>
      <c r="I35" s="216"/>
      <c r="J35" s="216">
        <f t="shared" si="13"/>
        <v>15</v>
      </c>
      <c r="K35" s="216"/>
      <c r="L35" s="216">
        <v>0</v>
      </c>
      <c r="M35" s="229"/>
      <c r="N35" s="216">
        <f t="shared" si="11"/>
        <v>15</v>
      </c>
      <c r="O35" s="216">
        <f t="shared" si="12"/>
        <v>-4.0000000000084412E-4</v>
      </c>
      <c r="P35" s="230"/>
    </row>
    <row r="36" spans="1:16" ht="16.5" customHeight="1" outlineLevel="1">
      <c r="A36" s="220">
        <v>2.4</v>
      </c>
      <c r="B36" s="221" t="s">
        <v>1312</v>
      </c>
      <c r="C36" s="222">
        <f t="shared" ref="C36:F36" si="18">SUM(C37:C40)</f>
        <v>12.7644702605579</v>
      </c>
      <c r="D36" s="222">
        <f t="shared" si="18"/>
        <v>122.2251</v>
      </c>
      <c r="E36" s="222">
        <v>110.0004791304</v>
      </c>
      <c r="F36" s="222">
        <f t="shared" si="18"/>
        <v>115.674882</v>
      </c>
      <c r="G36" s="222">
        <f t="shared" ref="G36:O36" si="19">SUM(G37:G40)</f>
        <v>0</v>
      </c>
      <c r="H36" s="222">
        <f t="shared" si="19"/>
        <v>0</v>
      </c>
      <c r="I36" s="222">
        <f t="shared" si="19"/>
        <v>0</v>
      </c>
      <c r="J36" s="222">
        <f t="shared" si="19"/>
        <v>115.674882</v>
      </c>
      <c r="K36" s="222"/>
      <c r="L36" s="222">
        <f t="shared" si="19"/>
        <v>19.145170000000007</v>
      </c>
      <c r="M36" s="231"/>
      <c r="N36" s="222">
        <f t="shared" si="19"/>
        <v>134.820052</v>
      </c>
      <c r="O36" s="222">
        <f t="shared" si="19"/>
        <v>12.594951999999999</v>
      </c>
      <c r="P36" s="232"/>
    </row>
    <row r="37" spans="1:16" ht="16.5" customHeight="1" outlineLevel="2">
      <c r="A37" s="214" t="s">
        <v>1313</v>
      </c>
      <c r="B37" s="215" t="s">
        <v>1314</v>
      </c>
      <c r="C37" s="216">
        <f t="shared" si="10"/>
        <v>3.0470637565055929</v>
      </c>
      <c r="D37" s="216">
        <f>成本明细!E109</f>
        <v>29.1769</v>
      </c>
      <c r="E37" s="216">
        <v>30.873489530400001</v>
      </c>
      <c r="F37" s="216">
        <f>成本明细!F109/10000</f>
        <v>30.8733</v>
      </c>
      <c r="G37" s="216"/>
      <c r="H37" s="216"/>
      <c r="I37" s="216"/>
      <c r="J37" s="216">
        <f t="shared" si="13"/>
        <v>30.8733</v>
      </c>
      <c r="K37" s="216"/>
      <c r="L37" s="216">
        <v>0</v>
      </c>
      <c r="M37" s="229"/>
      <c r="N37" s="216">
        <f t="shared" si="11"/>
        <v>30.8733</v>
      </c>
      <c r="O37" s="216">
        <f t="shared" si="12"/>
        <v>1.6964000000000006</v>
      </c>
      <c r="P37" s="230"/>
    </row>
    <row r="38" spans="1:16" ht="16.5" customHeight="1" outlineLevel="2">
      <c r="A38" s="214" t="s">
        <v>1315</v>
      </c>
      <c r="B38" s="215" t="s">
        <v>1316</v>
      </c>
      <c r="C38" s="216">
        <f t="shared" si="10"/>
        <v>2.4304534059359311</v>
      </c>
      <c r="D38" s="216">
        <f>成本明细!E114</f>
        <v>23.272600000000001</v>
      </c>
      <c r="E38" s="216">
        <v>23.272644</v>
      </c>
      <c r="F38" s="216">
        <f>成本明细!F114/10000</f>
        <v>24.611152000000001</v>
      </c>
      <c r="G38" s="216"/>
      <c r="H38" s="216"/>
      <c r="I38" s="216"/>
      <c r="J38" s="216">
        <f t="shared" si="13"/>
        <v>24.611152000000001</v>
      </c>
      <c r="K38" s="216"/>
      <c r="L38" s="216">
        <f>4.56+3+2</f>
        <v>9.5599999999999987</v>
      </c>
      <c r="M38" s="229" t="s">
        <v>1535</v>
      </c>
      <c r="N38" s="216">
        <f t="shared" si="11"/>
        <v>34.171151999999999</v>
      </c>
      <c r="O38" s="216">
        <f t="shared" si="12"/>
        <v>10.898551999999999</v>
      </c>
      <c r="P38" s="230"/>
    </row>
    <row r="39" spans="1:16" ht="16.5" customHeight="1" outlineLevel="2">
      <c r="A39" s="214" t="s">
        <v>1317</v>
      </c>
      <c r="B39" s="215" t="s">
        <v>1318</v>
      </c>
      <c r="C39" s="216">
        <f t="shared" si="10"/>
        <v>0.972187628421327</v>
      </c>
      <c r="D39" s="216">
        <f>成本明细!E124</f>
        <v>9.3091000000000008</v>
      </c>
      <c r="E39" s="216">
        <v>9.3090575999999992</v>
      </c>
      <c r="F39" s="216">
        <f>成本明细!F124/10000</f>
        <v>9.2210000000000001</v>
      </c>
      <c r="G39" s="216"/>
      <c r="H39" s="216"/>
      <c r="I39" s="216"/>
      <c r="J39" s="216">
        <f t="shared" si="13"/>
        <v>9.2210000000000001</v>
      </c>
      <c r="K39" s="216"/>
      <c r="L39" s="216">
        <f t="shared" ref="L39:L43" si="20">D39-J39</f>
        <v>8.8100000000000733E-2</v>
      </c>
      <c r="M39" s="229" t="s">
        <v>1536</v>
      </c>
      <c r="N39" s="216">
        <f t="shared" si="11"/>
        <v>9.3091000000000008</v>
      </c>
      <c r="O39" s="216">
        <f t="shared" si="12"/>
        <v>0</v>
      </c>
      <c r="P39" s="230"/>
    </row>
    <row r="40" spans="1:16" ht="16.5" customHeight="1" outlineLevel="2">
      <c r="A40" s="214" t="s">
        <v>1319</v>
      </c>
      <c r="B40" s="215" t="s">
        <v>1320</v>
      </c>
      <c r="C40" s="216">
        <f t="shared" si="10"/>
        <v>6.3147654696950477</v>
      </c>
      <c r="D40" s="216">
        <f>成本明细!E129</f>
        <v>60.466500000000003</v>
      </c>
      <c r="E40" s="216">
        <v>46.545287999999999</v>
      </c>
      <c r="F40" s="216">
        <f>成本明细!F129/10000</f>
        <v>50.969429999999996</v>
      </c>
      <c r="G40" s="216"/>
      <c r="H40" s="216"/>
      <c r="I40" s="216"/>
      <c r="J40" s="216">
        <f t="shared" si="13"/>
        <v>50.969429999999996</v>
      </c>
      <c r="K40" s="216"/>
      <c r="L40" s="216">
        <f t="shared" si="20"/>
        <v>9.4970700000000079</v>
      </c>
      <c r="M40" s="229" t="s">
        <v>1537</v>
      </c>
      <c r="N40" s="216">
        <f t="shared" si="11"/>
        <v>60.466500000000003</v>
      </c>
      <c r="O40" s="216">
        <f t="shared" si="12"/>
        <v>0</v>
      </c>
      <c r="P40" s="230"/>
    </row>
    <row r="41" spans="1:16" ht="16.5" customHeight="1" outlineLevel="1">
      <c r="A41" s="220">
        <v>2.5</v>
      </c>
      <c r="B41" s="221" t="s">
        <v>1322</v>
      </c>
      <c r="C41" s="222">
        <f t="shared" ref="C41:F41" si="21">SUM(C42:C45)</f>
        <v>5.9685454886289531</v>
      </c>
      <c r="D41" s="222">
        <f t="shared" si="21"/>
        <v>57.151299999999999</v>
      </c>
      <c r="E41" s="222">
        <v>144.42374505012</v>
      </c>
      <c r="F41" s="222">
        <f t="shared" si="21"/>
        <v>33.75</v>
      </c>
      <c r="G41" s="222">
        <f t="shared" ref="G41:O41" si="22">SUM(G42:G45)</f>
        <v>0</v>
      </c>
      <c r="H41" s="222">
        <f t="shared" si="22"/>
        <v>0</v>
      </c>
      <c r="I41" s="222">
        <f t="shared" si="22"/>
        <v>0</v>
      </c>
      <c r="J41" s="222">
        <f t="shared" si="22"/>
        <v>33.75</v>
      </c>
      <c r="K41" s="222"/>
      <c r="L41" s="222">
        <f t="shared" si="22"/>
        <v>23.272600000000001</v>
      </c>
      <c r="M41" s="231"/>
      <c r="N41" s="222">
        <f t="shared" si="22"/>
        <v>57.022599999999997</v>
      </c>
      <c r="O41" s="222">
        <f t="shared" si="22"/>
        <v>-0.12870000000000026</v>
      </c>
      <c r="P41" s="232"/>
    </row>
    <row r="42" spans="1:16" ht="16.5" customHeight="1" outlineLevel="2">
      <c r="A42" s="214" t="s">
        <v>1323</v>
      </c>
      <c r="B42" s="215" t="s">
        <v>1042</v>
      </c>
      <c r="C42" s="216">
        <f t="shared" si="10"/>
        <v>2.4376280296989741</v>
      </c>
      <c r="D42" s="216">
        <f>成本明细!E134</f>
        <v>23.3413</v>
      </c>
      <c r="E42" s="216">
        <v>23.341298299799998</v>
      </c>
      <c r="F42" s="216">
        <f>成本明细!F134/10000</f>
        <v>23.25</v>
      </c>
      <c r="G42" s="216"/>
      <c r="H42" s="216"/>
      <c r="I42" s="216"/>
      <c r="J42" s="216">
        <f t="shared" si="13"/>
        <v>23.25</v>
      </c>
      <c r="K42" s="216"/>
      <c r="L42" s="216">
        <v>0</v>
      </c>
      <c r="M42" s="229"/>
      <c r="N42" s="216">
        <f t="shared" si="11"/>
        <v>23.25</v>
      </c>
      <c r="O42" s="216">
        <f t="shared" si="12"/>
        <v>-9.1300000000000381E-2</v>
      </c>
      <c r="P42" s="230"/>
    </row>
    <row r="43" spans="1:16" ht="16.5" customHeight="1" outlineLevel="2">
      <c r="A43" s="214" t="s">
        <v>1324</v>
      </c>
      <c r="B43" s="215" t="s">
        <v>1325</v>
      </c>
      <c r="C43" s="216">
        <f t="shared" si="10"/>
        <v>2.4304534059359311</v>
      </c>
      <c r="D43" s="216">
        <f>成本明细!E138</f>
        <v>23.272600000000001</v>
      </c>
      <c r="E43" s="216">
        <v>23.272644</v>
      </c>
      <c r="F43" s="216">
        <f>成本明细!F138/10000</f>
        <v>0</v>
      </c>
      <c r="G43" s="216"/>
      <c r="H43" s="216"/>
      <c r="I43" s="216"/>
      <c r="J43" s="216">
        <f t="shared" si="13"/>
        <v>0</v>
      </c>
      <c r="K43" s="216"/>
      <c r="L43" s="216">
        <f t="shared" si="20"/>
        <v>23.272600000000001</v>
      </c>
      <c r="M43" s="229"/>
      <c r="N43" s="216">
        <f t="shared" si="11"/>
        <v>23.272600000000001</v>
      </c>
      <c r="O43" s="216">
        <f t="shared" si="12"/>
        <v>0</v>
      </c>
      <c r="P43" s="230"/>
    </row>
    <row r="44" spans="1:16" ht="16.5" customHeight="1" outlineLevel="2">
      <c r="A44" s="214" t="s">
        <v>1326</v>
      </c>
      <c r="B44" s="215" t="s">
        <v>1327</v>
      </c>
      <c r="C44" s="216">
        <f t="shared" si="10"/>
        <v>0</v>
      </c>
      <c r="D44" s="216">
        <f>成本明细!E141</f>
        <v>0</v>
      </c>
      <c r="E44" s="216">
        <v>0</v>
      </c>
      <c r="F44" s="216">
        <f>成本明细!F141/10000</f>
        <v>0</v>
      </c>
      <c r="G44" s="216"/>
      <c r="H44" s="216"/>
      <c r="I44" s="216"/>
      <c r="J44" s="216">
        <f t="shared" si="13"/>
        <v>0</v>
      </c>
      <c r="K44" s="216"/>
      <c r="L44" s="216">
        <v>0</v>
      </c>
      <c r="M44" s="229"/>
      <c r="N44" s="216">
        <f t="shared" si="11"/>
        <v>0</v>
      </c>
      <c r="O44" s="216">
        <f t="shared" si="12"/>
        <v>0</v>
      </c>
      <c r="P44" s="230" t="s">
        <v>1538</v>
      </c>
    </row>
    <row r="45" spans="1:16" ht="16.5" customHeight="1" outlineLevel="2">
      <c r="A45" s="214" t="s">
        <v>1328</v>
      </c>
      <c r="B45" s="215" t="s">
        <v>1329</v>
      </c>
      <c r="C45" s="216">
        <f t="shared" si="10"/>
        <v>1.1004640529940477</v>
      </c>
      <c r="D45" s="216">
        <f>成本明细!E144</f>
        <v>10.5374</v>
      </c>
      <c r="E45" s="216">
        <v>10.537387750320001</v>
      </c>
      <c r="F45" s="216">
        <f>成本明细!F144/10000</f>
        <v>10.5</v>
      </c>
      <c r="G45" s="216"/>
      <c r="H45" s="216"/>
      <c r="I45" s="216"/>
      <c r="J45" s="216">
        <f t="shared" si="13"/>
        <v>10.5</v>
      </c>
      <c r="K45" s="216"/>
      <c r="L45" s="216">
        <v>0</v>
      </c>
      <c r="M45" s="229"/>
      <c r="N45" s="216">
        <f t="shared" si="11"/>
        <v>10.5</v>
      </c>
      <c r="O45" s="216">
        <f t="shared" si="12"/>
        <v>-3.7399999999999878E-2</v>
      </c>
      <c r="P45" s="230"/>
    </row>
    <row r="46" spans="1:16" ht="16.5" customHeight="1" outlineLevel="2">
      <c r="A46" s="214" t="s">
        <v>1330</v>
      </c>
      <c r="B46" s="223" t="s">
        <v>1331</v>
      </c>
      <c r="C46" s="216">
        <f t="shared" ref="C46:C47" si="23">D46/$D$4*10000</f>
        <v>0</v>
      </c>
      <c r="D46" s="216">
        <f>成本明细!E143</f>
        <v>0</v>
      </c>
      <c r="E46" s="216">
        <v>52.363449000000003</v>
      </c>
      <c r="F46" s="216">
        <f>成本明细!F143/10000</f>
        <v>0</v>
      </c>
      <c r="G46" s="216"/>
      <c r="H46" s="216"/>
      <c r="I46" s="216"/>
      <c r="J46" s="216">
        <f t="shared" ref="J46:J47" si="24">F46+G46+H46+I46</f>
        <v>0</v>
      </c>
      <c r="K46" s="216"/>
      <c r="L46" s="216">
        <v>0</v>
      </c>
      <c r="M46" s="229"/>
      <c r="N46" s="216">
        <f t="shared" ref="N46:N47" si="25">J46+L46</f>
        <v>0</v>
      </c>
      <c r="O46" s="216">
        <f t="shared" ref="O46:O47" si="26">N46-D46</f>
        <v>0</v>
      </c>
      <c r="P46" s="230" t="s">
        <v>1538</v>
      </c>
    </row>
    <row r="47" spans="1:16" ht="16.5" customHeight="1" outlineLevel="2">
      <c r="A47" s="214" t="s">
        <v>1333</v>
      </c>
      <c r="B47" s="223" t="s">
        <v>1334</v>
      </c>
      <c r="C47" s="216">
        <f t="shared" si="23"/>
        <v>0</v>
      </c>
      <c r="D47" s="216">
        <f>成本明细!E146</f>
        <v>0</v>
      </c>
      <c r="E47" s="216">
        <v>34.908965999999999</v>
      </c>
      <c r="F47" s="216">
        <f>成本明细!F146/10000</f>
        <v>0</v>
      </c>
      <c r="G47" s="216"/>
      <c r="H47" s="216"/>
      <c r="I47" s="216"/>
      <c r="J47" s="216">
        <f t="shared" si="24"/>
        <v>0</v>
      </c>
      <c r="K47" s="216"/>
      <c r="L47" s="216">
        <v>0</v>
      </c>
      <c r="M47" s="229"/>
      <c r="N47" s="216">
        <f t="shared" si="25"/>
        <v>0</v>
      </c>
      <c r="O47" s="216">
        <f t="shared" si="26"/>
        <v>0</v>
      </c>
      <c r="P47" s="230"/>
    </row>
    <row r="48" spans="1:16" ht="16.5" customHeight="1" outlineLevel="1">
      <c r="A48" s="220">
        <v>2.6</v>
      </c>
      <c r="B48" s="221" t="s">
        <v>1335</v>
      </c>
      <c r="C48" s="222">
        <f t="shared" ref="C48:F48" si="27">SUM(C49:C54)</f>
        <v>9.064494854792196</v>
      </c>
      <c r="D48" s="222">
        <f t="shared" si="27"/>
        <v>86.796300000000016</v>
      </c>
      <c r="E48" s="222">
        <v>86.796199953400006</v>
      </c>
      <c r="F48" s="222">
        <f t="shared" si="27"/>
        <v>80.407815999999997</v>
      </c>
      <c r="G48" s="222">
        <f t="shared" ref="G48:O48" si="28">SUM(G49:G54)</f>
        <v>0</v>
      </c>
      <c r="H48" s="222">
        <f t="shared" si="28"/>
        <v>0</v>
      </c>
      <c r="I48" s="222">
        <f t="shared" si="28"/>
        <v>0</v>
      </c>
      <c r="J48" s="222">
        <f t="shared" si="28"/>
        <v>80.407815999999997</v>
      </c>
      <c r="K48" s="222"/>
      <c r="L48" s="222">
        <f t="shared" si="28"/>
        <v>5.9272089999999986</v>
      </c>
      <c r="M48" s="231"/>
      <c r="N48" s="222">
        <f t="shared" si="28"/>
        <v>86.335025000000016</v>
      </c>
      <c r="O48" s="222">
        <f t="shared" si="28"/>
        <v>-0.46127500000000732</v>
      </c>
      <c r="P48" s="232"/>
    </row>
    <row r="49" spans="1:16" ht="16.5" customHeight="1" outlineLevel="2">
      <c r="A49" s="214" t="s">
        <v>1336</v>
      </c>
      <c r="B49" s="215" t="s">
        <v>1057</v>
      </c>
      <c r="C49" s="216">
        <f t="shared" si="10"/>
        <v>2.9165524418523896</v>
      </c>
      <c r="D49" s="216">
        <f>成本明细!E148</f>
        <v>27.927199999999999</v>
      </c>
      <c r="E49" s="216">
        <v>27.927172800000001</v>
      </c>
      <c r="F49" s="216">
        <f>成本明细!F148/10000</f>
        <v>27.827709999999996</v>
      </c>
      <c r="G49" s="216"/>
      <c r="H49" s="216"/>
      <c r="I49" s="216"/>
      <c r="J49" s="216">
        <f t="shared" si="13"/>
        <v>27.827709999999996</v>
      </c>
      <c r="K49" s="216"/>
      <c r="L49" s="216">
        <v>0</v>
      </c>
      <c r="M49" s="229"/>
      <c r="N49" s="216">
        <f t="shared" si="11"/>
        <v>27.827709999999996</v>
      </c>
      <c r="O49" s="216">
        <f t="shared" si="12"/>
        <v>-9.9490000000002965E-2</v>
      </c>
      <c r="P49" s="230"/>
    </row>
    <row r="50" spans="1:16" ht="16.5" customHeight="1" outlineLevel="2">
      <c r="A50" s="214" t="s">
        <v>1337</v>
      </c>
      <c r="B50" s="215" t="s">
        <v>1059</v>
      </c>
      <c r="C50" s="216">
        <f t="shared" si="10"/>
        <v>1.0937071656946462</v>
      </c>
      <c r="D50" s="216">
        <f>成本明细!E152</f>
        <v>10.4727</v>
      </c>
      <c r="E50" s="216">
        <v>10.472689799999999</v>
      </c>
      <c r="F50" s="216">
        <f>成本明细!F152/10000</f>
        <v>10.363691000000001</v>
      </c>
      <c r="G50" s="216"/>
      <c r="H50" s="216"/>
      <c r="I50" s="216"/>
      <c r="J50" s="216">
        <f t="shared" si="13"/>
        <v>10.363691000000001</v>
      </c>
      <c r="K50" s="216"/>
      <c r="L50" s="216">
        <f>D50-J50</f>
        <v>0.10900899999999858</v>
      </c>
      <c r="M50" s="229" t="s">
        <v>1539</v>
      </c>
      <c r="N50" s="216">
        <f t="shared" si="11"/>
        <v>10.4727</v>
      </c>
      <c r="O50" s="216">
        <f t="shared" si="12"/>
        <v>0</v>
      </c>
      <c r="P50" s="230"/>
    </row>
    <row r="51" spans="1:16" ht="16.5" customHeight="1" outlineLevel="2">
      <c r="A51" s="214" t="s">
        <v>1338</v>
      </c>
      <c r="B51" s="215" t="s">
        <v>1339</v>
      </c>
      <c r="C51" s="216">
        <f t="shared" si="10"/>
        <v>3.5541853799548115</v>
      </c>
      <c r="D51" s="216">
        <f>成本明细!E156</f>
        <v>34.032800000000002</v>
      </c>
      <c r="E51" s="216">
        <v>34.032750953399997</v>
      </c>
      <c r="F51" s="216">
        <f>成本明细!F156/10000</f>
        <v>33.9</v>
      </c>
      <c r="G51" s="216"/>
      <c r="H51" s="216"/>
      <c r="I51" s="216"/>
      <c r="J51" s="216">
        <f t="shared" si="13"/>
        <v>33.9</v>
      </c>
      <c r="K51" s="216"/>
      <c r="L51" s="216">
        <v>0</v>
      </c>
      <c r="M51" s="229"/>
      <c r="N51" s="216">
        <f t="shared" si="11"/>
        <v>33.9</v>
      </c>
      <c r="O51" s="216">
        <f t="shared" si="12"/>
        <v>-0.13280000000000314</v>
      </c>
      <c r="P51" s="230"/>
    </row>
    <row r="52" spans="1:16" ht="16.5" customHeight="1" outlineLevel="2">
      <c r="A52" s="214" t="s">
        <v>1340</v>
      </c>
      <c r="B52" s="215" t="s">
        <v>1341</v>
      </c>
      <c r="C52" s="216">
        <f t="shared" si="10"/>
        <v>0.85065764773641672</v>
      </c>
      <c r="D52" s="216">
        <f>成本明细!E159</f>
        <v>8.1454000000000004</v>
      </c>
      <c r="E52" s="216">
        <v>8.1454254000000006</v>
      </c>
      <c r="F52" s="216">
        <f>成本明细!F159/10000</f>
        <v>8.3164149999999992</v>
      </c>
      <c r="G52" s="216"/>
      <c r="H52" s="216"/>
      <c r="I52" s="216"/>
      <c r="J52" s="216">
        <f t="shared" si="13"/>
        <v>8.3164149999999992</v>
      </c>
      <c r="K52" s="216"/>
      <c r="L52" s="216">
        <v>0</v>
      </c>
      <c r="M52" s="229"/>
      <c r="N52" s="216">
        <f t="shared" si="11"/>
        <v>8.3164149999999992</v>
      </c>
      <c r="O52" s="216">
        <f t="shared" si="12"/>
        <v>0.17101499999999881</v>
      </c>
      <c r="P52" s="230"/>
    </row>
    <row r="53" spans="1:16" ht="16.5" customHeight="1" outlineLevel="2">
      <c r="A53" s="214" t="s">
        <v>1342</v>
      </c>
      <c r="B53" s="215" t="s">
        <v>1343</v>
      </c>
      <c r="C53" s="216">
        <f t="shared" si="10"/>
        <v>4.1773646364152366E-2</v>
      </c>
      <c r="D53" s="216">
        <f>成本明细!E162</f>
        <v>0.4</v>
      </c>
      <c r="E53" s="216">
        <v>0.4</v>
      </c>
      <c r="F53" s="216">
        <f>成本明细!F162/10000</f>
        <v>0</v>
      </c>
      <c r="G53" s="216"/>
      <c r="H53" s="216"/>
      <c r="I53" s="216"/>
      <c r="J53" s="216">
        <f t="shared" si="13"/>
        <v>0</v>
      </c>
      <c r="K53" s="216"/>
      <c r="L53" s="216">
        <v>0</v>
      </c>
      <c r="M53" s="229"/>
      <c r="N53" s="216">
        <f t="shared" si="11"/>
        <v>0</v>
      </c>
      <c r="O53" s="216">
        <f t="shared" si="12"/>
        <v>-0.4</v>
      </c>
      <c r="P53" s="230"/>
    </row>
    <row r="54" spans="1:16" ht="16.5" customHeight="1" outlineLevel="2">
      <c r="A54" s="214" t="s">
        <v>1344</v>
      </c>
      <c r="B54" s="215" t="s">
        <v>1345</v>
      </c>
      <c r="C54" s="216">
        <f t="shared" si="10"/>
        <v>0.60761857318977819</v>
      </c>
      <c r="D54" s="216">
        <f>成本明细!E165</f>
        <v>5.8182</v>
      </c>
      <c r="E54" s="216">
        <v>5.8181609999999999</v>
      </c>
      <c r="F54" s="216">
        <f>成本明细!F165/10000</f>
        <v>0</v>
      </c>
      <c r="G54" s="216"/>
      <c r="H54" s="216"/>
      <c r="I54" s="216"/>
      <c r="J54" s="216">
        <f t="shared" si="13"/>
        <v>0</v>
      </c>
      <c r="K54" s="216"/>
      <c r="L54" s="216">
        <f t="shared" ref="L54" si="29">D54-J54</f>
        <v>5.8182</v>
      </c>
      <c r="M54" s="229"/>
      <c r="N54" s="216">
        <f t="shared" si="11"/>
        <v>5.8182</v>
      </c>
      <c r="O54" s="216">
        <f t="shared" si="12"/>
        <v>0</v>
      </c>
      <c r="P54" s="230"/>
    </row>
    <row r="55" spans="1:16" ht="16.5" customHeight="1" outlineLevel="1">
      <c r="A55" s="220">
        <v>2.7</v>
      </c>
      <c r="B55" s="221" t="s">
        <v>1346</v>
      </c>
      <c r="C55" s="222">
        <f t="shared" ref="C55:F55" si="30">SUM(C56:C61)</f>
        <v>5.2846064635318681</v>
      </c>
      <c r="D55" s="222">
        <f t="shared" si="30"/>
        <v>50.6023</v>
      </c>
      <c r="E55" s="222">
        <v>50.602304400000001</v>
      </c>
      <c r="F55" s="222">
        <f t="shared" si="30"/>
        <v>2.1980999999999997</v>
      </c>
      <c r="G55" s="222">
        <f t="shared" ref="G55:O55" si="31">SUM(G56:G61)</f>
        <v>0</v>
      </c>
      <c r="H55" s="222">
        <f t="shared" si="31"/>
        <v>0</v>
      </c>
      <c r="I55" s="222">
        <f t="shared" si="31"/>
        <v>0</v>
      </c>
      <c r="J55" s="222">
        <f t="shared" si="31"/>
        <v>2.1980999999999997</v>
      </c>
      <c r="K55" s="222"/>
      <c r="L55" s="222">
        <f t="shared" si="31"/>
        <v>48.404199999999996</v>
      </c>
      <c r="M55" s="231"/>
      <c r="N55" s="222">
        <f t="shared" si="31"/>
        <v>50.6023</v>
      </c>
      <c r="O55" s="222">
        <f t="shared" si="31"/>
        <v>0</v>
      </c>
      <c r="P55" s="232"/>
    </row>
    <row r="56" spans="1:16" ht="16.5" customHeight="1" outlineLevel="2">
      <c r="A56" s="214" t="s">
        <v>1347</v>
      </c>
      <c r="B56" s="215" t="s">
        <v>1043</v>
      </c>
      <c r="C56" s="216">
        <f t="shared" si="10"/>
        <v>1.0853628798334067</v>
      </c>
      <c r="D56" s="216">
        <f>成本明细!E169</f>
        <v>10.392799999999999</v>
      </c>
      <c r="E56" s="216">
        <v>10.392825</v>
      </c>
      <c r="F56" s="216">
        <f>成本明细!F169/10000</f>
        <v>0</v>
      </c>
      <c r="G56" s="216"/>
      <c r="H56" s="216"/>
      <c r="I56" s="216"/>
      <c r="J56" s="216">
        <f t="shared" si="13"/>
        <v>0</v>
      </c>
      <c r="K56" s="216"/>
      <c r="L56" s="216">
        <f>D56-J56</f>
        <v>10.392799999999999</v>
      </c>
      <c r="M56" s="229"/>
      <c r="N56" s="216">
        <f t="shared" si="11"/>
        <v>10.392799999999999</v>
      </c>
      <c r="O56" s="216">
        <f t="shared" si="12"/>
        <v>0</v>
      </c>
      <c r="P56" s="230"/>
    </row>
    <row r="57" spans="1:16" ht="16.5" customHeight="1" outlineLevel="2">
      <c r="A57" s="214" t="s">
        <v>1348</v>
      </c>
      <c r="B57" s="215" t="s">
        <v>1349</v>
      </c>
      <c r="C57" s="216">
        <f t="shared" si="10"/>
        <v>0.60761857318977819</v>
      </c>
      <c r="D57" s="216">
        <f>成本明细!E172</f>
        <v>5.8182</v>
      </c>
      <c r="E57" s="216">
        <v>5.8181609999999999</v>
      </c>
      <c r="F57" s="216">
        <f>成本明细!F172/10000</f>
        <v>0</v>
      </c>
      <c r="G57" s="216"/>
      <c r="H57" s="216"/>
      <c r="I57" s="216"/>
      <c r="J57" s="216">
        <f t="shared" si="13"/>
        <v>0</v>
      </c>
      <c r="K57" s="216"/>
      <c r="L57" s="216">
        <f t="shared" ref="L57:L69" si="32">D57-J57</f>
        <v>5.8182</v>
      </c>
      <c r="M57" s="229"/>
      <c r="N57" s="216">
        <f t="shared" si="11"/>
        <v>5.8182</v>
      </c>
      <c r="O57" s="216">
        <f t="shared" si="12"/>
        <v>0</v>
      </c>
      <c r="P57" s="230"/>
    </row>
    <row r="58" spans="1:16" ht="16.5" customHeight="1" outlineLevel="2">
      <c r="A58" s="214" t="s">
        <v>1350</v>
      </c>
      <c r="B58" s="215" t="s">
        <v>1045</v>
      </c>
      <c r="C58" s="216">
        <f t="shared" si="10"/>
        <v>1.0853628798334067</v>
      </c>
      <c r="D58" s="216">
        <f>成本明细!E175</f>
        <v>10.392799999999999</v>
      </c>
      <c r="E58" s="216">
        <v>10.392825</v>
      </c>
      <c r="F58" s="216">
        <f>成本明细!F175/10000</f>
        <v>0</v>
      </c>
      <c r="G58" s="216"/>
      <c r="H58" s="216"/>
      <c r="I58" s="216"/>
      <c r="J58" s="216">
        <f t="shared" si="13"/>
        <v>0</v>
      </c>
      <c r="K58" s="216"/>
      <c r="L58" s="216">
        <f t="shared" si="32"/>
        <v>10.392799999999999</v>
      </c>
      <c r="M58" s="229"/>
      <c r="N58" s="216">
        <f t="shared" si="11"/>
        <v>10.392799999999999</v>
      </c>
      <c r="O58" s="216">
        <f t="shared" si="12"/>
        <v>0</v>
      </c>
      <c r="P58" s="230"/>
    </row>
    <row r="59" spans="1:16" ht="16.5" customHeight="1" outlineLevel="2">
      <c r="A59" s="214" t="s">
        <v>1351</v>
      </c>
      <c r="B59" s="215" t="s">
        <v>1077</v>
      </c>
      <c r="C59" s="216">
        <f t="shared" si="10"/>
        <v>1.4582762209261948</v>
      </c>
      <c r="D59" s="216">
        <f>成本明细!E178</f>
        <v>13.9636</v>
      </c>
      <c r="E59" s="216">
        <v>13.963586400000001</v>
      </c>
      <c r="F59" s="216">
        <f>成本明细!F178/10000</f>
        <v>0</v>
      </c>
      <c r="G59" s="216"/>
      <c r="H59" s="216"/>
      <c r="I59" s="216"/>
      <c r="J59" s="216">
        <f t="shared" si="13"/>
        <v>0</v>
      </c>
      <c r="K59" s="216"/>
      <c r="L59" s="216">
        <f t="shared" si="32"/>
        <v>13.9636</v>
      </c>
      <c r="M59" s="229"/>
      <c r="N59" s="216">
        <f t="shared" si="11"/>
        <v>13.9636</v>
      </c>
      <c r="O59" s="216">
        <f t="shared" si="12"/>
        <v>0</v>
      </c>
      <c r="P59" s="230"/>
    </row>
    <row r="60" spans="1:16" ht="16.5" customHeight="1" outlineLevel="2">
      <c r="A60" s="214" t="s">
        <v>1352</v>
      </c>
      <c r="B60" s="215" t="s">
        <v>1085</v>
      </c>
      <c r="C60" s="216">
        <f t="shared" si="10"/>
        <v>0.80936439830545204</v>
      </c>
      <c r="D60" s="216">
        <f>成本明细!E181</f>
        <v>7.75</v>
      </c>
      <c r="E60" s="216">
        <v>7.75</v>
      </c>
      <c r="F60" s="216">
        <f>成本明细!F181/10000</f>
        <v>1.9644999999999999</v>
      </c>
      <c r="G60" s="216"/>
      <c r="H60" s="216"/>
      <c r="I60" s="216"/>
      <c r="J60" s="216">
        <f t="shared" si="13"/>
        <v>1.9644999999999999</v>
      </c>
      <c r="K60" s="216"/>
      <c r="L60" s="216">
        <f t="shared" si="32"/>
        <v>5.7854999999999999</v>
      </c>
      <c r="M60" s="229"/>
      <c r="N60" s="216">
        <f t="shared" si="11"/>
        <v>7.75</v>
      </c>
      <c r="O60" s="216">
        <f t="shared" si="12"/>
        <v>0</v>
      </c>
      <c r="P60" s="230"/>
    </row>
    <row r="61" spans="1:16" ht="16.5" customHeight="1" outlineLevel="2">
      <c r="A61" s="214" t="s">
        <v>1353</v>
      </c>
      <c r="B61" s="215" t="s">
        <v>1067</v>
      </c>
      <c r="C61" s="216">
        <f t="shared" si="10"/>
        <v>0.23862151144362934</v>
      </c>
      <c r="D61" s="216">
        <f>成本明细!E184</f>
        <v>2.2848999999999999</v>
      </c>
      <c r="E61" s="216">
        <v>2.284907</v>
      </c>
      <c r="F61" s="216">
        <f>成本明细!F184/10000</f>
        <v>0.2336</v>
      </c>
      <c r="G61" s="216"/>
      <c r="H61" s="216"/>
      <c r="I61" s="216"/>
      <c r="J61" s="216">
        <f t="shared" si="13"/>
        <v>0.2336</v>
      </c>
      <c r="K61" s="216"/>
      <c r="L61" s="216">
        <f t="shared" si="32"/>
        <v>2.0512999999999999</v>
      </c>
      <c r="M61" s="229"/>
      <c r="N61" s="216">
        <f t="shared" si="11"/>
        <v>2.2848999999999999</v>
      </c>
      <c r="O61" s="216">
        <f t="shared" si="12"/>
        <v>0</v>
      </c>
      <c r="P61" s="230"/>
    </row>
    <row r="62" spans="1:16" ht="16.5" customHeight="1" outlineLevel="1">
      <c r="A62" s="220">
        <v>2.8</v>
      </c>
      <c r="B62" s="221" t="s">
        <v>1354</v>
      </c>
      <c r="C62" s="222">
        <f t="shared" ref="C62:F62" si="33">SUM(C63:C69)</f>
        <v>6.8123627017732389</v>
      </c>
      <c r="D62" s="222">
        <f t="shared" si="33"/>
        <v>65.231200000000001</v>
      </c>
      <c r="E62" s="222">
        <v>65.231194400000007</v>
      </c>
      <c r="F62" s="222">
        <f t="shared" si="33"/>
        <v>27.643030000000003</v>
      </c>
      <c r="G62" s="222">
        <f t="shared" ref="G62:O62" si="34">SUM(G63:G69)</f>
        <v>0</v>
      </c>
      <c r="H62" s="222">
        <f t="shared" si="34"/>
        <v>0</v>
      </c>
      <c r="I62" s="222">
        <f t="shared" si="34"/>
        <v>0</v>
      </c>
      <c r="J62" s="222">
        <f t="shared" si="34"/>
        <v>27.643030000000003</v>
      </c>
      <c r="K62" s="222"/>
      <c r="L62" s="222">
        <f t="shared" si="34"/>
        <v>37.588169999999998</v>
      </c>
      <c r="M62" s="231"/>
      <c r="N62" s="222">
        <f t="shared" si="34"/>
        <v>65.231200000000001</v>
      </c>
      <c r="O62" s="222">
        <f t="shared" si="34"/>
        <v>0</v>
      </c>
      <c r="P62" s="232"/>
    </row>
    <row r="63" spans="1:16" ht="16.5" customHeight="1" outlineLevel="2">
      <c r="A63" s="214" t="s">
        <v>1355</v>
      </c>
      <c r="B63" s="215" t="s">
        <v>1061</v>
      </c>
      <c r="C63" s="216">
        <f t="shared" si="10"/>
        <v>0.60761857318977819</v>
      </c>
      <c r="D63" s="216">
        <f>成本明细!E188</f>
        <v>5.8182</v>
      </c>
      <c r="E63" s="216">
        <v>5.8181609999999999</v>
      </c>
      <c r="F63" s="216">
        <f>成本明细!F188/10000</f>
        <v>1.612876</v>
      </c>
      <c r="G63" s="216"/>
      <c r="H63" s="216"/>
      <c r="I63" s="216"/>
      <c r="J63" s="216">
        <f t="shared" si="13"/>
        <v>1.612876</v>
      </c>
      <c r="K63" s="216"/>
      <c r="L63" s="216">
        <f t="shared" si="32"/>
        <v>4.2053240000000001</v>
      </c>
      <c r="M63" s="229"/>
      <c r="N63" s="216">
        <f t="shared" si="11"/>
        <v>5.8182</v>
      </c>
      <c r="O63" s="216">
        <f t="shared" si="12"/>
        <v>0</v>
      </c>
      <c r="P63" s="230"/>
    </row>
    <row r="64" spans="1:16" ht="16.5" customHeight="1" outlineLevel="2">
      <c r="A64" s="214" t="s">
        <v>1356</v>
      </c>
      <c r="B64" s="215" t="s">
        <v>1063</v>
      </c>
      <c r="C64" s="216">
        <f t="shared" si="10"/>
        <v>0.31330234773114274</v>
      </c>
      <c r="D64" s="216">
        <f>成本明细!E193</f>
        <v>3</v>
      </c>
      <c r="E64" s="216">
        <v>3</v>
      </c>
      <c r="F64" s="216">
        <f>成本明细!F193/10000</f>
        <v>2.4</v>
      </c>
      <c r="G64" s="216"/>
      <c r="H64" s="216"/>
      <c r="I64" s="216"/>
      <c r="J64" s="216">
        <f t="shared" si="13"/>
        <v>2.4</v>
      </c>
      <c r="K64" s="216"/>
      <c r="L64" s="216">
        <f t="shared" si="32"/>
        <v>0.60000000000000009</v>
      </c>
      <c r="M64" s="229"/>
      <c r="N64" s="216">
        <f t="shared" si="11"/>
        <v>3</v>
      </c>
      <c r="O64" s="216">
        <f t="shared" si="12"/>
        <v>0</v>
      </c>
      <c r="P64" s="230"/>
    </row>
    <row r="65" spans="1:16" ht="16.5" customHeight="1" outlineLevel="2">
      <c r="A65" s="214" t="s">
        <v>1357</v>
      </c>
      <c r="B65" s="215" t="s">
        <v>1358</v>
      </c>
      <c r="C65" s="216">
        <f t="shared" si="10"/>
        <v>0.57898273860715177</v>
      </c>
      <c r="D65" s="216">
        <f>成本明细!E198</f>
        <v>5.5439999999999996</v>
      </c>
      <c r="E65" s="216">
        <v>5.5439999999999996</v>
      </c>
      <c r="F65" s="216">
        <f>成本明细!F198/10000</f>
        <v>2.5680000000000001</v>
      </c>
      <c r="G65" s="216"/>
      <c r="H65" s="216"/>
      <c r="I65" s="216"/>
      <c r="J65" s="216">
        <f t="shared" si="13"/>
        <v>2.5680000000000001</v>
      </c>
      <c r="K65" s="216"/>
      <c r="L65" s="216">
        <f t="shared" si="32"/>
        <v>2.9759999999999995</v>
      </c>
      <c r="M65" s="229"/>
      <c r="N65" s="216">
        <f t="shared" si="11"/>
        <v>5.5439999999999996</v>
      </c>
      <c r="O65" s="216">
        <f t="shared" si="12"/>
        <v>0</v>
      </c>
      <c r="P65" s="230"/>
    </row>
    <row r="66" spans="1:16" ht="16.5" customHeight="1" outlineLevel="2">
      <c r="A66" s="214" t="s">
        <v>1359</v>
      </c>
      <c r="B66" s="215" t="s">
        <v>1360</v>
      </c>
      <c r="C66" s="216">
        <f t="shared" si="10"/>
        <v>0</v>
      </c>
      <c r="D66" s="216">
        <f>成本明细!E203</f>
        <v>0</v>
      </c>
      <c r="E66" s="216">
        <v>0</v>
      </c>
      <c r="F66" s="216">
        <f>成本明细!F203/10000</f>
        <v>0</v>
      </c>
      <c r="G66" s="216"/>
      <c r="H66" s="216"/>
      <c r="I66" s="216"/>
      <c r="J66" s="216">
        <f t="shared" si="13"/>
        <v>0</v>
      </c>
      <c r="K66" s="216"/>
      <c r="L66" s="216">
        <f t="shared" si="32"/>
        <v>0</v>
      </c>
      <c r="M66" s="229"/>
      <c r="N66" s="216">
        <f t="shared" si="11"/>
        <v>0</v>
      </c>
      <c r="O66" s="216">
        <f t="shared" si="12"/>
        <v>0</v>
      </c>
      <c r="P66" s="230"/>
    </row>
    <row r="67" spans="1:16" ht="16.5" customHeight="1" outlineLevel="2">
      <c r="A67" s="214" t="s">
        <v>1361</v>
      </c>
      <c r="B67" s="215" t="s">
        <v>1069</v>
      </c>
      <c r="C67" s="216">
        <f t="shared" si="10"/>
        <v>3.3418917091321894E-2</v>
      </c>
      <c r="D67" s="216">
        <f>成本明细!E206</f>
        <v>0.32</v>
      </c>
      <c r="E67" s="216">
        <v>0.32</v>
      </c>
      <c r="F67" s="216">
        <f>成本明细!F206/10000</f>
        <v>0</v>
      </c>
      <c r="G67" s="216"/>
      <c r="H67" s="216"/>
      <c r="I67" s="216"/>
      <c r="J67" s="216">
        <f t="shared" si="13"/>
        <v>0</v>
      </c>
      <c r="K67" s="216"/>
      <c r="L67" s="216">
        <f t="shared" si="32"/>
        <v>0.32</v>
      </c>
      <c r="M67" s="229"/>
      <c r="N67" s="216">
        <f t="shared" si="11"/>
        <v>0.32</v>
      </c>
      <c r="O67" s="216">
        <f t="shared" si="12"/>
        <v>0</v>
      </c>
      <c r="P67" s="230"/>
    </row>
    <row r="68" spans="1:16" ht="16.5" customHeight="1" outlineLevel="2">
      <c r="A68" s="214" t="s">
        <v>1362</v>
      </c>
      <c r="B68" s="215" t="s">
        <v>1363</v>
      </c>
      <c r="C68" s="216">
        <f t="shared" si="10"/>
        <v>1.8054256656238921</v>
      </c>
      <c r="D68" s="216">
        <f>成本明细!E209</f>
        <v>17.287700000000001</v>
      </c>
      <c r="E68" s="216">
        <v>17.287738399999999</v>
      </c>
      <c r="F68" s="216">
        <f>成本明细!F209/10000</f>
        <v>8.1518990000000002</v>
      </c>
      <c r="G68" s="216"/>
      <c r="H68" s="216"/>
      <c r="I68" s="216"/>
      <c r="J68" s="216">
        <f t="shared" si="13"/>
        <v>8.1518990000000002</v>
      </c>
      <c r="K68" s="216"/>
      <c r="L68" s="216">
        <f t="shared" si="32"/>
        <v>9.1358010000000007</v>
      </c>
      <c r="M68" s="229"/>
      <c r="N68" s="216">
        <f t="shared" si="11"/>
        <v>17.287700000000001</v>
      </c>
      <c r="O68" s="216">
        <f t="shared" si="12"/>
        <v>0</v>
      </c>
      <c r="P68" s="230"/>
    </row>
    <row r="69" spans="1:16" ht="16.5" customHeight="1" outlineLevel="2">
      <c r="A69" s="214" t="s">
        <v>1364</v>
      </c>
      <c r="B69" s="215" t="s">
        <v>1365</v>
      </c>
      <c r="C69" s="216">
        <f t="shared" si="10"/>
        <v>3.4736144595299527</v>
      </c>
      <c r="D69" s="216">
        <f>成本明细!E213</f>
        <v>33.261299999999999</v>
      </c>
      <c r="E69" s="216">
        <v>33.261294999999997</v>
      </c>
      <c r="F69" s="216">
        <f>成本明细!F213/10000</f>
        <v>12.910255000000001</v>
      </c>
      <c r="G69" s="216"/>
      <c r="H69" s="216"/>
      <c r="I69" s="216"/>
      <c r="J69" s="216">
        <f t="shared" si="13"/>
        <v>12.910255000000001</v>
      </c>
      <c r="K69" s="216"/>
      <c r="L69" s="216">
        <f t="shared" si="32"/>
        <v>20.351044999999999</v>
      </c>
      <c r="M69" s="229"/>
      <c r="N69" s="216">
        <f t="shared" si="11"/>
        <v>33.261299999999999</v>
      </c>
      <c r="O69" s="216">
        <f t="shared" si="12"/>
        <v>0</v>
      </c>
      <c r="P69" s="230"/>
    </row>
    <row r="70" spans="1:16" ht="16.5" customHeight="1">
      <c r="A70" s="211" t="s">
        <v>1087</v>
      </c>
      <c r="B70" s="212" t="s">
        <v>1088</v>
      </c>
      <c r="C70" s="213">
        <f t="shared" ref="C70:F70" si="35">C71+C79+C88+C97+C101+C104</f>
        <v>4069.0801913024138</v>
      </c>
      <c r="D70" s="213">
        <f t="shared" si="35"/>
        <v>38963.131499999996</v>
      </c>
      <c r="E70" s="213">
        <v>41880.310860200698</v>
      </c>
      <c r="F70" s="213">
        <f t="shared" si="35"/>
        <v>33315.832199999997</v>
      </c>
      <c r="G70" s="213">
        <f t="shared" ref="G70:O70" si="36">G71+G79+G88+G97+G101+G104</f>
        <v>0</v>
      </c>
      <c r="H70" s="213">
        <f t="shared" si="36"/>
        <v>0</v>
      </c>
      <c r="I70" s="213">
        <f t="shared" si="36"/>
        <v>0</v>
      </c>
      <c r="J70" s="213">
        <f t="shared" si="36"/>
        <v>32697.813000000002</v>
      </c>
      <c r="K70" s="213"/>
      <c r="L70" s="213">
        <f t="shared" si="36"/>
        <v>34256.164400000001</v>
      </c>
      <c r="M70" s="227"/>
      <c r="N70" s="213">
        <f t="shared" si="36"/>
        <v>66953.977400000003</v>
      </c>
      <c r="O70" s="213">
        <f t="shared" si="36"/>
        <v>27990.8459</v>
      </c>
      <c r="P70" s="228"/>
    </row>
    <row r="71" spans="1:16" ht="16.5" customHeight="1" outlineLevel="1">
      <c r="A71" s="220">
        <v>3.1</v>
      </c>
      <c r="B71" s="221" t="s">
        <v>1366</v>
      </c>
      <c r="C71" s="222">
        <f t="shared" ref="C71:F71" si="37">SUM(C72:C78)</f>
        <v>123.3233650969697</v>
      </c>
      <c r="D71" s="222">
        <f t="shared" si="37"/>
        <v>1180.8724</v>
      </c>
      <c r="E71" s="222">
        <v>1797.9616260753</v>
      </c>
      <c r="F71" s="222">
        <f t="shared" si="37"/>
        <v>836.21410000000003</v>
      </c>
      <c r="G71" s="222">
        <f t="shared" ref="G71:O71" si="38">SUM(G72:G78)</f>
        <v>0</v>
      </c>
      <c r="H71" s="222">
        <f t="shared" si="38"/>
        <v>0</v>
      </c>
      <c r="I71" s="222">
        <f t="shared" si="38"/>
        <v>0</v>
      </c>
      <c r="J71" s="222">
        <f t="shared" si="38"/>
        <v>836.21410000000003</v>
      </c>
      <c r="K71" s="222"/>
      <c r="L71" s="222">
        <f t="shared" si="38"/>
        <v>1538.1967000000002</v>
      </c>
      <c r="M71" s="231"/>
      <c r="N71" s="222">
        <f t="shared" si="38"/>
        <v>2374.4107999999997</v>
      </c>
      <c r="O71" s="222">
        <f t="shared" si="38"/>
        <v>1193.5383999999999</v>
      </c>
      <c r="P71" s="232"/>
    </row>
    <row r="72" spans="1:16" ht="16.5" customHeight="1" outlineLevel="2">
      <c r="A72" s="214" t="s">
        <v>1367</v>
      </c>
      <c r="B72" s="215" t="s">
        <v>1090</v>
      </c>
      <c r="C72" s="216">
        <f t="shared" ref="C72:C104" si="39">D72/$D$4*10000</f>
        <v>10.853660128568839</v>
      </c>
      <c r="D72" s="216">
        <f>成本明细!E229</f>
        <v>103.92829999999999</v>
      </c>
      <c r="E72" s="216">
        <v>700.00041361499996</v>
      </c>
      <c r="F72" s="216">
        <f>成本明细!F229/10000</f>
        <v>576.46600000000001</v>
      </c>
      <c r="G72" s="216"/>
      <c r="H72" s="216"/>
      <c r="I72" s="216"/>
      <c r="J72" s="216">
        <f t="shared" ref="J72:J104" si="40">F72+G72+H72+I72</f>
        <v>576.46600000000001</v>
      </c>
      <c r="K72" s="216"/>
      <c r="L72" s="216">
        <v>700</v>
      </c>
      <c r="M72" s="229"/>
      <c r="N72" s="216">
        <f t="shared" ref="N72:N78" si="41">J72+L72</f>
        <v>1276.4659999999999</v>
      </c>
      <c r="O72" s="216">
        <f t="shared" ref="O72:O78" si="42">N72-D72</f>
        <v>1172.5376999999999</v>
      </c>
      <c r="P72" s="230"/>
    </row>
    <row r="73" spans="1:16" ht="16.5" customHeight="1" outlineLevel="2">
      <c r="A73" s="214" t="s">
        <v>1369</v>
      </c>
      <c r="B73" s="215" t="s">
        <v>1370</v>
      </c>
      <c r="C73" s="216">
        <f t="shared" si="39"/>
        <v>0.64931911567279332</v>
      </c>
      <c r="D73" s="216">
        <f>成本明细!E232</f>
        <v>6.2175000000000002</v>
      </c>
      <c r="E73" s="216">
        <v>18.4898749575</v>
      </c>
      <c r="F73" s="216">
        <f>成本明细!F232/10000</f>
        <v>18.494</v>
      </c>
      <c r="G73" s="216"/>
      <c r="H73" s="216"/>
      <c r="I73" s="216"/>
      <c r="J73" s="216">
        <f t="shared" si="40"/>
        <v>18.494</v>
      </c>
      <c r="K73" s="216"/>
      <c r="L73" s="216">
        <v>0</v>
      </c>
      <c r="M73" s="229"/>
      <c r="N73" s="216">
        <f t="shared" si="41"/>
        <v>18.494</v>
      </c>
      <c r="O73" s="216">
        <f t="shared" si="42"/>
        <v>12.276499999999999</v>
      </c>
      <c r="P73" s="230"/>
    </row>
    <row r="74" spans="1:16" ht="16.5" customHeight="1" outlineLevel="2">
      <c r="A74" s="214" t="s">
        <v>1372</v>
      </c>
      <c r="B74" s="217" t="s">
        <v>1373</v>
      </c>
      <c r="C74" s="216">
        <f t="shared" si="39"/>
        <v>24.304575833005675</v>
      </c>
      <c r="D74" s="216">
        <f>成本明细!E236</f>
        <v>232.72640000000001</v>
      </c>
      <c r="E74" s="216">
        <v>232.72644</v>
      </c>
      <c r="F74" s="216">
        <f>成本明细!F236/10000</f>
        <v>0</v>
      </c>
      <c r="G74" s="216"/>
      <c r="H74" s="216"/>
      <c r="I74" s="216"/>
      <c r="J74" s="216">
        <f t="shared" si="40"/>
        <v>0</v>
      </c>
      <c r="K74" s="216"/>
      <c r="L74" s="216">
        <f>D74-J74</f>
        <v>232.72640000000001</v>
      </c>
      <c r="M74" s="229"/>
      <c r="N74" s="216">
        <f t="shared" si="41"/>
        <v>232.72640000000001</v>
      </c>
      <c r="O74" s="216">
        <f t="shared" si="42"/>
        <v>0</v>
      </c>
      <c r="P74" s="230"/>
    </row>
    <row r="75" spans="1:16" ht="16.5" customHeight="1" outlineLevel="2">
      <c r="A75" s="214" t="s">
        <v>1374</v>
      </c>
      <c r="B75" s="215" t="s">
        <v>1375</v>
      </c>
      <c r="C75" s="216">
        <f t="shared" si="39"/>
        <v>30.380730234668682</v>
      </c>
      <c r="D75" s="216">
        <f>成本明细!E239</f>
        <v>290.90809999999999</v>
      </c>
      <c r="E75" s="216">
        <v>290.90805</v>
      </c>
      <c r="F75" s="216">
        <f>成本明细!F239/10000</f>
        <v>191.61779999999999</v>
      </c>
      <c r="G75" s="216"/>
      <c r="H75" s="216"/>
      <c r="I75" s="216"/>
      <c r="J75" s="216">
        <f t="shared" si="40"/>
        <v>191.61779999999999</v>
      </c>
      <c r="K75" s="216"/>
      <c r="L75" s="216">
        <f t="shared" ref="L75:L76" si="43">D75-J75</f>
        <v>99.290300000000002</v>
      </c>
      <c r="M75" s="229"/>
      <c r="N75" s="216">
        <f t="shared" si="41"/>
        <v>290.90809999999999</v>
      </c>
      <c r="O75" s="216">
        <f t="shared" si="42"/>
        <v>0</v>
      </c>
      <c r="P75" s="230"/>
    </row>
    <row r="76" spans="1:16" ht="16.5" customHeight="1" outlineLevel="2">
      <c r="A76" s="214" t="s">
        <v>1376</v>
      </c>
      <c r="B76" s="217" t="s">
        <v>1377</v>
      </c>
      <c r="C76" s="216">
        <f t="shared" si="39"/>
        <v>52.862460791516611</v>
      </c>
      <c r="D76" s="216">
        <f>成本明细!E245</f>
        <v>506.18</v>
      </c>
      <c r="E76" s="216">
        <v>506.18000699999999</v>
      </c>
      <c r="F76" s="216">
        <f>成本明细!F245/10000</f>
        <v>0</v>
      </c>
      <c r="G76" s="216"/>
      <c r="H76" s="216"/>
      <c r="I76" s="216"/>
      <c r="J76" s="216">
        <f t="shared" si="40"/>
        <v>0</v>
      </c>
      <c r="K76" s="216"/>
      <c r="L76" s="216">
        <f t="shared" si="43"/>
        <v>506.18</v>
      </c>
      <c r="M76" s="229"/>
      <c r="N76" s="216">
        <f t="shared" si="41"/>
        <v>506.18</v>
      </c>
      <c r="O76" s="216">
        <f t="shared" si="42"/>
        <v>0</v>
      </c>
      <c r="P76" s="230"/>
    </row>
    <row r="77" spans="1:16" ht="16.5" customHeight="1" outlineLevel="2">
      <c r="A77" s="214" t="s">
        <v>1378</v>
      </c>
      <c r="B77" s="215" t="s">
        <v>1083</v>
      </c>
      <c r="C77" s="216">
        <f t="shared" si="39"/>
        <v>0.86997795917983711</v>
      </c>
      <c r="D77" s="216">
        <f>成本明细!E248</f>
        <v>8.3303999999999991</v>
      </c>
      <c r="E77" s="216">
        <v>8.3304429197999994</v>
      </c>
      <c r="F77" s="216">
        <f>成本明细!F248/10000</f>
        <v>8.3102999999999998</v>
      </c>
      <c r="G77" s="216"/>
      <c r="H77" s="216"/>
      <c r="I77" s="216"/>
      <c r="J77" s="216">
        <f t="shared" si="40"/>
        <v>8.3102999999999998</v>
      </c>
      <c r="K77" s="216"/>
      <c r="L77" s="216">
        <v>0</v>
      </c>
      <c r="M77" s="229"/>
      <c r="N77" s="216">
        <f t="shared" si="41"/>
        <v>8.3102999999999998</v>
      </c>
      <c r="O77" s="216">
        <f t="shared" si="42"/>
        <v>-2.0099999999999341E-2</v>
      </c>
      <c r="P77" s="230"/>
    </row>
    <row r="78" spans="1:16" ht="16.5" customHeight="1" outlineLevel="2">
      <c r="A78" s="214" t="s">
        <v>1379</v>
      </c>
      <c r="B78" s="215" t="s">
        <v>1380</v>
      </c>
      <c r="C78" s="216">
        <f t="shared" si="39"/>
        <v>3.4026410343572575</v>
      </c>
      <c r="D78" s="216">
        <f>成本明细!E252</f>
        <v>32.581699999999998</v>
      </c>
      <c r="E78" s="216">
        <v>41.326397583000002</v>
      </c>
      <c r="F78" s="216">
        <f>成本明细!F252/10000</f>
        <v>41.326000000000001</v>
      </c>
      <c r="G78" s="216"/>
      <c r="H78" s="216"/>
      <c r="I78" s="216"/>
      <c r="J78" s="216">
        <f t="shared" si="40"/>
        <v>41.326000000000001</v>
      </c>
      <c r="K78" s="216"/>
      <c r="L78" s="216">
        <v>0</v>
      </c>
      <c r="M78" s="229"/>
      <c r="N78" s="216">
        <f t="shared" si="41"/>
        <v>41.326000000000001</v>
      </c>
      <c r="O78" s="216">
        <f t="shared" si="42"/>
        <v>8.7443000000000026</v>
      </c>
      <c r="P78" s="230"/>
    </row>
    <row r="79" spans="1:16" ht="16.5" customHeight="1" outlineLevel="1">
      <c r="A79" s="220">
        <v>3.2</v>
      </c>
      <c r="B79" s="221" t="s">
        <v>1092</v>
      </c>
      <c r="C79" s="222">
        <f t="shared" ref="C79:F79" si="44">SUM(C80:C87)</f>
        <v>3257.9823119937887</v>
      </c>
      <c r="D79" s="222">
        <f t="shared" si="44"/>
        <v>31196.5327</v>
      </c>
      <c r="E79" s="222">
        <v>32973.187353707799</v>
      </c>
      <c r="F79" s="222">
        <f t="shared" si="44"/>
        <v>28961.1669</v>
      </c>
      <c r="G79" s="222">
        <f t="shared" ref="G79:O79" si="45">SUM(G80:G87)</f>
        <v>0</v>
      </c>
      <c r="H79" s="222">
        <f t="shared" si="45"/>
        <v>0</v>
      </c>
      <c r="I79" s="222">
        <f t="shared" si="45"/>
        <v>0</v>
      </c>
      <c r="J79" s="222">
        <f t="shared" si="45"/>
        <v>28961.1669</v>
      </c>
      <c r="K79" s="222"/>
      <c r="L79" s="222">
        <f>SUM(L80:L87)</f>
        <v>27988.429700000004</v>
      </c>
      <c r="M79" s="231"/>
      <c r="N79" s="222">
        <f t="shared" si="45"/>
        <v>56949.596599999997</v>
      </c>
      <c r="O79" s="222">
        <f t="shared" si="45"/>
        <v>25753.063899999997</v>
      </c>
      <c r="P79" s="232"/>
    </row>
    <row r="80" spans="1:16" ht="16.5" customHeight="1" outlineLevel="2">
      <c r="A80" s="214" t="s">
        <v>1382</v>
      </c>
      <c r="B80" s="217" t="s">
        <v>1383</v>
      </c>
      <c r="C80" s="216">
        <f t="shared" si="39"/>
        <v>2330.0742056610607</v>
      </c>
      <c r="D80" s="216">
        <f>成本明细!E258</f>
        <v>22311.427500000002</v>
      </c>
      <c r="E80" s="216">
        <v>23739.602181709401</v>
      </c>
      <c r="F80" s="216">
        <f>成本明细!F258/10000</f>
        <v>23990.0072</v>
      </c>
      <c r="G80" s="216"/>
      <c r="H80" s="216"/>
      <c r="I80" s="216"/>
      <c r="J80" s="216">
        <f t="shared" si="40"/>
        <v>23990.0072</v>
      </c>
      <c r="K80" s="216"/>
      <c r="L80" s="216">
        <f>11032+300+12490-1*96</f>
        <v>23726</v>
      </c>
      <c r="M80" s="229" t="s">
        <v>1540</v>
      </c>
      <c r="N80" s="216">
        <f t="shared" ref="N80:N87" si="46">J80+L80</f>
        <v>47716.0072</v>
      </c>
      <c r="O80" s="216">
        <f t="shared" ref="O80:O87" si="47">N80-D80</f>
        <v>25404.579699999998</v>
      </c>
      <c r="P80" s="230"/>
    </row>
    <row r="81" spans="1:16" ht="16.5" customHeight="1" outlineLevel="2">
      <c r="A81" s="214" t="s">
        <v>1385</v>
      </c>
      <c r="B81" s="217" t="s">
        <v>1123</v>
      </c>
      <c r="C81" s="216">
        <f t="shared" si="39"/>
        <v>0</v>
      </c>
      <c r="D81" s="216">
        <f>成本明细!E266</f>
        <v>0</v>
      </c>
      <c r="E81" s="216">
        <v>338.54020018</v>
      </c>
      <c r="F81" s="216">
        <f>成本明细!F266/10000</f>
        <v>14.901400000000001</v>
      </c>
      <c r="G81" s="216"/>
      <c r="H81" s="216"/>
      <c r="I81" s="216"/>
      <c r="J81" s="216">
        <f t="shared" si="40"/>
        <v>14.901400000000001</v>
      </c>
      <c r="K81" s="216"/>
      <c r="L81" s="216">
        <f>3.48*93</f>
        <v>323.64</v>
      </c>
      <c r="M81" s="229" t="s">
        <v>1541</v>
      </c>
      <c r="N81" s="216">
        <f t="shared" si="46"/>
        <v>338.54140000000001</v>
      </c>
      <c r="O81" s="216">
        <f t="shared" si="47"/>
        <v>338.54140000000001</v>
      </c>
      <c r="P81" s="230"/>
    </row>
    <row r="82" spans="1:16" ht="16.5" customHeight="1" outlineLevel="2">
      <c r="A82" s="214" t="s">
        <v>1387</v>
      </c>
      <c r="B82" s="215" t="s">
        <v>1388</v>
      </c>
      <c r="C82" s="216">
        <f t="shared" si="39"/>
        <v>42.933345447690783</v>
      </c>
      <c r="D82" s="216">
        <f>成本明细!E270</f>
        <v>411.1046</v>
      </c>
      <c r="E82" s="216">
        <v>421.04436900000002</v>
      </c>
      <c r="F82" s="216">
        <f>成本明细!F270/10000</f>
        <v>421.04739999999998</v>
      </c>
      <c r="G82" s="216"/>
      <c r="H82" s="216"/>
      <c r="I82" s="216"/>
      <c r="J82" s="216">
        <f t="shared" si="40"/>
        <v>421.04739999999998</v>
      </c>
      <c r="K82" s="216"/>
      <c r="L82" s="216">
        <v>0</v>
      </c>
      <c r="M82" s="229"/>
      <c r="N82" s="216">
        <f t="shared" si="46"/>
        <v>421.04739999999998</v>
      </c>
      <c r="O82" s="216">
        <f t="shared" si="47"/>
        <v>9.942799999999977</v>
      </c>
      <c r="P82" s="230" t="s">
        <v>1542</v>
      </c>
    </row>
    <row r="83" spans="1:16" ht="16.5" customHeight="1" outlineLevel="2">
      <c r="A83" s="214" t="s">
        <v>1390</v>
      </c>
      <c r="B83" s="215" t="s">
        <v>1391</v>
      </c>
      <c r="C83" s="216">
        <f t="shared" si="39"/>
        <v>658.83136135613972</v>
      </c>
      <c r="D83" s="216">
        <f>成本明细!E274</f>
        <v>6308.5837000000001</v>
      </c>
      <c r="E83" s="216">
        <v>6308.5836811536001</v>
      </c>
      <c r="F83" s="216">
        <f>成本明细!F274/10000</f>
        <v>3443.8905</v>
      </c>
      <c r="G83" s="216"/>
      <c r="H83" s="216"/>
      <c r="I83" s="216"/>
      <c r="J83" s="216">
        <f t="shared" si="40"/>
        <v>3443.8905</v>
      </c>
      <c r="K83" s="216"/>
      <c r="L83" s="216">
        <f t="shared" ref="L83:L87" si="48">D83-J83</f>
        <v>2864.6932000000002</v>
      </c>
      <c r="M83" s="229"/>
      <c r="N83" s="216">
        <f t="shared" si="46"/>
        <v>6308.5837000000001</v>
      </c>
      <c r="O83" s="216">
        <f t="shared" si="47"/>
        <v>0</v>
      </c>
      <c r="P83" s="230"/>
    </row>
    <row r="84" spans="1:16" ht="16.5" customHeight="1" outlineLevel="2">
      <c r="A84" s="214" t="s">
        <v>1392</v>
      </c>
      <c r="B84" s="215" t="s">
        <v>1393</v>
      </c>
      <c r="C84" s="216">
        <f t="shared" si="39"/>
        <v>131.95179530077809</v>
      </c>
      <c r="D84" s="216">
        <f>成本明细!E279</f>
        <v>1263.4931999999999</v>
      </c>
      <c r="E84" s="216">
        <v>1263.4932416648001</v>
      </c>
      <c r="F84" s="216">
        <f>成本明细!F279/10000</f>
        <v>680.13869999999997</v>
      </c>
      <c r="G84" s="216"/>
      <c r="H84" s="216"/>
      <c r="I84" s="216"/>
      <c r="J84" s="216">
        <f t="shared" si="40"/>
        <v>680.13869999999997</v>
      </c>
      <c r="K84" s="216"/>
      <c r="L84" s="216">
        <f t="shared" si="48"/>
        <v>583.35449999999992</v>
      </c>
      <c r="M84" s="229"/>
      <c r="N84" s="216">
        <f t="shared" si="46"/>
        <v>1263.4931999999999</v>
      </c>
      <c r="O84" s="216">
        <f t="shared" si="47"/>
        <v>0</v>
      </c>
      <c r="P84" s="230"/>
    </row>
    <row r="85" spans="1:16" ht="16.5" customHeight="1" outlineLevel="2">
      <c r="A85" s="214" t="s">
        <v>1394</v>
      </c>
      <c r="B85" s="215" t="s">
        <v>1395</v>
      </c>
      <c r="C85" s="216">
        <f t="shared" si="39"/>
        <v>4.8949105600122813</v>
      </c>
      <c r="D85" s="216">
        <f>成本明细!E282</f>
        <v>46.870800000000003</v>
      </c>
      <c r="E85" s="216">
        <v>46.870800000000003</v>
      </c>
      <c r="F85" s="216">
        <f>成本明细!F282/10000</f>
        <v>1.2235</v>
      </c>
      <c r="G85" s="216"/>
      <c r="H85" s="216"/>
      <c r="I85" s="216"/>
      <c r="J85" s="216">
        <f t="shared" si="40"/>
        <v>1.2235</v>
      </c>
      <c r="K85" s="216"/>
      <c r="L85" s="216">
        <f t="shared" si="48"/>
        <v>45.647300000000001</v>
      </c>
      <c r="M85" s="229"/>
      <c r="N85" s="216">
        <f t="shared" si="46"/>
        <v>46.870800000000003</v>
      </c>
      <c r="O85" s="216">
        <f t="shared" si="47"/>
        <v>0</v>
      </c>
      <c r="P85" s="230"/>
    </row>
    <row r="86" spans="1:16" ht="16.5" customHeight="1" outlineLevel="2">
      <c r="A86" s="214" t="s">
        <v>1396</v>
      </c>
      <c r="B86" s="215" t="s">
        <v>1397</v>
      </c>
      <c r="C86" s="216">
        <f t="shared" si="39"/>
        <v>40.687531558684412</v>
      </c>
      <c r="D86" s="216">
        <f>成本明细!E285</f>
        <v>389.6</v>
      </c>
      <c r="E86" s="216">
        <v>389.6</v>
      </c>
      <c r="F86" s="216">
        <f>成本明细!F285/10000</f>
        <v>204.95820000000001</v>
      </c>
      <c r="G86" s="216"/>
      <c r="H86" s="216"/>
      <c r="I86" s="216"/>
      <c r="J86" s="216">
        <f t="shared" si="40"/>
        <v>204.95820000000001</v>
      </c>
      <c r="K86" s="216"/>
      <c r="L86" s="216">
        <f t="shared" si="48"/>
        <v>184.64180000000002</v>
      </c>
      <c r="M86" s="229"/>
      <c r="N86" s="216">
        <f t="shared" si="46"/>
        <v>389.6</v>
      </c>
      <c r="O86" s="216">
        <f t="shared" si="47"/>
        <v>0</v>
      </c>
      <c r="P86" s="230"/>
    </row>
    <row r="87" spans="1:16" ht="16.5" customHeight="1" outlineLevel="2">
      <c r="A87" s="214" t="s">
        <v>1398</v>
      </c>
      <c r="B87" s="215" t="s">
        <v>1399</v>
      </c>
      <c r="C87" s="216">
        <f t="shared" si="39"/>
        <v>48.60916210942294</v>
      </c>
      <c r="D87" s="216">
        <f>成本明细!E292</f>
        <v>465.4529</v>
      </c>
      <c r="E87" s="216">
        <v>465.45287999999999</v>
      </c>
      <c r="F87" s="216">
        <f>成本明细!F292/10000</f>
        <v>205</v>
      </c>
      <c r="G87" s="216"/>
      <c r="H87" s="216"/>
      <c r="I87" s="216"/>
      <c r="J87" s="216">
        <f t="shared" si="40"/>
        <v>205</v>
      </c>
      <c r="K87" s="216"/>
      <c r="L87" s="216">
        <f t="shared" si="48"/>
        <v>260.4529</v>
      </c>
      <c r="M87" s="229"/>
      <c r="N87" s="216">
        <f t="shared" si="46"/>
        <v>465.4529</v>
      </c>
      <c r="O87" s="216">
        <f t="shared" si="47"/>
        <v>0</v>
      </c>
      <c r="P87" s="230"/>
    </row>
    <row r="88" spans="1:16" ht="16.5" customHeight="1" outlineLevel="1">
      <c r="A88" s="220">
        <v>3.3</v>
      </c>
      <c r="B88" s="221" t="s">
        <v>1400</v>
      </c>
      <c r="C88" s="222">
        <f t="shared" ref="C88:F88" si="49">SUM(C89:C96)</f>
        <v>122.67920502662287</v>
      </c>
      <c r="D88" s="222">
        <f t="shared" si="49"/>
        <v>1174.7043000000001</v>
      </c>
      <c r="E88" s="222">
        <v>1174.7043200000001</v>
      </c>
      <c r="F88" s="222">
        <f t="shared" si="49"/>
        <v>104.31959999999999</v>
      </c>
      <c r="G88" s="222">
        <f t="shared" ref="G88:O88" si="50">SUM(G89:G96)</f>
        <v>0</v>
      </c>
      <c r="H88" s="222">
        <f t="shared" si="50"/>
        <v>0</v>
      </c>
      <c r="I88" s="222">
        <f t="shared" si="50"/>
        <v>0</v>
      </c>
      <c r="J88" s="222">
        <f t="shared" si="50"/>
        <v>104.31959999999999</v>
      </c>
      <c r="K88" s="222"/>
      <c r="L88" s="222">
        <f t="shared" si="50"/>
        <v>1070.2859000000001</v>
      </c>
      <c r="M88" s="231"/>
      <c r="N88" s="222">
        <f t="shared" si="50"/>
        <v>1174.6055000000001</v>
      </c>
      <c r="O88" s="222">
        <f t="shared" si="50"/>
        <v>-9.8800000000004218E-2</v>
      </c>
      <c r="P88" s="232"/>
    </row>
    <row r="89" spans="1:16" ht="16.5" customHeight="1" outlineLevel="2">
      <c r="A89" s="214" t="s">
        <v>1401</v>
      </c>
      <c r="B89" s="215" t="s">
        <v>1106</v>
      </c>
      <c r="C89" s="216">
        <f t="shared" si="39"/>
        <v>2.8197211295802846</v>
      </c>
      <c r="D89" s="216">
        <f>成本明细!E298</f>
        <v>27</v>
      </c>
      <c r="E89" s="216">
        <v>27</v>
      </c>
      <c r="F89" s="216">
        <f>成本明细!F298/10000</f>
        <v>0</v>
      </c>
      <c r="G89" s="216"/>
      <c r="H89" s="216"/>
      <c r="I89" s="216"/>
      <c r="J89" s="216">
        <f t="shared" si="40"/>
        <v>0</v>
      </c>
      <c r="K89" s="216"/>
      <c r="L89" s="216">
        <f>D89-J89</f>
        <v>27</v>
      </c>
      <c r="M89" s="229"/>
      <c r="N89" s="216">
        <f>J89+L89</f>
        <v>27</v>
      </c>
      <c r="O89" s="216">
        <f>N89-D89</f>
        <v>0</v>
      </c>
      <c r="P89" s="230"/>
    </row>
    <row r="90" spans="1:16" ht="16.5" customHeight="1" outlineLevel="2">
      <c r="A90" s="214" t="s">
        <v>1402</v>
      </c>
      <c r="B90" s="215" t="s">
        <v>1403</v>
      </c>
      <c r="C90" s="216">
        <f t="shared" si="39"/>
        <v>18.265526872725623</v>
      </c>
      <c r="D90" s="216">
        <f>成本明细!E301</f>
        <v>174.9</v>
      </c>
      <c r="E90" s="216">
        <v>174.9</v>
      </c>
      <c r="F90" s="216">
        <f>成本明细!F301/10000</f>
        <v>51.3</v>
      </c>
      <c r="G90" s="216"/>
      <c r="H90" s="216"/>
      <c r="I90" s="216"/>
      <c r="J90" s="216">
        <f t="shared" si="40"/>
        <v>51.3</v>
      </c>
      <c r="K90" s="216"/>
      <c r="L90" s="216">
        <f t="shared" ref="L90:L96" si="51">D90-J90</f>
        <v>123.60000000000001</v>
      </c>
      <c r="M90" s="229"/>
      <c r="N90" s="216">
        <f t="shared" ref="N90:N96" si="52">J90+L90</f>
        <v>174.9</v>
      </c>
      <c r="O90" s="216">
        <f t="shared" ref="O90:O96" si="53">N90-D90</f>
        <v>0</v>
      </c>
      <c r="P90" s="230"/>
    </row>
    <row r="91" spans="1:16" ht="16.5" customHeight="1" outlineLevel="2">
      <c r="A91" s="214" t="s">
        <v>1404</v>
      </c>
      <c r="B91" s="215" t="s">
        <v>1405</v>
      </c>
      <c r="C91" s="216">
        <f t="shared" si="39"/>
        <v>26.459490267523655</v>
      </c>
      <c r="D91" s="216">
        <f>成本明细!E304</f>
        <v>253.36060000000001</v>
      </c>
      <c r="E91" s="216">
        <v>253.36063999999999</v>
      </c>
      <c r="F91" s="216">
        <f>成本明细!F304/10000</f>
        <v>0</v>
      </c>
      <c r="G91" s="216"/>
      <c r="H91" s="216"/>
      <c r="I91" s="216"/>
      <c r="J91" s="216">
        <f t="shared" si="40"/>
        <v>0</v>
      </c>
      <c r="K91" s="216"/>
      <c r="L91" s="216">
        <f t="shared" si="51"/>
        <v>253.36060000000001</v>
      </c>
      <c r="M91" s="229"/>
      <c r="N91" s="216">
        <f t="shared" si="52"/>
        <v>253.36060000000001</v>
      </c>
      <c r="O91" s="216">
        <f t="shared" si="53"/>
        <v>0</v>
      </c>
      <c r="P91" s="230"/>
    </row>
    <row r="92" spans="1:16" ht="16.5" customHeight="1" outlineLevel="2">
      <c r="A92" s="214" t="s">
        <v>1406</v>
      </c>
      <c r="B92" s="215" t="s">
        <v>1407</v>
      </c>
      <c r="C92" s="216">
        <f t="shared" si="39"/>
        <v>22.662203152552657</v>
      </c>
      <c r="D92" s="216">
        <f>成本明细!E307</f>
        <v>217</v>
      </c>
      <c r="E92" s="216">
        <v>217</v>
      </c>
      <c r="F92" s="216">
        <f>成本明细!F307/10000</f>
        <v>0</v>
      </c>
      <c r="G92" s="216"/>
      <c r="H92" s="216"/>
      <c r="I92" s="216"/>
      <c r="J92" s="216">
        <f t="shared" si="40"/>
        <v>0</v>
      </c>
      <c r="K92" s="216"/>
      <c r="L92" s="216">
        <f t="shared" si="51"/>
        <v>217</v>
      </c>
      <c r="M92" s="229"/>
      <c r="N92" s="216">
        <f t="shared" si="52"/>
        <v>217</v>
      </c>
      <c r="O92" s="216">
        <f t="shared" si="53"/>
        <v>0</v>
      </c>
      <c r="P92" s="230"/>
    </row>
    <row r="93" spans="1:16" ht="16.5" customHeight="1" outlineLevel="2">
      <c r="A93" s="214" t="s">
        <v>1408</v>
      </c>
      <c r="B93" s="215" t="s">
        <v>1409</v>
      </c>
      <c r="C93" s="216">
        <f t="shared" si="39"/>
        <v>5.5473731425739778</v>
      </c>
      <c r="D93" s="216">
        <f>成本明细!E310</f>
        <v>53.118400000000001</v>
      </c>
      <c r="E93" s="216">
        <v>53.118400000000001</v>
      </c>
      <c r="F93" s="216">
        <f>成本明细!F310/10000</f>
        <v>53.019599999999997</v>
      </c>
      <c r="G93" s="216"/>
      <c r="H93" s="216"/>
      <c r="I93" s="216"/>
      <c r="J93" s="216">
        <f t="shared" si="40"/>
        <v>53.019599999999997</v>
      </c>
      <c r="K93" s="216"/>
      <c r="L93" s="216">
        <v>0</v>
      </c>
      <c r="M93" s="229"/>
      <c r="N93" s="216">
        <f t="shared" si="52"/>
        <v>53.019599999999997</v>
      </c>
      <c r="O93" s="216">
        <f t="shared" si="53"/>
        <v>-9.8800000000004218E-2</v>
      </c>
      <c r="P93" s="230"/>
    </row>
    <row r="94" spans="1:16" ht="16.5" customHeight="1" outlineLevel="2">
      <c r="A94" s="214" t="s">
        <v>1410</v>
      </c>
      <c r="B94" s="235" t="s">
        <v>1411</v>
      </c>
      <c r="C94" s="216">
        <f t="shared" si="39"/>
        <v>0</v>
      </c>
      <c r="D94" s="216">
        <f>成本明细!E313</f>
        <v>0</v>
      </c>
      <c r="E94" s="216">
        <v>0</v>
      </c>
      <c r="F94" s="216">
        <f>成本明细!F313/10000</f>
        <v>0</v>
      </c>
      <c r="G94" s="216"/>
      <c r="H94" s="216"/>
      <c r="I94" s="216"/>
      <c r="J94" s="216">
        <f t="shared" si="40"/>
        <v>0</v>
      </c>
      <c r="K94" s="216"/>
      <c r="L94" s="216">
        <v>0</v>
      </c>
      <c r="M94" s="229"/>
      <c r="N94" s="216">
        <f t="shared" si="52"/>
        <v>0</v>
      </c>
      <c r="O94" s="216">
        <f t="shared" si="53"/>
        <v>0</v>
      </c>
      <c r="P94" s="230" t="s">
        <v>1412</v>
      </c>
    </row>
    <row r="95" spans="1:16" ht="16.5" customHeight="1" outlineLevel="2">
      <c r="A95" s="214" t="s">
        <v>1413</v>
      </c>
      <c r="B95" s="215" t="s">
        <v>1414</v>
      </c>
      <c r="C95" s="216">
        <f t="shared" si="39"/>
        <v>15.67347211582997</v>
      </c>
      <c r="D95" s="216">
        <f>成本明细!E316</f>
        <v>150.08000000000001</v>
      </c>
      <c r="E95" s="216">
        <v>150.08000000000001</v>
      </c>
      <c r="F95" s="216">
        <f>成本明细!F316/10000</f>
        <v>0</v>
      </c>
      <c r="G95" s="216"/>
      <c r="H95" s="216"/>
      <c r="I95" s="216"/>
      <c r="J95" s="216">
        <f t="shared" si="40"/>
        <v>0</v>
      </c>
      <c r="K95" s="216"/>
      <c r="L95" s="216">
        <f t="shared" si="51"/>
        <v>150.08000000000001</v>
      </c>
      <c r="M95" s="229"/>
      <c r="N95" s="216">
        <f t="shared" si="52"/>
        <v>150.08000000000001</v>
      </c>
      <c r="O95" s="216">
        <f t="shared" si="53"/>
        <v>0</v>
      </c>
      <c r="P95" s="230"/>
    </row>
    <row r="96" spans="1:16" ht="16.5" customHeight="1" outlineLevel="2">
      <c r="A96" s="214" t="s">
        <v>1415</v>
      </c>
      <c r="B96" s="215" t="s">
        <v>1416</v>
      </c>
      <c r="C96" s="216">
        <f t="shared" si="39"/>
        <v>31.251418345836708</v>
      </c>
      <c r="D96" s="216">
        <f>成本明细!E319</f>
        <v>299.24529999999999</v>
      </c>
      <c r="E96" s="216">
        <v>299.24527999999998</v>
      </c>
      <c r="F96" s="216">
        <f>成本明细!F319/10000</f>
        <v>0</v>
      </c>
      <c r="G96" s="216"/>
      <c r="H96" s="216"/>
      <c r="I96" s="216"/>
      <c r="J96" s="216">
        <f t="shared" si="40"/>
        <v>0</v>
      </c>
      <c r="K96" s="216"/>
      <c r="L96" s="216">
        <f t="shared" si="51"/>
        <v>299.24529999999999</v>
      </c>
      <c r="M96" s="229"/>
      <c r="N96" s="216">
        <f t="shared" si="52"/>
        <v>299.24529999999999</v>
      </c>
      <c r="O96" s="216">
        <f t="shared" si="53"/>
        <v>0</v>
      </c>
      <c r="P96" s="230"/>
    </row>
    <row r="97" spans="1:16" ht="16.5" customHeight="1" outlineLevel="1">
      <c r="A97" s="220">
        <v>3.4</v>
      </c>
      <c r="B97" s="221" t="s">
        <v>1128</v>
      </c>
      <c r="C97" s="222">
        <f t="shared" ref="C97:F97" si="54">SUM(C98:C100)</f>
        <v>524.38269255170667</v>
      </c>
      <c r="D97" s="222">
        <f t="shared" si="54"/>
        <v>5021.1818999999996</v>
      </c>
      <c r="E97" s="222">
        <v>5410.2420821262003</v>
      </c>
      <c r="F97" s="222">
        <f t="shared" si="54"/>
        <v>3157.0059000000001</v>
      </c>
      <c r="G97" s="222">
        <f t="shared" ref="G97:O97" si="55">SUM(G98:G100)</f>
        <v>0</v>
      </c>
      <c r="H97" s="222">
        <f t="shared" si="55"/>
        <v>0</v>
      </c>
      <c r="I97" s="222">
        <f t="shared" si="55"/>
        <v>0</v>
      </c>
      <c r="J97" s="222">
        <f t="shared" si="55"/>
        <v>2538.9867000000004</v>
      </c>
      <c r="K97" s="222"/>
      <c r="L97" s="222">
        <f t="shared" si="55"/>
        <v>3341.2521000000002</v>
      </c>
      <c r="M97" s="231"/>
      <c r="N97" s="222">
        <f t="shared" si="55"/>
        <v>5880.2388000000001</v>
      </c>
      <c r="O97" s="222">
        <f t="shared" si="55"/>
        <v>859.0569000000005</v>
      </c>
      <c r="P97" s="232"/>
    </row>
    <row r="98" spans="1:16" ht="16.5" customHeight="1" outlineLevel="2">
      <c r="A98" s="214" t="s">
        <v>1417</v>
      </c>
      <c r="B98" s="217" t="s">
        <v>1418</v>
      </c>
      <c r="C98" s="216">
        <f t="shared" si="39"/>
        <v>376.7230140939061</v>
      </c>
      <c r="D98" s="216">
        <f>成本明细!E323</f>
        <v>3607.2791999999999</v>
      </c>
      <c r="E98" s="216">
        <v>4120.7898232367997</v>
      </c>
      <c r="F98" s="216">
        <f>成本明细!F323/10000</f>
        <v>1938.8094000000001</v>
      </c>
      <c r="G98" s="216"/>
      <c r="H98" s="216"/>
      <c r="I98" s="216"/>
      <c r="J98" s="216">
        <f>F98+G98+H98+I98-828.0192+210</f>
        <v>1320.7902000000001</v>
      </c>
      <c r="K98" s="216"/>
      <c r="L98" s="216">
        <f>900+300+800+800</f>
        <v>2800</v>
      </c>
      <c r="M98" s="229" t="s">
        <v>1543</v>
      </c>
      <c r="N98" s="216">
        <f t="shared" ref="N98:N100" si="56">J98+L98</f>
        <v>4120.7902000000004</v>
      </c>
      <c r="O98" s="216">
        <f t="shared" ref="O98:O100" si="57">N98-D98</f>
        <v>513.51100000000042</v>
      </c>
      <c r="P98" s="230"/>
    </row>
    <row r="99" spans="1:16" ht="16.5" customHeight="1" outlineLevel="2">
      <c r="A99" s="214" t="s">
        <v>1420</v>
      </c>
      <c r="B99" s="215" t="s">
        <v>1421</v>
      </c>
      <c r="C99" s="216">
        <f t="shared" si="39"/>
        <v>114.10999940994725</v>
      </c>
      <c r="D99" s="216">
        <f>成本明细!E328</f>
        <v>1092.6505999999999</v>
      </c>
      <c r="E99" s="216">
        <v>968.20017200999996</v>
      </c>
      <c r="F99" s="216">
        <f>成本明细!F328/10000</f>
        <v>908.19650000000001</v>
      </c>
      <c r="G99" s="216"/>
      <c r="H99" s="216"/>
      <c r="I99" s="216"/>
      <c r="J99" s="216">
        <f t="shared" si="40"/>
        <v>908.19650000000001</v>
      </c>
      <c r="K99" s="216"/>
      <c r="L99" s="216">
        <f>495+35</f>
        <v>530</v>
      </c>
      <c r="M99" s="229" t="s">
        <v>1544</v>
      </c>
      <c r="N99" s="216">
        <f t="shared" si="56"/>
        <v>1438.1965</v>
      </c>
      <c r="O99" s="216">
        <f t="shared" si="57"/>
        <v>345.54590000000007</v>
      </c>
      <c r="P99" s="230"/>
    </row>
    <row r="100" spans="1:16" ht="16.5" customHeight="1" outlineLevel="2">
      <c r="A100" s="214" t="s">
        <v>1423</v>
      </c>
      <c r="B100" s="215" t="s">
        <v>719</v>
      </c>
      <c r="C100" s="216">
        <f t="shared" si="39"/>
        <v>33.549679047853274</v>
      </c>
      <c r="D100" s="216">
        <f>成本明细!E333</f>
        <v>321.25209999999998</v>
      </c>
      <c r="E100" s="216">
        <v>321.2520868794</v>
      </c>
      <c r="F100" s="216">
        <f>成本明细!F333/10000</f>
        <v>310</v>
      </c>
      <c r="G100" s="216"/>
      <c r="H100" s="216"/>
      <c r="I100" s="216"/>
      <c r="J100" s="216">
        <f t="shared" si="40"/>
        <v>310</v>
      </c>
      <c r="K100" s="216"/>
      <c r="L100" s="216">
        <f>D100-J100</f>
        <v>11.252099999999984</v>
      </c>
      <c r="M100" s="233" t="s">
        <v>1545</v>
      </c>
      <c r="N100" s="216">
        <f t="shared" si="56"/>
        <v>321.25209999999998</v>
      </c>
      <c r="O100" s="216">
        <f t="shared" si="57"/>
        <v>0</v>
      </c>
      <c r="P100" s="230"/>
    </row>
    <row r="101" spans="1:16" ht="16.5" customHeight="1" outlineLevel="1">
      <c r="A101" s="220">
        <v>3.5</v>
      </c>
      <c r="B101" s="221" t="s">
        <v>1424</v>
      </c>
      <c r="C101" s="222">
        <f t="shared" ref="C101:F101" si="58">SUM(C102:C103)</f>
        <v>28.832055843010458</v>
      </c>
      <c r="D101" s="222">
        <f t="shared" si="58"/>
        <v>276.07889999999998</v>
      </c>
      <c r="E101" s="222">
        <v>276.07890600000002</v>
      </c>
      <c r="F101" s="222">
        <f t="shared" si="58"/>
        <v>257.12569999999999</v>
      </c>
      <c r="G101" s="222">
        <f t="shared" ref="G101:O101" si="59">SUM(G102:G103)</f>
        <v>0</v>
      </c>
      <c r="H101" s="222">
        <f t="shared" si="59"/>
        <v>0</v>
      </c>
      <c r="I101" s="222">
        <f t="shared" si="59"/>
        <v>0</v>
      </c>
      <c r="J101" s="222">
        <f t="shared" si="59"/>
        <v>257.12569999999999</v>
      </c>
      <c r="K101" s="222"/>
      <c r="L101" s="222">
        <f t="shared" si="59"/>
        <v>18</v>
      </c>
      <c r="M101" s="231"/>
      <c r="N101" s="222">
        <f t="shared" si="59"/>
        <v>275.12569999999999</v>
      </c>
      <c r="O101" s="222">
        <f t="shared" si="59"/>
        <v>-0.95319999999998117</v>
      </c>
      <c r="P101" s="232"/>
    </row>
    <row r="102" spans="1:16" ht="16.5" customHeight="1" outlineLevel="2">
      <c r="A102" s="214" t="s">
        <v>1425</v>
      </c>
      <c r="B102" s="215" t="s">
        <v>1082</v>
      </c>
      <c r="C102" s="216">
        <f t="shared" si="39"/>
        <v>26.9522417566236</v>
      </c>
      <c r="D102" s="216">
        <f>成本明细!E338</f>
        <v>258.07889999999998</v>
      </c>
      <c r="E102" s="216">
        <v>258.07890600000002</v>
      </c>
      <c r="F102" s="216">
        <f>成本明细!F338/10000</f>
        <v>257.12569999999999</v>
      </c>
      <c r="G102" s="216"/>
      <c r="H102" s="216"/>
      <c r="I102" s="216"/>
      <c r="J102" s="216">
        <f t="shared" si="40"/>
        <v>257.12569999999999</v>
      </c>
      <c r="K102" s="216"/>
      <c r="L102" s="216">
        <v>0</v>
      </c>
      <c r="M102" s="229"/>
      <c r="N102" s="216">
        <f t="shared" ref="N102:N104" si="60">J102+L102</f>
        <v>257.12569999999999</v>
      </c>
      <c r="O102" s="216">
        <f t="shared" ref="O102:O104" si="61">N102-D102</f>
        <v>-0.95319999999998117</v>
      </c>
      <c r="P102" s="230"/>
    </row>
    <row r="103" spans="1:16" ht="16.5" customHeight="1" outlineLevel="2">
      <c r="A103" s="214" t="s">
        <v>1426</v>
      </c>
      <c r="B103" s="215" t="s">
        <v>1427</v>
      </c>
      <c r="C103" s="216">
        <f t="shared" si="39"/>
        <v>1.8798140863868564</v>
      </c>
      <c r="D103" s="216">
        <f>成本明细!E340</f>
        <v>18</v>
      </c>
      <c r="E103" s="216">
        <v>18</v>
      </c>
      <c r="F103" s="216">
        <f>成本明细!F340/10000</f>
        <v>0</v>
      </c>
      <c r="G103" s="216"/>
      <c r="H103" s="216"/>
      <c r="I103" s="216"/>
      <c r="J103" s="216">
        <f t="shared" si="40"/>
        <v>0</v>
      </c>
      <c r="K103" s="216"/>
      <c r="L103" s="216">
        <v>18</v>
      </c>
      <c r="M103" s="229" t="s">
        <v>1546</v>
      </c>
      <c r="N103" s="216">
        <f t="shared" si="60"/>
        <v>18</v>
      </c>
      <c r="O103" s="216">
        <f t="shared" si="61"/>
        <v>0</v>
      </c>
      <c r="P103" s="230"/>
    </row>
    <row r="104" spans="1:16" ht="16.5" customHeight="1" outlineLevel="1">
      <c r="A104" s="220">
        <v>3.6</v>
      </c>
      <c r="B104" s="221" t="s">
        <v>1428</v>
      </c>
      <c r="C104" s="222">
        <f t="shared" si="39"/>
        <v>11.880560790315617</v>
      </c>
      <c r="D104" s="222">
        <f>成本明细!E344</f>
        <v>113.76130000000001</v>
      </c>
      <c r="E104" s="222">
        <v>248.13657229145599</v>
      </c>
      <c r="F104" s="222">
        <f>成本明细!F344</f>
        <v>0</v>
      </c>
      <c r="G104" s="222"/>
      <c r="H104" s="222"/>
      <c r="I104" s="222"/>
      <c r="J104" s="222">
        <f t="shared" si="40"/>
        <v>0</v>
      </c>
      <c r="K104" s="222"/>
      <c r="L104" s="222">
        <v>300</v>
      </c>
      <c r="M104" s="231" t="s">
        <v>1429</v>
      </c>
      <c r="N104" s="222">
        <f t="shared" si="60"/>
        <v>300</v>
      </c>
      <c r="O104" s="222">
        <f t="shared" si="61"/>
        <v>186.23869999999999</v>
      </c>
      <c r="P104" s="232"/>
    </row>
    <row r="105" spans="1:16" ht="16.5" customHeight="1">
      <c r="A105" s="211" t="s">
        <v>1132</v>
      </c>
      <c r="B105" s="212" t="s">
        <v>973</v>
      </c>
      <c r="C105" s="213">
        <f t="shared" ref="C105:F105" si="62">C106+C114+C124+C129+C132+C136+C143+C147+C151</f>
        <v>708.05444985935355</v>
      </c>
      <c r="D105" s="213">
        <f t="shared" si="62"/>
        <v>6779.9151999999985</v>
      </c>
      <c r="E105" s="213">
        <v>6905.5237545263999</v>
      </c>
      <c r="F105" s="213">
        <f t="shared" si="62"/>
        <v>4333.7217229999997</v>
      </c>
      <c r="G105" s="213">
        <f t="shared" ref="G105:O105" si="63">G106+G114+G124+G129+G132+G136+G143+G147+G151</f>
        <v>0</v>
      </c>
      <c r="H105" s="213">
        <f t="shared" si="63"/>
        <v>0</v>
      </c>
      <c r="I105" s="213">
        <f t="shared" si="63"/>
        <v>0</v>
      </c>
      <c r="J105" s="213">
        <f t="shared" si="63"/>
        <v>4333.7217229999997</v>
      </c>
      <c r="K105" s="213"/>
      <c r="L105" s="213">
        <f t="shared" si="63"/>
        <v>2471.6201010000004</v>
      </c>
      <c r="M105" s="227"/>
      <c r="N105" s="213">
        <f t="shared" si="63"/>
        <v>6805.3418239999992</v>
      </c>
      <c r="O105" s="213">
        <f t="shared" si="63"/>
        <v>25.426624000000182</v>
      </c>
      <c r="P105" s="228"/>
    </row>
    <row r="106" spans="1:16" ht="16.5" customHeight="1" outlineLevel="1">
      <c r="A106" s="220">
        <v>4.0999999999999996</v>
      </c>
      <c r="B106" s="221" t="s">
        <v>1134</v>
      </c>
      <c r="C106" s="222">
        <f t="shared" ref="C106:F106" si="64">SUM(C107:C113)</f>
        <v>167.33098252138421</v>
      </c>
      <c r="D106" s="222">
        <f t="shared" si="64"/>
        <v>1602.2636</v>
      </c>
      <c r="E106" s="222">
        <v>1602.2636107999999</v>
      </c>
      <c r="F106" s="222">
        <f t="shared" si="64"/>
        <v>700.67900000000009</v>
      </c>
      <c r="G106" s="222">
        <f t="shared" ref="G106:O106" si="65">SUM(G107:G113)</f>
        <v>0</v>
      </c>
      <c r="H106" s="222">
        <f t="shared" si="65"/>
        <v>0</v>
      </c>
      <c r="I106" s="222">
        <f t="shared" si="65"/>
        <v>0</v>
      </c>
      <c r="J106" s="222">
        <f t="shared" si="65"/>
        <v>700.67900000000009</v>
      </c>
      <c r="K106" s="222"/>
      <c r="L106" s="222">
        <f t="shared" si="65"/>
        <v>901.58459999999991</v>
      </c>
      <c r="M106" s="231"/>
      <c r="N106" s="222">
        <f t="shared" si="65"/>
        <v>1602.2636</v>
      </c>
      <c r="O106" s="222">
        <f t="shared" si="65"/>
        <v>0</v>
      </c>
      <c r="P106" s="232"/>
    </row>
    <row r="107" spans="1:16" ht="16.5" customHeight="1" outlineLevel="2">
      <c r="A107" s="214" t="s">
        <v>1430</v>
      </c>
      <c r="B107" s="215" t="s">
        <v>1135</v>
      </c>
      <c r="C107" s="216">
        <f t="shared" ref="C107:C163" si="66">D107/$D$4*10000</f>
        <v>129.56915183310593</v>
      </c>
      <c r="D107" s="216">
        <f>成本明细!E351</f>
        <v>1240.6784</v>
      </c>
      <c r="E107" s="216">
        <v>1240.6784078000001</v>
      </c>
      <c r="F107" s="216">
        <f>成本明细!F351/10000</f>
        <v>666.09900000000005</v>
      </c>
      <c r="G107" s="216"/>
      <c r="H107" s="216"/>
      <c r="I107" s="216"/>
      <c r="J107" s="216">
        <f t="shared" ref="J107:J163" si="67">F107+G107+H107+I107</f>
        <v>666.09900000000005</v>
      </c>
      <c r="K107" s="216"/>
      <c r="L107" s="216">
        <f>D107-J107</f>
        <v>574.57939999999996</v>
      </c>
      <c r="M107" s="229" t="s">
        <v>1539</v>
      </c>
      <c r="N107" s="216">
        <f>J107+L107</f>
        <v>1240.6784</v>
      </c>
      <c r="O107" s="216">
        <f>N107-D107</f>
        <v>0</v>
      </c>
      <c r="P107" s="230"/>
    </row>
    <row r="108" spans="1:16" ht="16.5" customHeight="1" outlineLevel="2">
      <c r="A108" s="214" t="s">
        <v>1431</v>
      </c>
      <c r="B108" s="215" t="s">
        <v>1432</v>
      </c>
      <c r="C108" s="216">
        <f t="shared" si="66"/>
        <v>0</v>
      </c>
      <c r="D108" s="216">
        <f>成本明细!E354</f>
        <v>0</v>
      </c>
      <c r="E108" s="216">
        <v>0</v>
      </c>
      <c r="F108" s="216">
        <f>成本明细!F354/10000</f>
        <v>0</v>
      </c>
      <c r="G108" s="216"/>
      <c r="H108" s="216"/>
      <c r="I108" s="216"/>
      <c r="J108" s="216">
        <f t="shared" si="67"/>
        <v>0</v>
      </c>
      <c r="K108" s="216"/>
      <c r="L108" s="216">
        <f t="shared" ref="L108:L131" si="68">D108-J108</f>
        <v>0</v>
      </c>
      <c r="M108" s="229"/>
      <c r="N108" s="216">
        <f t="shared" ref="N108:N154" si="69">J108+L108</f>
        <v>0</v>
      </c>
      <c r="O108" s="216">
        <f t="shared" ref="O108:O154" si="70">N108-D108</f>
        <v>0</v>
      </c>
      <c r="P108" s="230"/>
    </row>
    <row r="109" spans="1:16" ht="16.5" customHeight="1" outlineLevel="2">
      <c r="A109" s="214" t="s">
        <v>1433</v>
      </c>
      <c r="B109" s="215" t="s">
        <v>1434</v>
      </c>
      <c r="C109" s="216">
        <f t="shared" si="66"/>
        <v>1.0853628798334067</v>
      </c>
      <c r="D109" s="216">
        <f>成本明细!E357</f>
        <v>10.392799999999999</v>
      </c>
      <c r="E109" s="216">
        <v>10.392825</v>
      </c>
      <c r="F109" s="216">
        <f>成本明细!F357/10000</f>
        <v>0</v>
      </c>
      <c r="G109" s="216"/>
      <c r="H109" s="216"/>
      <c r="I109" s="216"/>
      <c r="J109" s="216">
        <f t="shared" si="67"/>
        <v>0</v>
      </c>
      <c r="K109" s="216"/>
      <c r="L109" s="216">
        <f t="shared" si="68"/>
        <v>10.392799999999999</v>
      </c>
      <c r="M109" s="229" t="s">
        <v>1539</v>
      </c>
      <c r="N109" s="216">
        <f t="shared" si="69"/>
        <v>10.392799999999999</v>
      </c>
      <c r="O109" s="216">
        <f t="shared" si="70"/>
        <v>0</v>
      </c>
      <c r="P109" s="230"/>
    </row>
    <row r="110" spans="1:16" ht="16.5" customHeight="1" outlineLevel="2">
      <c r="A110" s="214" t="s">
        <v>1435</v>
      </c>
      <c r="B110" s="215" t="s">
        <v>1436</v>
      </c>
      <c r="C110" s="216">
        <f t="shared" si="66"/>
        <v>1.4317290686617761</v>
      </c>
      <c r="D110" s="216">
        <f>成本明细!E360</f>
        <v>13.7094</v>
      </c>
      <c r="E110" s="216">
        <v>13.709441999999999</v>
      </c>
      <c r="F110" s="216">
        <f>成本明细!F360/10000</f>
        <v>0</v>
      </c>
      <c r="G110" s="216"/>
      <c r="H110" s="216"/>
      <c r="I110" s="216"/>
      <c r="J110" s="216">
        <f t="shared" si="67"/>
        <v>0</v>
      </c>
      <c r="K110" s="216"/>
      <c r="L110" s="216">
        <f t="shared" si="68"/>
        <v>13.7094</v>
      </c>
      <c r="M110" s="229" t="s">
        <v>1539</v>
      </c>
      <c r="N110" s="216">
        <f t="shared" si="69"/>
        <v>13.7094</v>
      </c>
      <c r="O110" s="216">
        <f t="shared" si="70"/>
        <v>0</v>
      </c>
      <c r="P110" s="230"/>
    </row>
    <row r="111" spans="1:16" ht="16.5" customHeight="1" outlineLevel="2">
      <c r="A111" s="214" t="s">
        <v>1437</v>
      </c>
      <c r="B111" s="215" t="s">
        <v>1139</v>
      </c>
      <c r="C111" s="216">
        <f t="shared" si="66"/>
        <v>9.7218345105669055</v>
      </c>
      <c r="D111" s="216">
        <f>成本明细!E363</f>
        <v>93.090599999999995</v>
      </c>
      <c r="E111" s="216">
        <v>93.090575999999999</v>
      </c>
      <c r="F111" s="216">
        <f>成本明细!F363/10000</f>
        <v>0</v>
      </c>
      <c r="G111" s="216"/>
      <c r="H111" s="216"/>
      <c r="I111" s="216"/>
      <c r="J111" s="216">
        <f t="shared" si="67"/>
        <v>0</v>
      </c>
      <c r="K111" s="216"/>
      <c r="L111" s="216">
        <f t="shared" si="68"/>
        <v>93.090599999999995</v>
      </c>
      <c r="M111" s="229" t="s">
        <v>1539</v>
      </c>
      <c r="N111" s="216">
        <f t="shared" si="69"/>
        <v>93.090599999999995</v>
      </c>
      <c r="O111" s="216">
        <f t="shared" si="70"/>
        <v>0</v>
      </c>
      <c r="P111" s="230"/>
    </row>
    <row r="112" spans="1:16" ht="45" customHeight="1" outlineLevel="2">
      <c r="A112" s="214" t="s">
        <v>1438</v>
      </c>
      <c r="B112" s="215" t="s">
        <v>1439</v>
      </c>
      <c r="C112" s="216">
        <f t="shared" si="66"/>
        <v>4.8609172552834528</v>
      </c>
      <c r="D112" s="216">
        <f>成本明细!E366</f>
        <v>46.545299999999997</v>
      </c>
      <c r="E112" s="216">
        <v>46.545287999999999</v>
      </c>
      <c r="F112" s="216">
        <f>成本明细!F366/10000</f>
        <v>34.58</v>
      </c>
      <c r="G112" s="216"/>
      <c r="H112" s="216"/>
      <c r="I112" s="216"/>
      <c r="J112" s="216">
        <f t="shared" si="67"/>
        <v>34.58</v>
      </c>
      <c r="K112" s="216"/>
      <c r="L112" s="216">
        <f t="shared" si="68"/>
        <v>11.965299999999999</v>
      </c>
      <c r="M112" s="229" t="s">
        <v>1547</v>
      </c>
      <c r="N112" s="216">
        <f t="shared" si="69"/>
        <v>46.545299999999997</v>
      </c>
      <c r="O112" s="216">
        <f t="shared" si="70"/>
        <v>0</v>
      </c>
      <c r="P112" s="230"/>
    </row>
    <row r="113" spans="1:16" ht="16.5" customHeight="1" outlineLevel="2">
      <c r="A113" s="214" t="s">
        <v>1440</v>
      </c>
      <c r="B113" s="215" t="s">
        <v>1141</v>
      </c>
      <c r="C113" s="216">
        <f t="shared" si="66"/>
        <v>20.661986973932724</v>
      </c>
      <c r="D113" s="216">
        <f>成本明细!E370</f>
        <v>197.84710000000001</v>
      </c>
      <c r="E113" s="216">
        <v>197.847072</v>
      </c>
      <c r="F113" s="216">
        <f>成本明细!F370/10000</f>
        <v>0</v>
      </c>
      <c r="G113" s="216"/>
      <c r="H113" s="216"/>
      <c r="I113" s="216"/>
      <c r="J113" s="216">
        <f t="shared" si="67"/>
        <v>0</v>
      </c>
      <c r="K113" s="216"/>
      <c r="L113" s="216">
        <f t="shared" si="68"/>
        <v>197.84710000000001</v>
      </c>
      <c r="M113" s="229" t="s">
        <v>1539</v>
      </c>
      <c r="N113" s="216">
        <f t="shared" si="69"/>
        <v>197.84710000000001</v>
      </c>
      <c r="O113" s="216">
        <f t="shared" si="70"/>
        <v>0</v>
      </c>
      <c r="P113" s="230"/>
    </row>
    <row r="114" spans="1:16" ht="16.5" customHeight="1" outlineLevel="1">
      <c r="A114" s="220">
        <v>4.2</v>
      </c>
      <c r="B114" s="221" t="s">
        <v>1441</v>
      </c>
      <c r="C114" s="222">
        <f t="shared" ref="C114:F114" si="71">SUM(C115:C123)</f>
        <v>110.32040908931886</v>
      </c>
      <c r="D114" s="222">
        <f t="shared" si="71"/>
        <v>1056.3637000000001</v>
      </c>
      <c r="E114" s="222">
        <v>1056.3636383264</v>
      </c>
      <c r="F114" s="222">
        <f t="shared" si="71"/>
        <v>758.12034599999993</v>
      </c>
      <c r="G114" s="222">
        <f t="shared" ref="G114:O114" si="72">SUM(G115:G123)</f>
        <v>0</v>
      </c>
      <c r="H114" s="222">
        <f t="shared" si="72"/>
        <v>0</v>
      </c>
      <c r="I114" s="222">
        <f t="shared" si="72"/>
        <v>0</v>
      </c>
      <c r="J114" s="222">
        <f t="shared" si="72"/>
        <v>758.12034599999993</v>
      </c>
      <c r="K114" s="222"/>
      <c r="L114" s="222">
        <f t="shared" si="72"/>
        <v>298.24335400000007</v>
      </c>
      <c r="M114" s="231"/>
      <c r="N114" s="222">
        <f t="shared" si="72"/>
        <v>1056.3637000000001</v>
      </c>
      <c r="O114" s="222">
        <f t="shared" si="72"/>
        <v>0</v>
      </c>
      <c r="P114" s="232"/>
    </row>
    <row r="115" spans="1:16" ht="16.5" customHeight="1" outlineLevel="2">
      <c r="A115" s="214" t="s">
        <v>1442</v>
      </c>
      <c r="B115" s="215" t="s">
        <v>1143</v>
      </c>
      <c r="C115" s="216">
        <f t="shared" si="66"/>
        <v>38.816907674497664</v>
      </c>
      <c r="D115" s="216">
        <f>成本明细!E374</f>
        <v>371.68799999999999</v>
      </c>
      <c r="E115" s="216">
        <v>371.68800570000002</v>
      </c>
      <c r="F115" s="216">
        <f>成本明细!F374/10000</f>
        <v>188.894046</v>
      </c>
      <c r="G115" s="216"/>
      <c r="H115" s="216"/>
      <c r="I115" s="216"/>
      <c r="J115" s="216">
        <f t="shared" si="67"/>
        <v>188.894046</v>
      </c>
      <c r="K115" s="216"/>
      <c r="L115" s="216">
        <f t="shared" si="68"/>
        <v>182.79395399999999</v>
      </c>
      <c r="M115" s="229" t="s">
        <v>1539</v>
      </c>
      <c r="N115" s="216">
        <f t="shared" si="69"/>
        <v>371.68799999999999</v>
      </c>
      <c r="O115" s="216">
        <f t="shared" si="70"/>
        <v>0</v>
      </c>
      <c r="P115" s="230"/>
    </row>
    <row r="116" spans="1:16" ht="16.5" customHeight="1" outlineLevel="2">
      <c r="A116" s="214" t="s">
        <v>1443</v>
      </c>
      <c r="B116" s="215" t="s">
        <v>1444</v>
      </c>
      <c r="C116" s="216">
        <f t="shared" si="66"/>
        <v>32.560969942294932</v>
      </c>
      <c r="D116" s="216">
        <f>成本明细!E377</f>
        <v>311.78480000000002</v>
      </c>
      <c r="E116" s="216">
        <v>311.78474999999997</v>
      </c>
      <c r="F116" s="216">
        <f>成本明细!F377/10000-F117-F118-F125-F126-F127</f>
        <v>185.74999999999994</v>
      </c>
      <c r="G116" s="216"/>
      <c r="H116" s="216"/>
      <c r="I116" s="216"/>
      <c r="J116" s="216">
        <f t="shared" si="67"/>
        <v>185.74999999999994</v>
      </c>
      <c r="K116" s="216"/>
      <c r="L116" s="216">
        <f t="shared" si="68"/>
        <v>126.03480000000008</v>
      </c>
      <c r="M116" s="229" t="s">
        <v>1539</v>
      </c>
      <c r="N116" s="216">
        <f t="shared" si="69"/>
        <v>311.78480000000002</v>
      </c>
      <c r="O116" s="216">
        <f t="shared" si="70"/>
        <v>0</v>
      </c>
      <c r="P116" s="230"/>
    </row>
    <row r="117" spans="1:16" ht="16.5" customHeight="1" outlineLevel="2">
      <c r="A117" s="214" t="s">
        <v>1445</v>
      </c>
      <c r="B117" s="215" t="s">
        <v>1446</v>
      </c>
      <c r="C117" s="216">
        <f t="shared" si="66"/>
        <v>9.9228075232248418</v>
      </c>
      <c r="D117" s="216">
        <f>成本明细!E380</f>
        <v>95.015000000000001</v>
      </c>
      <c r="E117" s="216">
        <v>95.015000000000001</v>
      </c>
      <c r="F117" s="216">
        <v>56.575000000000003</v>
      </c>
      <c r="G117" s="216"/>
      <c r="H117" s="216"/>
      <c r="I117" s="216"/>
      <c r="J117" s="216">
        <f t="shared" si="67"/>
        <v>56.575000000000003</v>
      </c>
      <c r="K117" s="216"/>
      <c r="L117" s="216">
        <f t="shared" si="68"/>
        <v>38.44</v>
      </c>
      <c r="M117" s="229" t="s">
        <v>1539</v>
      </c>
      <c r="N117" s="216">
        <f t="shared" si="69"/>
        <v>95.015000000000001</v>
      </c>
      <c r="O117" s="216">
        <f t="shared" si="70"/>
        <v>0</v>
      </c>
      <c r="P117" s="230"/>
    </row>
    <row r="118" spans="1:16" ht="16.5" customHeight="1" outlineLevel="2">
      <c r="A118" s="214" t="s">
        <v>1447</v>
      </c>
      <c r="B118" s="215" t="s">
        <v>1448</v>
      </c>
      <c r="C118" s="216">
        <f t="shared" si="66"/>
        <v>5.4268248425786245</v>
      </c>
      <c r="D118" s="216">
        <f>成本明细!E383</f>
        <v>51.964100000000002</v>
      </c>
      <c r="E118" s="216">
        <v>51.964125000000003</v>
      </c>
      <c r="F118" s="216">
        <v>25</v>
      </c>
      <c r="G118" s="216"/>
      <c r="H118" s="216"/>
      <c r="I118" s="216"/>
      <c r="J118" s="216">
        <f t="shared" si="67"/>
        <v>25</v>
      </c>
      <c r="K118" s="216"/>
      <c r="L118" s="216">
        <f t="shared" si="68"/>
        <v>26.964100000000002</v>
      </c>
      <c r="M118" s="229" t="s">
        <v>1539</v>
      </c>
      <c r="N118" s="216">
        <f t="shared" si="69"/>
        <v>51.964100000000002</v>
      </c>
      <c r="O118" s="216">
        <f t="shared" si="70"/>
        <v>0</v>
      </c>
      <c r="P118" s="230"/>
    </row>
    <row r="119" spans="1:16" ht="16.5" customHeight="1" outlineLevel="2">
      <c r="A119" s="214" t="s">
        <v>1449</v>
      </c>
      <c r="B119" s="215" t="s">
        <v>642</v>
      </c>
      <c r="C119" s="216">
        <f t="shared" si="66"/>
        <v>2.8325769692488527</v>
      </c>
      <c r="D119" s="216">
        <f>成本明细!E386</f>
        <v>27.123100000000001</v>
      </c>
      <c r="E119" s="216">
        <v>27.1231029498</v>
      </c>
      <c r="F119" s="216">
        <f>成本明细!F386/10000</f>
        <v>27.123000000000001</v>
      </c>
      <c r="G119" s="216"/>
      <c r="H119" s="216"/>
      <c r="I119" s="216"/>
      <c r="J119" s="216">
        <f t="shared" si="67"/>
        <v>27.123000000000001</v>
      </c>
      <c r="K119" s="216"/>
      <c r="L119" s="216">
        <f t="shared" si="68"/>
        <v>9.9999999999766942E-5</v>
      </c>
      <c r="M119" s="229"/>
      <c r="N119" s="216">
        <f t="shared" si="69"/>
        <v>27.123100000000001</v>
      </c>
      <c r="O119" s="216">
        <f t="shared" si="70"/>
        <v>0</v>
      </c>
      <c r="P119" s="230"/>
    </row>
    <row r="120" spans="1:16" ht="16.5" customHeight="1" outlineLevel="2">
      <c r="A120" s="214" t="s">
        <v>1450</v>
      </c>
      <c r="B120" s="215" t="s">
        <v>639</v>
      </c>
      <c r="C120" s="216">
        <f t="shared" si="66"/>
        <v>5.5326897058769777</v>
      </c>
      <c r="D120" s="216">
        <f>成本明细!E390</f>
        <v>52.977800000000002</v>
      </c>
      <c r="E120" s="216">
        <v>52.977846801600002</v>
      </c>
      <c r="F120" s="216">
        <f>成本明细!F390/10000</f>
        <v>52.978299999999997</v>
      </c>
      <c r="G120" s="216"/>
      <c r="H120" s="216"/>
      <c r="I120" s="216"/>
      <c r="J120" s="216">
        <f t="shared" si="67"/>
        <v>52.978299999999997</v>
      </c>
      <c r="K120" s="216"/>
      <c r="L120" s="216">
        <f t="shared" si="68"/>
        <v>-4.99999999995282E-4</v>
      </c>
      <c r="M120" s="229"/>
      <c r="N120" s="216">
        <f t="shared" si="69"/>
        <v>52.977800000000002</v>
      </c>
      <c r="O120" s="216">
        <f t="shared" si="70"/>
        <v>0</v>
      </c>
      <c r="P120" s="230"/>
    </row>
    <row r="121" spans="1:16" ht="16.5" customHeight="1" outlineLevel="2">
      <c r="A121" s="214" t="s">
        <v>1451</v>
      </c>
      <c r="B121" s="215" t="s">
        <v>1452</v>
      </c>
      <c r="C121" s="216">
        <f t="shared" si="66"/>
        <v>6.8926620934967318</v>
      </c>
      <c r="D121" s="216">
        <f>成本明细!E393</f>
        <v>66.000100000000003</v>
      </c>
      <c r="E121" s="216">
        <v>66.000054751799993</v>
      </c>
      <c r="F121" s="216">
        <f>成本明细!F393/10000</f>
        <v>66</v>
      </c>
      <c r="G121" s="216"/>
      <c r="H121" s="216"/>
      <c r="I121" s="216"/>
      <c r="J121" s="216">
        <f t="shared" si="67"/>
        <v>66</v>
      </c>
      <c r="K121" s="216"/>
      <c r="L121" s="216">
        <f t="shared" si="68"/>
        <v>1.0000000000331966E-4</v>
      </c>
      <c r="M121" s="229"/>
      <c r="N121" s="216">
        <f t="shared" si="69"/>
        <v>66.000100000000003</v>
      </c>
      <c r="O121" s="216">
        <f t="shared" si="70"/>
        <v>0</v>
      </c>
      <c r="P121" s="230"/>
    </row>
    <row r="122" spans="1:16" ht="16.5" customHeight="1" outlineLevel="2">
      <c r="A122" s="214" t="s">
        <v>1453</v>
      </c>
      <c r="B122" s="215" t="s">
        <v>1454</v>
      </c>
      <c r="C122" s="216">
        <f t="shared" si="66"/>
        <v>3.968454630948111</v>
      </c>
      <c r="D122" s="216">
        <f>成本明细!E396</f>
        <v>37.999600000000001</v>
      </c>
      <c r="E122" s="216">
        <v>37.999573123200001</v>
      </c>
      <c r="F122" s="216">
        <f>成本明细!F396/10000</f>
        <v>38</v>
      </c>
      <c r="G122" s="216"/>
      <c r="H122" s="216"/>
      <c r="I122" s="216"/>
      <c r="J122" s="216">
        <f t="shared" si="67"/>
        <v>38</v>
      </c>
      <c r="K122" s="216"/>
      <c r="L122" s="216">
        <f t="shared" si="68"/>
        <v>-3.9999999999906777E-4</v>
      </c>
      <c r="M122" s="229"/>
      <c r="N122" s="216">
        <f t="shared" si="69"/>
        <v>37.999600000000001</v>
      </c>
      <c r="O122" s="216">
        <f t="shared" si="70"/>
        <v>0</v>
      </c>
      <c r="P122" s="230"/>
    </row>
    <row r="123" spans="1:16" ht="16.5" customHeight="1" outlineLevel="2">
      <c r="A123" s="214" t="s">
        <v>1455</v>
      </c>
      <c r="B123" s="215" t="s">
        <v>1456</v>
      </c>
      <c r="C123" s="216">
        <f t="shared" si="66"/>
        <v>4.3665157071521179</v>
      </c>
      <c r="D123" s="216">
        <f>成本明细!E399</f>
        <v>41.811199999999999</v>
      </c>
      <c r="E123" s="216">
        <v>41.81118</v>
      </c>
      <c r="F123" s="216">
        <f>成本明细!F399/10000</f>
        <v>117.8</v>
      </c>
      <c r="G123" s="216"/>
      <c r="H123" s="216"/>
      <c r="I123" s="216"/>
      <c r="J123" s="216">
        <f t="shared" si="67"/>
        <v>117.8</v>
      </c>
      <c r="K123" s="216"/>
      <c r="L123" s="216">
        <f t="shared" si="68"/>
        <v>-75.988799999999998</v>
      </c>
      <c r="M123" s="229" t="s">
        <v>1548</v>
      </c>
      <c r="N123" s="216">
        <f t="shared" si="69"/>
        <v>41.811199999999999</v>
      </c>
      <c r="O123" s="216">
        <f t="shared" si="70"/>
        <v>0</v>
      </c>
      <c r="P123" s="230"/>
    </row>
    <row r="124" spans="1:16" ht="16.5" customHeight="1" outlineLevel="1">
      <c r="A124" s="220">
        <v>4.3</v>
      </c>
      <c r="B124" s="221" t="s">
        <v>1457</v>
      </c>
      <c r="C124" s="222">
        <f t="shared" ref="C124:F124" si="73">SUM(C125:C128)</f>
        <v>63.050844271501553</v>
      </c>
      <c r="D124" s="222">
        <f t="shared" si="73"/>
        <v>603.73799999999994</v>
      </c>
      <c r="E124" s="222">
        <v>603.73795670000004</v>
      </c>
      <c r="F124" s="222">
        <f t="shared" si="73"/>
        <v>302.67500000000001</v>
      </c>
      <c r="G124" s="222">
        <f t="shared" ref="G124:O124" si="74">SUM(G125:G128)</f>
        <v>0</v>
      </c>
      <c r="H124" s="222">
        <f t="shared" si="74"/>
        <v>0</v>
      </c>
      <c r="I124" s="222">
        <f t="shared" si="74"/>
        <v>0</v>
      </c>
      <c r="J124" s="222">
        <f t="shared" si="74"/>
        <v>302.67500000000001</v>
      </c>
      <c r="K124" s="222"/>
      <c r="L124" s="222">
        <f t="shared" si="74"/>
        <v>301.06299999999999</v>
      </c>
      <c r="M124" s="231"/>
      <c r="N124" s="222">
        <f t="shared" si="74"/>
        <v>603.73799999999994</v>
      </c>
      <c r="O124" s="222">
        <f t="shared" si="74"/>
        <v>0</v>
      </c>
      <c r="P124" s="232"/>
    </row>
    <row r="125" spans="1:16" ht="16.5" customHeight="1" outlineLevel="2">
      <c r="A125" s="214" t="s">
        <v>1458</v>
      </c>
      <c r="B125" s="215" t="s">
        <v>1459</v>
      </c>
      <c r="C125" s="216">
        <f t="shared" si="66"/>
        <v>27.0542112273985</v>
      </c>
      <c r="D125" s="216">
        <f>成本明细!E404</f>
        <v>259.05529999999999</v>
      </c>
      <c r="E125" s="216">
        <v>259.05527669999998</v>
      </c>
      <c r="F125" s="216">
        <v>131.6</v>
      </c>
      <c r="G125" s="216"/>
      <c r="H125" s="216"/>
      <c r="I125" s="216"/>
      <c r="J125" s="216">
        <f t="shared" si="67"/>
        <v>131.6</v>
      </c>
      <c r="K125" s="216"/>
      <c r="L125" s="216">
        <f t="shared" si="68"/>
        <v>127.45529999999999</v>
      </c>
      <c r="M125" s="229" t="s">
        <v>1539</v>
      </c>
      <c r="N125" s="216">
        <f t="shared" si="69"/>
        <v>259.05529999999999</v>
      </c>
      <c r="O125" s="216">
        <f t="shared" si="70"/>
        <v>0</v>
      </c>
      <c r="P125" s="230"/>
    </row>
    <row r="126" spans="1:16" ht="16.5" customHeight="1" outlineLevel="2">
      <c r="A126" s="214" t="s">
        <v>1460</v>
      </c>
      <c r="B126" s="215" t="s">
        <v>1461</v>
      </c>
      <c r="C126" s="216">
        <f t="shared" si="66"/>
        <v>21.707309813726091</v>
      </c>
      <c r="D126" s="216">
        <f>成本明细!E407</f>
        <v>207.85650000000001</v>
      </c>
      <c r="E126" s="216">
        <v>207.85650000000001</v>
      </c>
      <c r="F126" s="216">
        <v>114.5</v>
      </c>
      <c r="G126" s="216"/>
      <c r="H126" s="216"/>
      <c r="I126" s="216"/>
      <c r="J126" s="216">
        <f t="shared" si="67"/>
        <v>114.5</v>
      </c>
      <c r="K126" s="216"/>
      <c r="L126" s="216">
        <f t="shared" si="68"/>
        <v>93.356500000000011</v>
      </c>
      <c r="M126" s="229" t="s">
        <v>1539</v>
      </c>
      <c r="N126" s="216">
        <f t="shared" si="69"/>
        <v>207.85650000000001</v>
      </c>
      <c r="O126" s="216">
        <f t="shared" si="70"/>
        <v>0</v>
      </c>
      <c r="P126" s="230"/>
    </row>
    <row r="127" spans="1:16" ht="16.5" customHeight="1" outlineLevel="2">
      <c r="A127" s="214" t="s">
        <v>1462</v>
      </c>
      <c r="B127" s="215" t="s">
        <v>1446</v>
      </c>
      <c r="C127" s="216">
        <f t="shared" si="66"/>
        <v>9.9228075232248418</v>
      </c>
      <c r="D127" s="216">
        <f>成本明细!E410</f>
        <v>95.015000000000001</v>
      </c>
      <c r="E127" s="216">
        <v>95.015000000000001</v>
      </c>
      <c r="F127" s="216">
        <v>56.575000000000003</v>
      </c>
      <c r="G127" s="216"/>
      <c r="H127" s="216"/>
      <c r="I127" s="216"/>
      <c r="J127" s="216">
        <f t="shared" si="67"/>
        <v>56.575000000000003</v>
      </c>
      <c r="K127" s="216"/>
      <c r="L127" s="216">
        <f t="shared" si="68"/>
        <v>38.44</v>
      </c>
      <c r="M127" s="229" t="s">
        <v>1539</v>
      </c>
      <c r="N127" s="216">
        <f t="shared" si="69"/>
        <v>95.015000000000001</v>
      </c>
      <c r="O127" s="216">
        <f t="shared" si="70"/>
        <v>0</v>
      </c>
      <c r="P127" s="230"/>
    </row>
    <row r="128" spans="1:16" ht="16.5" customHeight="1" outlineLevel="2">
      <c r="A128" s="214" t="s">
        <v>1463</v>
      </c>
      <c r="B128" s="215" t="s">
        <v>1456</v>
      </c>
      <c r="C128" s="216">
        <f t="shared" si="66"/>
        <v>4.3665157071521179</v>
      </c>
      <c r="D128" s="216">
        <f>成本明细!E413</f>
        <v>41.811199999999999</v>
      </c>
      <c r="E128" s="216">
        <v>41.81118</v>
      </c>
      <c r="F128" s="216">
        <f>成本明细!F413/10000</f>
        <v>0</v>
      </c>
      <c r="G128" s="216"/>
      <c r="H128" s="216"/>
      <c r="I128" s="216"/>
      <c r="J128" s="216">
        <f t="shared" si="67"/>
        <v>0</v>
      </c>
      <c r="K128" s="216"/>
      <c r="L128" s="216">
        <f t="shared" si="68"/>
        <v>41.811199999999999</v>
      </c>
      <c r="M128" s="229" t="s">
        <v>1548</v>
      </c>
      <c r="N128" s="216">
        <f t="shared" si="69"/>
        <v>41.811199999999999</v>
      </c>
      <c r="O128" s="216">
        <f t="shared" si="70"/>
        <v>0</v>
      </c>
      <c r="P128" s="230"/>
    </row>
    <row r="129" spans="1:16" ht="16.5" customHeight="1" outlineLevel="1">
      <c r="A129" s="220">
        <v>4.4000000000000004</v>
      </c>
      <c r="B129" s="221" t="s">
        <v>1159</v>
      </c>
      <c r="C129" s="222">
        <f t="shared" ref="C129:F129" si="75">SUM(C130:C131)</f>
        <v>65.121929441178267</v>
      </c>
      <c r="D129" s="222">
        <f t="shared" si="75"/>
        <v>623.56949999999995</v>
      </c>
      <c r="E129" s="222">
        <v>623.56949999999995</v>
      </c>
      <c r="F129" s="222">
        <f t="shared" si="75"/>
        <v>335.88299999999998</v>
      </c>
      <c r="G129" s="222">
        <f t="shared" ref="G129:O129" si="76">SUM(G130:G131)</f>
        <v>0</v>
      </c>
      <c r="H129" s="222">
        <f t="shared" si="76"/>
        <v>0</v>
      </c>
      <c r="I129" s="222">
        <f t="shared" si="76"/>
        <v>0</v>
      </c>
      <c r="J129" s="222">
        <f t="shared" si="76"/>
        <v>335.88299999999998</v>
      </c>
      <c r="K129" s="222"/>
      <c r="L129" s="222">
        <f t="shared" si="76"/>
        <v>287.68649999999997</v>
      </c>
      <c r="M129" s="231"/>
      <c r="N129" s="222">
        <f t="shared" si="76"/>
        <v>623.56949999999995</v>
      </c>
      <c r="O129" s="222">
        <f t="shared" si="76"/>
        <v>0</v>
      </c>
      <c r="P129" s="232"/>
    </row>
    <row r="130" spans="1:16" ht="16.5" customHeight="1" outlineLevel="2">
      <c r="A130" s="214" t="s">
        <v>1464</v>
      </c>
      <c r="B130" s="215" t="s">
        <v>1160</v>
      </c>
      <c r="C130" s="216">
        <f t="shared" si="66"/>
        <v>65.121929441178267</v>
      </c>
      <c r="D130" s="216">
        <f>成本明细!E417</f>
        <v>623.56949999999995</v>
      </c>
      <c r="E130" s="216">
        <v>623.56949999999995</v>
      </c>
      <c r="F130" s="216">
        <f>成本明细!F417/10000</f>
        <v>335.88299999999998</v>
      </c>
      <c r="G130" s="216"/>
      <c r="H130" s="216"/>
      <c r="I130" s="216"/>
      <c r="J130" s="216">
        <f t="shared" si="67"/>
        <v>335.88299999999998</v>
      </c>
      <c r="K130" s="216"/>
      <c r="L130" s="216">
        <f t="shared" si="68"/>
        <v>287.68649999999997</v>
      </c>
      <c r="M130" s="229" t="s">
        <v>1539</v>
      </c>
      <c r="N130" s="216">
        <f t="shared" si="69"/>
        <v>623.56949999999995</v>
      </c>
      <c r="O130" s="216">
        <f t="shared" si="70"/>
        <v>0</v>
      </c>
      <c r="P130" s="230"/>
    </row>
    <row r="131" spans="1:16" ht="16.5" customHeight="1" outlineLevel="2">
      <c r="A131" s="214" t="s">
        <v>1465</v>
      </c>
      <c r="B131" s="215" t="s">
        <v>1161</v>
      </c>
      <c r="C131" s="216">
        <f t="shared" si="66"/>
        <v>0</v>
      </c>
      <c r="D131" s="216">
        <f>成本明细!E422</f>
        <v>0</v>
      </c>
      <c r="E131" s="216">
        <v>0</v>
      </c>
      <c r="F131" s="216">
        <f>成本明细!F422/10000</f>
        <v>0</v>
      </c>
      <c r="G131" s="216"/>
      <c r="H131" s="216"/>
      <c r="I131" s="216"/>
      <c r="J131" s="216">
        <f t="shared" si="67"/>
        <v>0</v>
      </c>
      <c r="K131" s="216"/>
      <c r="L131" s="216">
        <f t="shared" si="68"/>
        <v>0</v>
      </c>
      <c r="M131" s="229"/>
      <c r="N131" s="216">
        <f t="shared" si="69"/>
        <v>0</v>
      </c>
      <c r="O131" s="216">
        <f t="shared" si="70"/>
        <v>0</v>
      </c>
      <c r="P131" s="230"/>
    </row>
    <row r="132" spans="1:16" ht="16.5" customHeight="1" outlineLevel="1">
      <c r="A132" s="220">
        <v>4.5</v>
      </c>
      <c r="B132" s="221" t="s">
        <v>1154</v>
      </c>
      <c r="C132" s="222">
        <f t="shared" ref="C132:F132" si="77">SUM(C133:C135)</f>
        <v>183.89048412000943</v>
      </c>
      <c r="D132" s="222">
        <f t="shared" si="77"/>
        <v>1760.8277</v>
      </c>
      <c r="E132" s="222">
        <v>1760.827648</v>
      </c>
      <c r="F132" s="222">
        <f t="shared" si="77"/>
        <v>1727.5215970000002</v>
      </c>
      <c r="G132" s="222">
        <f t="shared" ref="G132:O132" si="78">SUM(G133:G135)</f>
        <v>0</v>
      </c>
      <c r="H132" s="222">
        <f t="shared" si="78"/>
        <v>0</v>
      </c>
      <c r="I132" s="222">
        <f t="shared" si="78"/>
        <v>0</v>
      </c>
      <c r="J132" s="222">
        <f t="shared" si="78"/>
        <v>1727.5215970000002</v>
      </c>
      <c r="K132" s="222"/>
      <c r="L132" s="222">
        <f t="shared" si="78"/>
        <v>32.087827000000004</v>
      </c>
      <c r="M132" s="231"/>
      <c r="N132" s="222">
        <f t="shared" si="78"/>
        <v>1759.6094240000002</v>
      </c>
      <c r="O132" s="222">
        <f t="shared" si="78"/>
        <v>-1.2182759999998325</v>
      </c>
      <c r="P132" s="232"/>
    </row>
    <row r="133" spans="1:16" ht="16.5" customHeight="1" outlineLevel="2">
      <c r="A133" s="214" t="s">
        <v>1466</v>
      </c>
      <c r="B133" s="215" t="s">
        <v>1467</v>
      </c>
      <c r="C133" s="216">
        <f t="shared" si="66"/>
        <v>138.5311132728973</v>
      </c>
      <c r="D133" s="216">
        <f>成本明细!E426</f>
        <v>1326.4929</v>
      </c>
      <c r="E133" s="216">
        <v>1326.492898</v>
      </c>
      <c r="F133" s="216">
        <f>成本明细!F426/10000</f>
        <v>1325.2746240000001</v>
      </c>
      <c r="G133" s="216"/>
      <c r="H133" s="216"/>
      <c r="I133" s="216"/>
      <c r="J133" s="216">
        <f t="shared" si="67"/>
        <v>1325.2746240000001</v>
      </c>
      <c r="K133" s="216"/>
      <c r="L133" s="216">
        <v>0</v>
      </c>
      <c r="M133" s="229"/>
      <c r="N133" s="216">
        <f t="shared" si="69"/>
        <v>1325.2746240000001</v>
      </c>
      <c r="O133" s="216">
        <f t="shared" si="70"/>
        <v>-1.2182759999998325</v>
      </c>
      <c r="P133" s="230"/>
    </row>
    <row r="134" spans="1:16" ht="16.5" customHeight="1" outlineLevel="2">
      <c r="A134" s="214" t="s">
        <v>1468</v>
      </c>
      <c r="B134" s="215" t="s">
        <v>1156</v>
      </c>
      <c r="C134" s="216">
        <f t="shared" si="66"/>
        <v>33.355713564372927</v>
      </c>
      <c r="D134" s="216">
        <f>成本明细!E429</f>
        <v>319.39479999999998</v>
      </c>
      <c r="E134" s="216">
        <v>319.39474999999999</v>
      </c>
      <c r="F134" s="216">
        <f>成本明细!F429/10000</f>
        <v>287.30697299999997</v>
      </c>
      <c r="G134" s="216"/>
      <c r="H134" s="216"/>
      <c r="I134" s="216"/>
      <c r="J134" s="216">
        <f t="shared" si="67"/>
        <v>287.30697299999997</v>
      </c>
      <c r="K134" s="216"/>
      <c r="L134" s="216">
        <f t="shared" ref="L134:L142" si="79">D134-J134</f>
        <v>32.087827000000004</v>
      </c>
      <c r="M134" s="229" t="s">
        <v>1549</v>
      </c>
      <c r="N134" s="216">
        <f t="shared" si="69"/>
        <v>319.39479999999998</v>
      </c>
      <c r="O134" s="216">
        <f t="shared" si="70"/>
        <v>0</v>
      </c>
      <c r="P134" s="230"/>
    </row>
    <row r="135" spans="1:16" ht="16.5" customHeight="1" outlineLevel="2">
      <c r="A135" s="214" t="s">
        <v>1469</v>
      </c>
      <c r="B135" s="215" t="s">
        <v>1157</v>
      </c>
      <c r="C135" s="216">
        <f t="shared" si="66"/>
        <v>12.003657282739184</v>
      </c>
      <c r="D135" s="216">
        <f>成本明细!E432</f>
        <v>114.94</v>
      </c>
      <c r="E135" s="216">
        <v>114.94</v>
      </c>
      <c r="F135" s="216">
        <f>成本明细!F432/10000</f>
        <v>114.94</v>
      </c>
      <c r="G135" s="216"/>
      <c r="H135" s="216"/>
      <c r="I135" s="216"/>
      <c r="J135" s="216">
        <f t="shared" si="67"/>
        <v>114.94</v>
      </c>
      <c r="K135" s="216"/>
      <c r="L135" s="216">
        <f t="shared" si="79"/>
        <v>0</v>
      </c>
      <c r="M135" s="229"/>
      <c r="N135" s="216">
        <f t="shared" si="69"/>
        <v>114.94</v>
      </c>
      <c r="O135" s="216">
        <f t="shared" si="70"/>
        <v>0</v>
      </c>
      <c r="P135" s="230"/>
    </row>
    <row r="136" spans="1:16" ht="16.5" customHeight="1" outlineLevel="1">
      <c r="A136" s="220">
        <v>4.5999999999999996</v>
      </c>
      <c r="B136" s="221" t="s">
        <v>1147</v>
      </c>
      <c r="C136" s="222">
        <f t="shared" ref="C136:F136" si="80">SUM(C137:C142)</f>
        <v>82.537916111207721</v>
      </c>
      <c r="D136" s="222">
        <f t="shared" si="80"/>
        <v>790.33480000000009</v>
      </c>
      <c r="E136" s="222">
        <v>771.89919269999996</v>
      </c>
      <c r="F136" s="222">
        <f t="shared" si="80"/>
        <v>448.35277999999994</v>
      </c>
      <c r="G136" s="222">
        <f t="shared" ref="G136:O136" si="81">SUM(G137:G142)</f>
        <v>0</v>
      </c>
      <c r="H136" s="222">
        <f t="shared" si="81"/>
        <v>0</v>
      </c>
      <c r="I136" s="222">
        <f t="shared" si="81"/>
        <v>0</v>
      </c>
      <c r="J136" s="222">
        <f t="shared" si="81"/>
        <v>448.35277999999994</v>
      </c>
      <c r="K136" s="222"/>
      <c r="L136" s="222">
        <f t="shared" si="81"/>
        <v>323.54642000000007</v>
      </c>
      <c r="M136" s="231"/>
      <c r="N136" s="222">
        <f t="shared" si="81"/>
        <v>771.89920000000006</v>
      </c>
      <c r="O136" s="222">
        <f t="shared" si="81"/>
        <v>-18.435600000000001</v>
      </c>
      <c r="P136" s="232"/>
    </row>
    <row r="137" spans="1:16" ht="16.5" customHeight="1" outlineLevel="2">
      <c r="A137" s="214" t="s">
        <v>1470</v>
      </c>
      <c r="B137" s="215" t="s">
        <v>1471</v>
      </c>
      <c r="C137" s="216">
        <f t="shared" si="66"/>
        <v>23.840794367659264</v>
      </c>
      <c r="D137" s="216">
        <f>成本明细!E436</f>
        <v>228.28550000000001</v>
      </c>
      <c r="E137" s="216">
        <v>228.28545800000001</v>
      </c>
      <c r="F137" s="216">
        <f>成本明细!F436/10000</f>
        <v>187.06357999999997</v>
      </c>
      <c r="G137" s="216"/>
      <c r="H137" s="216"/>
      <c r="I137" s="216"/>
      <c r="J137" s="216">
        <f t="shared" si="67"/>
        <v>187.06357999999997</v>
      </c>
      <c r="K137" s="216"/>
      <c r="L137" s="216">
        <f t="shared" si="79"/>
        <v>41.22192000000004</v>
      </c>
      <c r="M137" s="229" t="s">
        <v>1539</v>
      </c>
      <c r="N137" s="216">
        <f t="shared" si="69"/>
        <v>228.28550000000001</v>
      </c>
      <c r="O137" s="216">
        <f t="shared" si="70"/>
        <v>0</v>
      </c>
      <c r="P137" s="230"/>
    </row>
    <row r="138" spans="1:16" ht="16.5" customHeight="1" outlineLevel="2">
      <c r="A138" s="214" t="s">
        <v>1472</v>
      </c>
      <c r="B138" s="215" t="s">
        <v>1148</v>
      </c>
      <c r="C138" s="216">
        <f t="shared" si="66"/>
        <v>50.35695058647589</v>
      </c>
      <c r="D138" s="216">
        <f>成本明细!E440</f>
        <v>482.18869999999998</v>
      </c>
      <c r="E138" s="216">
        <v>482.1887347</v>
      </c>
      <c r="F138" s="216">
        <f>成本明细!F440/10000</f>
        <v>243.03919999999999</v>
      </c>
      <c r="G138" s="216"/>
      <c r="H138" s="216"/>
      <c r="I138" s="216"/>
      <c r="J138" s="216">
        <f t="shared" si="67"/>
        <v>243.03919999999999</v>
      </c>
      <c r="K138" s="216"/>
      <c r="L138" s="216">
        <f t="shared" si="79"/>
        <v>239.14949999999999</v>
      </c>
      <c r="M138" s="229" t="s">
        <v>1539</v>
      </c>
      <c r="N138" s="216">
        <f t="shared" si="69"/>
        <v>482.18869999999998</v>
      </c>
      <c r="O138" s="216">
        <f t="shared" si="70"/>
        <v>0</v>
      </c>
      <c r="P138" s="230"/>
    </row>
    <row r="139" spans="1:16" ht="16.5" customHeight="1" outlineLevel="2">
      <c r="A139" s="214" t="s">
        <v>1473</v>
      </c>
      <c r="B139" s="215" t="s">
        <v>1474</v>
      </c>
      <c r="C139" s="216">
        <f t="shared" si="66"/>
        <v>1.9253055872774183</v>
      </c>
      <c r="D139" s="216">
        <f>成本明细!E443</f>
        <v>18.435600000000001</v>
      </c>
      <c r="E139" s="216">
        <v>0</v>
      </c>
      <c r="F139" s="216">
        <f>成本明细!F443/10000</f>
        <v>0</v>
      </c>
      <c r="G139" s="216"/>
      <c r="H139" s="216"/>
      <c r="I139" s="216"/>
      <c r="J139" s="216">
        <f t="shared" si="67"/>
        <v>0</v>
      </c>
      <c r="K139" s="216"/>
      <c r="L139" s="216">
        <v>0</v>
      </c>
      <c r="M139" s="229" t="s">
        <v>1550</v>
      </c>
      <c r="N139" s="216">
        <f t="shared" si="69"/>
        <v>0</v>
      </c>
      <c r="O139" s="216">
        <f t="shared" si="70"/>
        <v>-18.435600000000001</v>
      </c>
      <c r="P139" s="230"/>
    </row>
    <row r="140" spans="1:16" ht="16.5" customHeight="1" outlineLevel="2">
      <c r="A140" s="214" t="s">
        <v>1476</v>
      </c>
      <c r="B140" s="215" t="s">
        <v>1477</v>
      </c>
      <c r="C140" s="216">
        <f t="shared" si="66"/>
        <v>3.0546978903786419</v>
      </c>
      <c r="D140" s="216">
        <f>成本明细!E446</f>
        <v>29.25</v>
      </c>
      <c r="E140" s="216">
        <v>29.25</v>
      </c>
      <c r="F140" s="216">
        <f>成本明细!F446/10000</f>
        <v>18.25</v>
      </c>
      <c r="G140" s="216"/>
      <c r="H140" s="216"/>
      <c r="I140" s="216"/>
      <c r="J140" s="216">
        <f t="shared" si="67"/>
        <v>18.25</v>
      </c>
      <c r="K140" s="216"/>
      <c r="L140" s="216">
        <f t="shared" si="79"/>
        <v>11</v>
      </c>
      <c r="M140" s="229" t="s">
        <v>1547</v>
      </c>
      <c r="N140" s="216">
        <f t="shared" si="69"/>
        <v>29.25</v>
      </c>
      <c r="O140" s="216">
        <f t="shared" si="70"/>
        <v>0</v>
      </c>
      <c r="P140" s="230"/>
    </row>
    <row r="141" spans="1:16" ht="16.5" customHeight="1" outlineLevel="2">
      <c r="A141" s="214" t="s">
        <v>1478</v>
      </c>
      <c r="B141" s="215" t="s">
        <v>1479</v>
      </c>
      <c r="C141" s="216">
        <f t="shared" si="66"/>
        <v>2.7492281013407776</v>
      </c>
      <c r="D141" s="216">
        <f>成本明细!E449</f>
        <v>26.324999999999999</v>
      </c>
      <c r="E141" s="216">
        <v>26.324999999999999</v>
      </c>
      <c r="F141" s="216">
        <f>成本明细!F449/10000</f>
        <v>0</v>
      </c>
      <c r="G141" s="216"/>
      <c r="H141" s="216"/>
      <c r="I141" s="216"/>
      <c r="J141" s="216">
        <f t="shared" si="67"/>
        <v>0</v>
      </c>
      <c r="K141" s="216"/>
      <c r="L141" s="216">
        <f t="shared" si="79"/>
        <v>26.324999999999999</v>
      </c>
      <c r="M141" s="229" t="s">
        <v>1547</v>
      </c>
      <c r="N141" s="216">
        <f t="shared" si="69"/>
        <v>26.324999999999999</v>
      </c>
      <c r="O141" s="216">
        <f t="shared" si="70"/>
        <v>0</v>
      </c>
      <c r="P141" s="230"/>
    </row>
    <row r="142" spans="1:16" ht="16.5" customHeight="1" outlineLevel="2">
      <c r="A142" s="214" t="s">
        <v>1480</v>
      </c>
      <c r="B142" s="215" t="s">
        <v>1153</v>
      </c>
      <c r="C142" s="216">
        <f t="shared" si="66"/>
        <v>0.6109395780757283</v>
      </c>
      <c r="D142" s="216">
        <f>成本明细!E452</f>
        <v>5.85</v>
      </c>
      <c r="E142" s="216">
        <v>5.85</v>
      </c>
      <c r="F142" s="216">
        <f>成本明细!F452/10000</f>
        <v>0</v>
      </c>
      <c r="G142" s="216"/>
      <c r="H142" s="216"/>
      <c r="I142" s="216"/>
      <c r="J142" s="216">
        <f t="shared" si="67"/>
        <v>0</v>
      </c>
      <c r="K142" s="216"/>
      <c r="L142" s="216">
        <f t="shared" si="79"/>
        <v>5.85</v>
      </c>
      <c r="M142" s="229" t="s">
        <v>1551</v>
      </c>
      <c r="N142" s="216">
        <f t="shared" si="69"/>
        <v>5.85</v>
      </c>
      <c r="O142" s="216">
        <f t="shared" si="70"/>
        <v>0</v>
      </c>
      <c r="P142" s="230"/>
    </row>
    <row r="143" spans="1:16" ht="16.5" customHeight="1" outlineLevel="1">
      <c r="A143" s="220">
        <v>4.7</v>
      </c>
      <c r="B143" s="221" t="s">
        <v>1162</v>
      </c>
      <c r="C143" s="222">
        <f t="shared" ref="C143:F143" si="82">SUM(C144:C146)</f>
        <v>6.8309833046400605</v>
      </c>
      <c r="D143" s="222">
        <f t="shared" si="82"/>
        <v>65.409499999999994</v>
      </c>
      <c r="E143" s="222">
        <v>174.54482999999999</v>
      </c>
      <c r="F143" s="222">
        <f t="shared" si="82"/>
        <v>60.49</v>
      </c>
      <c r="G143" s="222">
        <f t="shared" ref="G143:O143" si="83">SUM(G144:G146)</f>
        <v>0</v>
      </c>
      <c r="H143" s="222">
        <f t="shared" si="83"/>
        <v>0</v>
      </c>
      <c r="I143" s="222">
        <f t="shared" si="83"/>
        <v>0</v>
      </c>
      <c r="J143" s="222">
        <f t="shared" si="83"/>
        <v>60.49</v>
      </c>
      <c r="K143" s="222"/>
      <c r="L143" s="222">
        <f t="shared" si="83"/>
        <v>50</v>
      </c>
      <c r="M143" s="231"/>
      <c r="N143" s="222">
        <f t="shared" si="83"/>
        <v>110.49000000000001</v>
      </c>
      <c r="O143" s="222">
        <f t="shared" si="83"/>
        <v>45.080500000000015</v>
      </c>
      <c r="P143" s="232"/>
    </row>
    <row r="144" spans="1:16" ht="16.5" customHeight="1" outlineLevel="2">
      <c r="A144" s="214" t="s">
        <v>1481</v>
      </c>
      <c r="B144" s="215" t="s">
        <v>1163</v>
      </c>
      <c r="C144" s="216">
        <f t="shared" si="66"/>
        <v>3.6450639476200251</v>
      </c>
      <c r="D144" s="216">
        <f>成本明细!E456</f>
        <v>34.902999999999999</v>
      </c>
      <c r="E144" s="216">
        <v>0</v>
      </c>
      <c r="F144" s="216">
        <f>成本明细!F456/10000</f>
        <v>0</v>
      </c>
      <c r="G144" s="216"/>
      <c r="H144" s="216"/>
      <c r="I144" s="216"/>
      <c r="J144" s="216">
        <f t="shared" si="67"/>
        <v>0</v>
      </c>
      <c r="K144" s="216"/>
      <c r="L144" s="216">
        <v>0</v>
      </c>
      <c r="M144" s="229"/>
      <c r="N144" s="216">
        <f t="shared" si="69"/>
        <v>0</v>
      </c>
      <c r="O144" s="216">
        <f t="shared" si="70"/>
        <v>-34.902999999999999</v>
      </c>
      <c r="P144" s="230"/>
    </row>
    <row r="145" spans="1:16" ht="16.5" customHeight="1" outlineLevel="2">
      <c r="A145" s="214" t="s">
        <v>1483</v>
      </c>
      <c r="B145" s="215" t="s">
        <v>1164</v>
      </c>
      <c r="C145" s="216">
        <f t="shared" si="66"/>
        <v>3.185919357020035</v>
      </c>
      <c r="D145" s="216">
        <f>成本明细!E459</f>
        <v>30.506499999999999</v>
      </c>
      <c r="E145" s="216">
        <v>0</v>
      </c>
      <c r="F145" s="216">
        <f>成本明细!F459/10000</f>
        <v>0</v>
      </c>
      <c r="G145" s="216"/>
      <c r="H145" s="216"/>
      <c r="I145" s="216"/>
      <c r="J145" s="216">
        <f t="shared" si="67"/>
        <v>0</v>
      </c>
      <c r="K145" s="216"/>
      <c r="L145" s="216">
        <v>0</v>
      </c>
      <c r="M145" s="229"/>
      <c r="N145" s="216">
        <f t="shared" si="69"/>
        <v>0</v>
      </c>
      <c r="O145" s="216">
        <f t="shared" si="70"/>
        <v>-30.506499999999999</v>
      </c>
      <c r="P145" s="230"/>
    </row>
    <row r="146" spans="1:16" ht="16.5" customHeight="1" outlineLevel="2">
      <c r="A146" s="214" t="s">
        <v>1484</v>
      </c>
      <c r="B146" s="215" t="s">
        <v>1165</v>
      </c>
      <c r="C146" s="216">
        <f t="shared" si="66"/>
        <v>0</v>
      </c>
      <c r="D146" s="216">
        <f>成本明细!E462</f>
        <v>0</v>
      </c>
      <c r="E146" s="216">
        <v>174.54482999999999</v>
      </c>
      <c r="F146" s="216">
        <f>成本明细!F462/10000</f>
        <v>60.49</v>
      </c>
      <c r="G146" s="216"/>
      <c r="H146" s="216"/>
      <c r="I146" s="216"/>
      <c r="J146" s="216">
        <f t="shared" si="67"/>
        <v>60.49</v>
      </c>
      <c r="K146" s="216"/>
      <c r="L146" s="216">
        <v>50</v>
      </c>
      <c r="M146" s="229" t="s">
        <v>1552</v>
      </c>
      <c r="N146" s="216">
        <f t="shared" si="69"/>
        <v>110.49000000000001</v>
      </c>
      <c r="O146" s="216">
        <f t="shared" si="70"/>
        <v>110.49000000000001</v>
      </c>
      <c r="P146" s="230"/>
    </row>
    <row r="147" spans="1:16" ht="16.5" customHeight="1" outlineLevel="1">
      <c r="A147" s="220">
        <v>4.8</v>
      </c>
      <c r="B147" s="221" t="s">
        <v>1487</v>
      </c>
      <c r="C147" s="222">
        <f t="shared" ref="C147:F147" si="84">SUM(C148:C150)</f>
        <v>25.519802535973639</v>
      </c>
      <c r="D147" s="222">
        <f t="shared" si="84"/>
        <v>244.36270000000002</v>
      </c>
      <c r="E147" s="222">
        <v>244.362762</v>
      </c>
      <c r="F147" s="222">
        <f t="shared" si="84"/>
        <v>0</v>
      </c>
      <c r="G147" s="222">
        <f t="shared" ref="G147:O147" si="85">SUM(G148:G150)</f>
        <v>0</v>
      </c>
      <c r="H147" s="222">
        <f t="shared" si="85"/>
        <v>0</v>
      </c>
      <c r="I147" s="222">
        <f t="shared" si="85"/>
        <v>0</v>
      </c>
      <c r="J147" s="222">
        <f t="shared" si="85"/>
        <v>0</v>
      </c>
      <c r="K147" s="222"/>
      <c r="L147" s="222">
        <f t="shared" si="85"/>
        <v>244.36270000000002</v>
      </c>
      <c r="M147" s="231"/>
      <c r="N147" s="222">
        <f t="shared" si="85"/>
        <v>244.36270000000002</v>
      </c>
      <c r="O147" s="222">
        <f t="shared" si="85"/>
        <v>0</v>
      </c>
      <c r="P147" s="232"/>
    </row>
    <row r="148" spans="1:16" ht="16.5" customHeight="1" outlineLevel="2">
      <c r="A148" s="214" t="s">
        <v>1488</v>
      </c>
      <c r="B148" s="215" t="s">
        <v>1489</v>
      </c>
      <c r="C148" s="216">
        <f t="shared" si="66"/>
        <v>6.0761439582514187</v>
      </c>
      <c r="D148" s="216">
        <f>成本明细!E467</f>
        <v>58.181600000000003</v>
      </c>
      <c r="E148" s="216">
        <v>58.181609999999999</v>
      </c>
      <c r="F148" s="216">
        <f>成本明细!F467/10000</f>
        <v>0</v>
      </c>
      <c r="G148" s="216"/>
      <c r="H148" s="216"/>
      <c r="I148" s="216"/>
      <c r="J148" s="216">
        <f t="shared" si="67"/>
        <v>0</v>
      </c>
      <c r="K148" s="216"/>
      <c r="L148" s="216">
        <f>D148-J148</f>
        <v>58.181600000000003</v>
      </c>
      <c r="M148" s="229"/>
      <c r="N148" s="216">
        <f t="shared" si="69"/>
        <v>58.181600000000003</v>
      </c>
      <c r="O148" s="216">
        <f t="shared" si="70"/>
        <v>0</v>
      </c>
      <c r="P148" s="230"/>
    </row>
    <row r="149" spans="1:16" ht="16.5" customHeight="1" outlineLevel="2">
      <c r="A149" s="214" t="s">
        <v>1490</v>
      </c>
      <c r="B149" s="215" t="s">
        <v>1491</v>
      </c>
      <c r="C149" s="216">
        <f t="shared" si="66"/>
        <v>18.228431874754257</v>
      </c>
      <c r="D149" s="216">
        <f>成本明细!E470</f>
        <v>174.54480000000001</v>
      </c>
      <c r="E149" s="216">
        <v>174.54482999999999</v>
      </c>
      <c r="F149" s="216">
        <f>成本明细!F470/10000</f>
        <v>0</v>
      </c>
      <c r="G149" s="216"/>
      <c r="H149" s="216"/>
      <c r="I149" s="216"/>
      <c r="J149" s="216">
        <f t="shared" si="67"/>
        <v>0</v>
      </c>
      <c r="K149" s="216"/>
      <c r="L149" s="216">
        <f t="shared" ref="L149:L150" si="86">D149-J149</f>
        <v>174.54480000000001</v>
      </c>
      <c r="M149" s="229"/>
      <c r="N149" s="216">
        <f t="shared" si="69"/>
        <v>174.54480000000001</v>
      </c>
      <c r="O149" s="216">
        <f t="shared" si="70"/>
        <v>0</v>
      </c>
      <c r="P149" s="230"/>
    </row>
    <row r="150" spans="1:16" ht="16.5" customHeight="1" outlineLevel="2">
      <c r="A150" s="214" t="s">
        <v>1492</v>
      </c>
      <c r="B150" s="215" t="s">
        <v>1493</v>
      </c>
      <c r="C150" s="216">
        <f t="shared" si="66"/>
        <v>1.2152267029679655</v>
      </c>
      <c r="D150" s="216">
        <f>成本明细!E473</f>
        <v>11.6363</v>
      </c>
      <c r="E150" s="216">
        <v>11.636322</v>
      </c>
      <c r="F150" s="216">
        <f>成本明细!F473/10000</f>
        <v>0</v>
      </c>
      <c r="G150" s="216"/>
      <c r="H150" s="216"/>
      <c r="I150" s="216"/>
      <c r="J150" s="216">
        <f t="shared" si="67"/>
        <v>0</v>
      </c>
      <c r="K150" s="216"/>
      <c r="L150" s="216">
        <f t="shared" si="86"/>
        <v>11.6363</v>
      </c>
      <c r="M150" s="229"/>
      <c r="N150" s="216">
        <f t="shared" si="69"/>
        <v>11.6363</v>
      </c>
      <c r="O150" s="216">
        <f t="shared" si="70"/>
        <v>0</v>
      </c>
      <c r="P150" s="230"/>
    </row>
    <row r="151" spans="1:16" ht="16.5" customHeight="1" outlineLevel="1">
      <c r="A151" s="220">
        <v>4.9000000000000004</v>
      </c>
      <c r="B151" s="221" t="s">
        <v>1166</v>
      </c>
      <c r="C151" s="222">
        <f t="shared" ref="C151:F151" si="87">SUM(C152:C154)</f>
        <v>3.4510984641396742</v>
      </c>
      <c r="D151" s="222">
        <f t="shared" si="87"/>
        <v>33.045699999999997</v>
      </c>
      <c r="E151" s="222">
        <v>67.954616000000001</v>
      </c>
      <c r="F151" s="222">
        <f t="shared" si="87"/>
        <v>0</v>
      </c>
      <c r="G151" s="222">
        <f t="shared" ref="G151:O151" si="88">SUM(G152:G154)</f>
        <v>0</v>
      </c>
      <c r="H151" s="222">
        <f t="shared" si="88"/>
        <v>0</v>
      </c>
      <c r="I151" s="222">
        <f t="shared" si="88"/>
        <v>0</v>
      </c>
      <c r="J151" s="222">
        <f t="shared" si="88"/>
        <v>0</v>
      </c>
      <c r="K151" s="222"/>
      <c r="L151" s="222">
        <f t="shared" si="88"/>
        <v>33.045699999999997</v>
      </c>
      <c r="M151" s="231"/>
      <c r="N151" s="222">
        <f t="shared" si="88"/>
        <v>33.045699999999997</v>
      </c>
      <c r="O151" s="222">
        <f t="shared" si="88"/>
        <v>0</v>
      </c>
      <c r="P151" s="232"/>
    </row>
    <row r="152" spans="1:16" ht="16.5" customHeight="1" outlineLevel="2">
      <c r="A152" s="214" t="s">
        <v>1494</v>
      </c>
      <c r="B152" s="215" t="s">
        <v>1167</v>
      </c>
      <c r="C152" s="216">
        <f t="shared" si="66"/>
        <v>1.2803622610612699</v>
      </c>
      <c r="D152" s="216">
        <f>成本明细!E477</f>
        <v>12.26</v>
      </c>
      <c r="E152" s="216">
        <v>12.26</v>
      </c>
      <c r="F152" s="216">
        <f>成本明细!F477/10000</f>
        <v>0</v>
      </c>
      <c r="G152" s="216"/>
      <c r="H152" s="216"/>
      <c r="I152" s="216"/>
      <c r="J152" s="216">
        <f t="shared" si="67"/>
        <v>0</v>
      </c>
      <c r="K152" s="216"/>
      <c r="L152" s="216">
        <f>D152-J152</f>
        <v>12.26</v>
      </c>
      <c r="M152" s="229"/>
      <c r="N152" s="216">
        <f t="shared" si="69"/>
        <v>12.26</v>
      </c>
      <c r="O152" s="216">
        <f t="shared" si="70"/>
        <v>0</v>
      </c>
      <c r="P152" s="230"/>
    </row>
    <row r="153" spans="1:16" ht="16.5" customHeight="1" outlineLevel="2">
      <c r="A153" s="214" t="s">
        <v>1495</v>
      </c>
      <c r="B153" s="215" t="s">
        <v>1496</v>
      </c>
      <c r="C153" s="216">
        <f t="shared" si="66"/>
        <v>2.1707362030784045</v>
      </c>
      <c r="D153" s="216">
        <f>成本明细!E480</f>
        <v>20.785699999999999</v>
      </c>
      <c r="E153" s="216">
        <v>20.78565</v>
      </c>
      <c r="F153" s="216">
        <f>成本明细!F480/10000</f>
        <v>0</v>
      </c>
      <c r="G153" s="216"/>
      <c r="H153" s="216"/>
      <c r="I153" s="216"/>
      <c r="J153" s="216">
        <f t="shared" si="67"/>
        <v>0</v>
      </c>
      <c r="K153" s="216"/>
      <c r="L153" s="216">
        <f t="shared" ref="L153:L154" si="89">D153-J153</f>
        <v>20.785699999999999</v>
      </c>
      <c r="M153" s="229"/>
      <c r="N153" s="216">
        <f t="shared" si="69"/>
        <v>20.785699999999999</v>
      </c>
      <c r="O153" s="216">
        <f t="shared" si="70"/>
        <v>0</v>
      </c>
      <c r="P153" s="230"/>
    </row>
    <row r="154" spans="1:16" ht="16.5" customHeight="1" outlineLevel="2">
      <c r="A154" s="214" t="s">
        <v>1497</v>
      </c>
      <c r="B154" s="215" t="s">
        <v>1498</v>
      </c>
      <c r="C154" s="216">
        <f t="shared" si="66"/>
        <v>0</v>
      </c>
      <c r="D154" s="216">
        <f>成本明细!E483</f>
        <v>0</v>
      </c>
      <c r="E154" s="216">
        <v>34.908965999999999</v>
      </c>
      <c r="F154" s="216">
        <f>成本明细!F483/10000</f>
        <v>0</v>
      </c>
      <c r="G154" s="216"/>
      <c r="H154" s="216"/>
      <c r="I154" s="216"/>
      <c r="J154" s="216">
        <f t="shared" si="67"/>
        <v>0</v>
      </c>
      <c r="K154" s="216"/>
      <c r="L154" s="216">
        <f t="shared" si="89"/>
        <v>0</v>
      </c>
      <c r="M154" s="229"/>
      <c r="N154" s="216">
        <f t="shared" si="69"/>
        <v>0</v>
      </c>
      <c r="O154" s="216">
        <f t="shared" si="70"/>
        <v>0</v>
      </c>
      <c r="P154" s="230"/>
    </row>
    <row r="155" spans="1:16" ht="16.5" customHeight="1">
      <c r="A155" s="218" t="s">
        <v>1169</v>
      </c>
      <c r="B155" s="219" t="s">
        <v>1170</v>
      </c>
      <c r="C155" s="213">
        <f>C156+C157+C162</f>
        <v>82.873974652795738</v>
      </c>
      <c r="D155" s="213">
        <f>D156+D157+D162</f>
        <v>793.55269999999996</v>
      </c>
      <c r="E155" s="213">
        <v>859.55211492900003</v>
      </c>
      <c r="F155" s="213">
        <f t="shared" ref="F155:O155" si="90">F156+F157+F162</f>
        <v>648.17530500000009</v>
      </c>
      <c r="G155" s="213">
        <f t="shared" si="90"/>
        <v>0</v>
      </c>
      <c r="H155" s="213">
        <f t="shared" si="90"/>
        <v>0</v>
      </c>
      <c r="I155" s="213">
        <f t="shared" si="90"/>
        <v>0</v>
      </c>
      <c r="J155" s="213">
        <f t="shared" si="90"/>
        <v>648.17530500000009</v>
      </c>
      <c r="K155" s="213"/>
      <c r="L155" s="213">
        <f t="shared" si="90"/>
        <v>145.37739499999986</v>
      </c>
      <c r="M155" s="213"/>
      <c r="N155" s="213">
        <f t="shared" si="90"/>
        <v>793.55269999999996</v>
      </c>
      <c r="O155" s="213">
        <f t="shared" si="90"/>
        <v>0</v>
      </c>
      <c r="P155" s="228"/>
    </row>
    <row r="156" spans="1:16" ht="16.5" customHeight="1" outlineLevel="1">
      <c r="A156" s="220">
        <v>5.0999999999999996</v>
      </c>
      <c r="B156" s="221" t="s">
        <v>1500</v>
      </c>
      <c r="C156" s="222">
        <f t="shared" si="66"/>
        <v>67.678852561481676</v>
      </c>
      <c r="D156" s="222">
        <f>成本明细!E486</f>
        <v>648.05309999999997</v>
      </c>
      <c r="E156" s="222">
        <v>648.05305950000002</v>
      </c>
      <c r="F156" s="222">
        <f>成本明细!F486/10000</f>
        <v>648.17530500000009</v>
      </c>
      <c r="G156" s="222"/>
      <c r="H156" s="222"/>
      <c r="I156" s="222"/>
      <c r="J156" s="222">
        <f t="shared" si="67"/>
        <v>648.17530500000009</v>
      </c>
      <c r="K156" s="222"/>
      <c r="L156" s="222">
        <f>D156-J156</f>
        <v>-0.1222050000001218</v>
      </c>
      <c r="M156" s="231"/>
      <c r="N156" s="222">
        <f>J156+L156</f>
        <v>648.05309999999997</v>
      </c>
      <c r="O156" s="222">
        <f>N156-D156</f>
        <v>0</v>
      </c>
      <c r="P156" s="232"/>
    </row>
    <row r="157" spans="1:16" ht="16.5" customHeight="1" outlineLevel="1">
      <c r="A157" s="220">
        <v>5.2</v>
      </c>
      <c r="B157" s="221" t="s">
        <v>1172</v>
      </c>
      <c r="C157" s="222">
        <f t="shared" ref="C157:F157" si="91">SUM(C158:C161)</f>
        <v>15.195122091314056</v>
      </c>
      <c r="D157" s="222">
        <f t="shared" si="91"/>
        <v>145.49959999999999</v>
      </c>
      <c r="E157" s="222">
        <v>145.49955</v>
      </c>
      <c r="F157" s="222">
        <f t="shared" si="91"/>
        <v>0</v>
      </c>
      <c r="G157" s="222">
        <f t="shared" ref="G157:O157" si="92">SUM(G158:G161)</f>
        <v>0</v>
      </c>
      <c r="H157" s="222">
        <f t="shared" si="92"/>
        <v>0</v>
      </c>
      <c r="I157" s="222">
        <f t="shared" si="92"/>
        <v>0</v>
      </c>
      <c r="J157" s="222">
        <f t="shared" si="92"/>
        <v>0</v>
      </c>
      <c r="K157" s="222"/>
      <c r="L157" s="222">
        <f t="shared" si="92"/>
        <v>145.49959999999999</v>
      </c>
      <c r="M157" s="231"/>
      <c r="N157" s="222">
        <f t="shared" si="92"/>
        <v>145.49959999999999</v>
      </c>
      <c r="O157" s="222">
        <f t="shared" si="92"/>
        <v>0</v>
      </c>
      <c r="P157" s="232"/>
    </row>
    <row r="158" spans="1:16" ht="16.5" customHeight="1" outlineLevel="2">
      <c r="A158" s="214" t="s">
        <v>1501</v>
      </c>
      <c r="B158" s="215" t="s">
        <v>1173</v>
      </c>
      <c r="C158" s="216">
        <f t="shared" si="66"/>
        <v>6.5121981658236221</v>
      </c>
      <c r="D158" s="216">
        <f>成本明细!E491</f>
        <v>62.356999999999999</v>
      </c>
      <c r="E158" s="216">
        <v>62.356949999999998</v>
      </c>
      <c r="F158" s="216">
        <f>成本明细!F491/10000</f>
        <v>0</v>
      </c>
      <c r="G158" s="216"/>
      <c r="H158" s="216"/>
      <c r="I158" s="216"/>
      <c r="J158" s="216">
        <f t="shared" si="67"/>
        <v>0</v>
      </c>
      <c r="K158" s="216"/>
      <c r="L158" s="216">
        <f t="shared" ref="L158:L161" si="93">D158-J158</f>
        <v>62.356999999999999</v>
      </c>
      <c r="M158" s="229"/>
      <c r="N158" s="216">
        <f t="shared" ref="N158:N161" si="94">J158+L158</f>
        <v>62.356999999999999</v>
      </c>
      <c r="O158" s="216">
        <f t="shared" ref="O158:O163" si="95">N158-D158</f>
        <v>0</v>
      </c>
      <c r="P158" s="230"/>
    </row>
    <row r="159" spans="1:16" ht="16.5" customHeight="1" outlineLevel="2">
      <c r="A159" s="214" t="s">
        <v>1502</v>
      </c>
      <c r="B159" s="215" t="s">
        <v>1176</v>
      </c>
      <c r="C159" s="216">
        <f t="shared" si="66"/>
        <v>6.5121981658236221</v>
      </c>
      <c r="D159" s="216">
        <f>成本明细!E494</f>
        <v>62.356999999999999</v>
      </c>
      <c r="E159" s="216">
        <v>62.356949999999998</v>
      </c>
      <c r="F159" s="216">
        <f>成本明细!F494/10000</f>
        <v>0</v>
      </c>
      <c r="G159" s="216"/>
      <c r="H159" s="216"/>
      <c r="I159" s="216"/>
      <c r="J159" s="216">
        <f t="shared" si="67"/>
        <v>0</v>
      </c>
      <c r="K159" s="216"/>
      <c r="L159" s="216">
        <f t="shared" si="93"/>
        <v>62.356999999999999</v>
      </c>
      <c r="M159" s="229"/>
      <c r="N159" s="216">
        <f t="shared" si="94"/>
        <v>62.356999999999999</v>
      </c>
      <c r="O159" s="216">
        <f t="shared" si="95"/>
        <v>0</v>
      </c>
      <c r="P159" s="230"/>
    </row>
    <row r="160" spans="1:16" ht="16.5" customHeight="1" outlineLevel="2">
      <c r="A160" s="214" t="s">
        <v>1503</v>
      </c>
      <c r="B160" s="215" t="s">
        <v>1174</v>
      </c>
      <c r="C160" s="216">
        <f t="shared" si="66"/>
        <v>1.0853628798334067</v>
      </c>
      <c r="D160" s="216">
        <f>成本明细!E497</f>
        <v>10.392799999999999</v>
      </c>
      <c r="E160" s="216">
        <v>10.392825</v>
      </c>
      <c r="F160" s="216">
        <f>成本明细!F497/10000</f>
        <v>0</v>
      </c>
      <c r="G160" s="216"/>
      <c r="H160" s="216"/>
      <c r="I160" s="216"/>
      <c r="J160" s="216">
        <f t="shared" si="67"/>
        <v>0</v>
      </c>
      <c r="K160" s="216"/>
      <c r="L160" s="216">
        <f t="shared" si="93"/>
        <v>10.392799999999999</v>
      </c>
      <c r="M160" s="229"/>
      <c r="N160" s="216">
        <f t="shared" si="94"/>
        <v>10.392799999999999</v>
      </c>
      <c r="O160" s="216">
        <f t="shared" si="95"/>
        <v>0</v>
      </c>
      <c r="P160" s="230"/>
    </row>
    <row r="161" spans="1:17" ht="16.5" customHeight="1" outlineLevel="2">
      <c r="A161" s="214" t="s">
        <v>1504</v>
      </c>
      <c r="B161" s="215" t="s">
        <v>1175</v>
      </c>
      <c r="C161" s="216">
        <f t="shared" si="66"/>
        <v>1.0853628798334067</v>
      </c>
      <c r="D161" s="216">
        <f>成本明细!E500</f>
        <v>10.392799999999999</v>
      </c>
      <c r="E161" s="216">
        <v>10.392825</v>
      </c>
      <c r="F161" s="216">
        <f>成本明细!F500/10000</f>
        <v>0</v>
      </c>
      <c r="G161" s="216"/>
      <c r="H161" s="216"/>
      <c r="I161" s="216"/>
      <c r="J161" s="216">
        <f t="shared" si="67"/>
        <v>0</v>
      </c>
      <c r="K161" s="216"/>
      <c r="L161" s="216">
        <f t="shared" si="93"/>
        <v>10.392799999999999</v>
      </c>
      <c r="M161" s="229"/>
      <c r="N161" s="216">
        <f t="shared" si="94"/>
        <v>10.392799999999999</v>
      </c>
      <c r="O161" s="216">
        <f t="shared" si="95"/>
        <v>0</v>
      </c>
      <c r="P161" s="230"/>
    </row>
    <row r="162" spans="1:17" ht="16.5" customHeight="1" outlineLevel="1">
      <c r="A162" s="220">
        <v>5.3</v>
      </c>
      <c r="B162" s="221" t="s">
        <v>1177</v>
      </c>
      <c r="C162" s="222">
        <f t="shared" si="66"/>
        <v>0</v>
      </c>
      <c r="D162" s="222">
        <f>成本明细!E503</f>
        <v>0</v>
      </c>
      <c r="E162" s="222">
        <v>65.999505428999996</v>
      </c>
      <c r="F162" s="222">
        <v>0</v>
      </c>
      <c r="G162" s="222"/>
      <c r="H162" s="222"/>
      <c r="I162" s="222"/>
      <c r="J162" s="222">
        <f t="shared" si="67"/>
        <v>0</v>
      </c>
      <c r="K162" s="222"/>
      <c r="L162" s="222">
        <v>0</v>
      </c>
      <c r="M162" s="231"/>
      <c r="N162" s="222">
        <v>0</v>
      </c>
      <c r="O162" s="222">
        <f t="shared" si="95"/>
        <v>0</v>
      </c>
      <c r="P162" s="232"/>
    </row>
    <row r="163" spans="1:17" ht="16.5" customHeight="1">
      <c r="A163" s="211" t="s">
        <v>1178</v>
      </c>
      <c r="B163" s="212" t="s">
        <v>1506</v>
      </c>
      <c r="C163" s="213">
        <f t="shared" si="66"/>
        <v>20.345405394961993</v>
      </c>
      <c r="D163" s="213">
        <f>成本明细!E510</f>
        <v>194.81569999999999</v>
      </c>
      <c r="E163" s="213">
        <v>209.40155430100401</v>
      </c>
      <c r="F163" s="213">
        <f>成本明细!F510/10000</f>
        <v>31.764900000000001</v>
      </c>
      <c r="G163" s="213"/>
      <c r="H163" s="213"/>
      <c r="I163" s="213"/>
      <c r="J163" s="213">
        <f t="shared" si="67"/>
        <v>31.764900000000001</v>
      </c>
      <c r="K163" s="213"/>
      <c r="L163" s="213">
        <f>D163-J163</f>
        <v>163.05079999999998</v>
      </c>
      <c r="M163" s="227"/>
      <c r="N163" s="213">
        <f>J163+L163</f>
        <v>194.81569999999999</v>
      </c>
      <c r="O163" s="213">
        <f t="shared" si="95"/>
        <v>0</v>
      </c>
      <c r="P163" s="228"/>
    </row>
    <row r="164" spans="1:17" ht="16.5" customHeight="1">
      <c r="A164" s="236" t="s">
        <v>1180</v>
      </c>
      <c r="B164" s="237" t="s">
        <v>1181</v>
      </c>
      <c r="C164" s="238">
        <f t="shared" ref="C164:J164" si="96">C8+C16+C70+C105+C155+C163</f>
        <v>9535.0778634659709</v>
      </c>
      <c r="D164" s="238">
        <f t="shared" si="96"/>
        <v>91302.327600000004</v>
      </c>
      <c r="E164" s="238">
        <v>94716.237669510199</v>
      </c>
      <c r="F164" s="238">
        <f t="shared" si="96"/>
        <v>82797.318612999981</v>
      </c>
      <c r="G164" s="238">
        <f t="shared" si="96"/>
        <v>6.3845000000000001</v>
      </c>
      <c r="H164" s="238">
        <f t="shared" si="96"/>
        <v>0</v>
      </c>
      <c r="I164" s="238">
        <f t="shared" si="96"/>
        <v>0</v>
      </c>
      <c r="J164" s="238">
        <f t="shared" si="96"/>
        <v>82185.683912999986</v>
      </c>
      <c r="K164" s="238"/>
      <c r="L164" s="238">
        <f t="shared" ref="L164:O164" si="97">L8+L16+L70+L105+L155+L163</f>
        <v>37360.855388000004</v>
      </c>
      <c r="M164" s="238">
        <f t="shared" si="97"/>
        <v>0</v>
      </c>
      <c r="N164" s="238">
        <f t="shared" si="97"/>
        <v>119546.53930100001</v>
      </c>
      <c r="O164" s="238">
        <f t="shared" si="97"/>
        <v>28244.211701</v>
      </c>
      <c r="P164" s="257"/>
    </row>
    <row r="165" spans="1:17">
      <c r="A165" s="239" t="s">
        <v>1182</v>
      </c>
      <c r="B165" s="240" t="s">
        <v>1185</v>
      </c>
      <c r="C165" s="241"/>
      <c r="D165" s="241"/>
      <c r="E165" s="241"/>
      <c r="F165" s="241"/>
      <c r="G165" s="241"/>
      <c r="H165" s="241"/>
      <c r="I165" s="241"/>
      <c r="J165" s="258">
        <v>26159.107599999999</v>
      </c>
      <c r="K165" s="259"/>
      <c r="L165" s="258">
        <f>N165-J165</f>
        <v>97576.067400000014</v>
      </c>
      <c r="M165" s="259"/>
      <c r="N165" s="258">
        <f>销售价格测算!BP55</f>
        <v>123735.17500000002</v>
      </c>
      <c r="O165" s="259"/>
      <c r="P165" s="259"/>
      <c r="Q165" s="2"/>
    </row>
    <row r="166" spans="1:17">
      <c r="A166" s="242" t="s">
        <v>1184</v>
      </c>
      <c r="B166" s="243" t="s">
        <v>1507</v>
      </c>
      <c r="C166" s="244"/>
      <c r="D166" s="244"/>
      <c r="E166" s="244"/>
      <c r="F166" s="244"/>
      <c r="G166" s="244"/>
      <c r="H166" s="244"/>
      <c r="I166" s="244"/>
      <c r="J166" s="260"/>
      <c r="K166" s="260"/>
      <c r="L166" s="260"/>
      <c r="M166" s="260"/>
      <c r="N166" s="260"/>
      <c r="O166" s="260"/>
      <c r="P166" s="260"/>
      <c r="Q166" s="2"/>
    </row>
    <row r="167" spans="1:17">
      <c r="A167" s="245" t="s">
        <v>1186</v>
      </c>
      <c r="B167" s="246" t="s">
        <v>979</v>
      </c>
      <c r="C167" s="247"/>
      <c r="D167" s="247"/>
      <c r="E167" s="247"/>
      <c r="F167" s="247"/>
      <c r="G167" s="247"/>
      <c r="H167" s="247"/>
      <c r="I167" s="247"/>
      <c r="J167" s="261">
        <v>1020</v>
      </c>
      <c r="K167" s="262"/>
      <c r="L167" s="261">
        <v>1950</v>
      </c>
      <c r="M167" s="262"/>
      <c r="N167" s="261">
        <f t="shared" ref="N167:N172" si="98">J167+L167</f>
        <v>2970</v>
      </c>
      <c r="O167" s="263">
        <f>N167/N165</f>
        <v>2.400287549599376E-2</v>
      </c>
      <c r="P167" s="262"/>
      <c r="Q167" s="2"/>
    </row>
    <row r="168" spans="1:17">
      <c r="A168" s="245" t="s">
        <v>1187</v>
      </c>
      <c r="B168" s="246" t="s">
        <v>1188</v>
      </c>
      <c r="C168" s="247"/>
      <c r="D168" s="247"/>
      <c r="E168" s="247"/>
      <c r="F168" s="247"/>
      <c r="G168" s="247"/>
      <c r="H168" s="247"/>
      <c r="I168" s="247"/>
      <c r="J168" s="261">
        <v>1434.0075999999999</v>
      </c>
      <c r="K168" s="262"/>
      <c r="L168" s="264">
        <f>J168/29*25</f>
        <v>1236.213448275862</v>
      </c>
      <c r="M168" s="262"/>
      <c r="N168" s="261">
        <f t="shared" si="98"/>
        <v>2670.2210482758619</v>
      </c>
      <c r="O168" s="263">
        <f>N168/N165</f>
        <v>2.1580129080319008E-2</v>
      </c>
      <c r="P168" s="262"/>
      <c r="Q168" s="2"/>
    </row>
    <row r="169" spans="1:17">
      <c r="A169" s="245" t="s">
        <v>1189</v>
      </c>
      <c r="B169" s="248" t="s">
        <v>1183</v>
      </c>
      <c r="C169" s="247"/>
      <c r="D169" s="247"/>
      <c r="E169" s="247"/>
      <c r="F169" s="247"/>
      <c r="G169" s="247"/>
      <c r="H169" s="247"/>
      <c r="I169" s="247"/>
      <c r="J169" s="261">
        <f>J165*0.01</f>
        <v>261.59107599999999</v>
      </c>
      <c r="K169" s="262"/>
      <c r="L169" s="264">
        <f>100700*0.01+5600*0.015</f>
        <v>1091</v>
      </c>
      <c r="M169" s="262"/>
      <c r="N169" s="261">
        <f t="shared" si="98"/>
        <v>1352.5910759999999</v>
      </c>
      <c r="O169" s="262"/>
      <c r="P169" s="262"/>
      <c r="Q169" s="2"/>
    </row>
    <row r="170" spans="1:17" ht="14.25" customHeight="1">
      <c r="A170" s="245" t="s">
        <v>1191</v>
      </c>
      <c r="B170" s="246" t="s">
        <v>1508</v>
      </c>
      <c r="C170" s="247"/>
      <c r="D170" s="247"/>
      <c r="E170" s="247"/>
      <c r="F170" s="247"/>
      <c r="G170" s="247"/>
      <c r="H170" s="247"/>
      <c r="I170" s="247"/>
      <c r="J170" s="261">
        <f>1745.2338+2000</f>
        <v>3745.2338</v>
      </c>
      <c r="K170" s="262" t="s">
        <v>1553</v>
      </c>
      <c r="L170" s="264">
        <f>5400-J170</f>
        <v>1654.7662</v>
      </c>
      <c r="M170" s="262"/>
      <c r="N170" s="261">
        <f t="shared" si="98"/>
        <v>5400</v>
      </c>
      <c r="O170" s="262"/>
      <c r="P170" s="262"/>
      <c r="Q170" s="2"/>
    </row>
    <row r="171" spans="1:17">
      <c r="A171" s="245" t="s">
        <v>1193</v>
      </c>
      <c r="B171" s="246" t="s">
        <v>1509</v>
      </c>
      <c r="C171" s="247"/>
      <c r="D171" s="247"/>
      <c r="E171" s="247"/>
      <c r="F171" s="247"/>
      <c r="G171" s="247"/>
      <c r="H171" s="247"/>
      <c r="I171" s="247"/>
      <c r="J171" s="262">
        <v>10800</v>
      </c>
      <c r="K171" s="262"/>
      <c r="L171" s="264">
        <v>0</v>
      </c>
      <c r="M171" s="262"/>
      <c r="N171" s="261">
        <f t="shared" si="98"/>
        <v>10800</v>
      </c>
      <c r="O171" s="262"/>
      <c r="P171" s="262"/>
      <c r="Q171" s="2"/>
    </row>
    <row r="172" spans="1:17">
      <c r="A172" s="245" t="s">
        <v>1195</v>
      </c>
      <c r="B172" s="246" t="s">
        <v>1194</v>
      </c>
      <c r="C172" s="249"/>
      <c r="D172" s="249"/>
      <c r="E172" s="249"/>
      <c r="F172" s="249"/>
      <c r="G172" s="249"/>
      <c r="H172" s="249"/>
      <c r="I172" s="249"/>
      <c r="J172" s="265">
        <f>J165*0.0565</f>
        <v>1477.9895793999999</v>
      </c>
      <c r="K172" s="263"/>
      <c r="L172" s="266">
        <f>L165*0.0565</f>
        <v>5513.047808100001</v>
      </c>
      <c r="M172" s="263"/>
      <c r="N172" s="266">
        <f t="shared" si="98"/>
        <v>6991.0373875000005</v>
      </c>
      <c r="O172" s="263"/>
      <c r="P172" s="263"/>
      <c r="Q172" s="2"/>
    </row>
    <row r="173" spans="1:17">
      <c r="A173" s="245" t="s">
        <v>1197</v>
      </c>
      <c r="B173" s="246" t="s">
        <v>1196</v>
      </c>
      <c r="C173" s="249"/>
      <c r="D173" s="249"/>
      <c r="E173" s="249"/>
      <c r="F173" s="249"/>
      <c r="G173" s="249"/>
      <c r="H173" s="249"/>
      <c r="I173" s="249"/>
      <c r="J173" s="263"/>
      <c r="K173" s="263"/>
      <c r="L173" s="263"/>
      <c r="M173" s="263"/>
      <c r="N173" s="266">
        <f>N165*0.02</f>
        <v>2474.7035000000005</v>
      </c>
      <c r="O173" s="263"/>
      <c r="P173" s="263"/>
      <c r="Q173" s="2"/>
    </row>
    <row r="174" spans="1:17">
      <c r="A174" s="250" t="s">
        <v>1199</v>
      </c>
      <c r="B174" s="251" t="s">
        <v>1202</v>
      </c>
      <c r="C174" s="252"/>
      <c r="D174" s="252"/>
      <c r="E174" s="252"/>
      <c r="F174" s="252"/>
      <c r="G174" s="252"/>
      <c r="H174" s="252"/>
      <c r="I174" s="252"/>
      <c r="J174" s="267"/>
      <c r="K174" s="267"/>
      <c r="L174" s="267"/>
      <c r="M174" s="267"/>
      <c r="N174" s="267">
        <f>N164+N167+N168+N169+N170+N171+N172+N173</f>
        <v>152205.09231277587</v>
      </c>
      <c r="O174" s="267"/>
      <c r="P174" s="267"/>
      <c r="Q174" s="2"/>
    </row>
    <row r="175" spans="1:17">
      <c r="A175" s="245" t="s">
        <v>1201</v>
      </c>
      <c r="B175" s="246" t="s">
        <v>1510</v>
      </c>
      <c r="C175" s="253"/>
      <c r="D175" s="253"/>
      <c r="E175" s="253"/>
      <c r="F175" s="253"/>
      <c r="G175" s="253"/>
      <c r="H175" s="253"/>
      <c r="I175" s="253"/>
      <c r="J175" s="268"/>
      <c r="K175" s="268"/>
      <c r="L175" s="268"/>
      <c r="M175" s="268"/>
      <c r="N175" s="268">
        <f>N165-N174</f>
        <v>-28469.917312775855</v>
      </c>
      <c r="O175" s="268"/>
      <c r="P175" s="268"/>
      <c r="Q175" s="2"/>
    </row>
    <row r="176" spans="1:17">
      <c r="A176" s="242" t="s">
        <v>1203</v>
      </c>
      <c r="B176" s="243" t="s">
        <v>1511</v>
      </c>
      <c r="C176" s="254"/>
      <c r="D176" s="254"/>
      <c r="E176" s="254"/>
      <c r="F176" s="254"/>
      <c r="G176" s="254"/>
      <c r="H176" s="254"/>
      <c r="I176" s="254"/>
      <c r="J176" s="269"/>
      <c r="K176" s="269"/>
      <c r="L176" s="269"/>
      <c r="M176" s="269"/>
      <c r="N176" s="270">
        <f>N175/N165</f>
        <v>-0.23008750189892124</v>
      </c>
      <c r="O176" s="269"/>
      <c r="P176" s="269"/>
      <c r="Q176" s="2"/>
    </row>
    <row r="177" spans="1:17">
      <c r="A177" s="245" t="s">
        <v>1205</v>
      </c>
      <c r="B177" s="246" t="s">
        <v>1200</v>
      </c>
      <c r="C177" s="249"/>
      <c r="D177" s="249"/>
      <c r="E177" s="249"/>
      <c r="F177" s="249"/>
      <c r="G177" s="249"/>
      <c r="H177" s="249"/>
      <c r="I177" s="249"/>
      <c r="J177" s="263"/>
      <c r="K177" s="263"/>
      <c r="L177" s="263"/>
      <c r="M177" s="263"/>
      <c r="N177" s="266">
        <f>N175*0.25</f>
        <v>-7117.4793281939637</v>
      </c>
      <c r="O177" s="263"/>
      <c r="P177" s="263"/>
      <c r="Q177" s="2"/>
    </row>
    <row r="178" spans="1:17">
      <c r="A178" s="250" t="s">
        <v>1512</v>
      </c>
      <c r="B178" s="251" t="s">
        <v>1513</v>
      </c>
      <c r="C178" s="252"/>
      <c r="D178" s="252"/>
      <c r="E178" s="252"/>
      <c r="F178" s="252"/>
      <c r="G178" s="252"/>
      <c r="H178" s="252"/>
      <c r="I178" s="252"/>
      <c r="J178" s="267"/>
      <c r="K178" s="267"/>
      <c r="L178" s="267"/>
      <c r="M178" s="267"/>
      <c r="N178" s="267">
        <f>N174+N177</f>
        <v>145087.61298458191</v>
      </c>
      <c r="O178" s="267"/>
      <c r="P178" s="267"/>
      <c r="Q178" s="2"/>
    </row>
    <row r="179" spans="1:17">
      <c r="A179" s="245" t="s">
        <v>1514</v>
      </c>
      <c r="B179" s="246" t="s">
        <v>1204</v>
      </c>
      <c r="C179" s="255"/>
      <c r="D179" s="255"/>
      <c r="E179" s="255"/>
      <c r="F179" s="255"/>
      <c r="G179" s="255"/>
      <c r="H179" s="255"/>
      <c r="I179" s="255"/>
      <c r="J179" s="268"/>
      <c r="K179" s="268"/>
      <c r="L179" s="268"/>
      <c r="M179" s="268"/>
      <c r="N179" s="268">
        <f>N165-N178</f>
        <v>-21352.437984581891</v>
      </c>
      <c r="O179" s="268"/>
      <c r="P179" s="268"/>
      <c r="Q179" s="2"/>
    </row>
    <row r="180" spans="1:17">
      <c r="A180" s="242" t="s">
        <v>1515</v>
      </c>
      <c r="B180" s="243" t="s">
        <v>1206</v>
      </c>
      <c r="C180" s="256"/>
      <c r="D180" s="256"/>
      <c r="E180" s="256"/>
      <c r="F180" s="256"/>
      <c r="G180" s="256"/>
      <c r="H180" s="256"/>
      <c r="I180" s="256"/>
      <c r="J180" s="269"/>
      <c r="K180" s="269"/>
      <c r="L180" s="269"/>
      <c r="M180" s="269"/>
      <c r="N180" s="271">
        <f>N179/N165</f>
        <v>-0.17256562642419093</v>
      </c>
      <c r="O180" s="269"/>
      <c r="P180" s="269"/>
      <c r="Q180" s="2"/>
    </row>
    <row r="181" spans="1:17">
      <c r="N181" s="272"/>
    </row>
  </sheetData>
  <mergeCells count="14">
    <mergeCell ref="A1:Q1"/>
    <mergeCell ref="C3:D3"/>
    <mergeCell ref="F3:K3"/>
    <mergeCell ref="L3:M3"/>
    <mergeCell ref="F4:G4"/>
    <mergeCell ref="H4:I4"/>
    <mergeCell ref="J4:J5"/>
    <mergeCell ref="K4:K5"/>
    <mergeCell ref="L4:L5"/>
    <mergeCell ref="M4:M5"/>
    <mergeCell ref="N3:N5"/>
    <mergeCell ref="O3:O5"/>
    <mergeCell ref="P3:P5"/>
    <mergeCell ref="A3:B5"/>
  </mergeCells>
  <phoneticPr fontId="40" type="noConversion"/>
  <pageMargins left="0.51180555555555596" right="0.51180555555555596" top="0.74791666666666701" bottom="0.74791666666666701" header="0.31458333333333299" footer="0.31458333333333299"/>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outlinePr summaryBelow="0"/>
  </sheetPr>
  <dimension ref="A1:M658"/>
  <sheetViews>
    <sheetView zoomScale="85" zoomScaleNormal="85" workbookViewId="0">
      <pane xSplit="4" ySplit="3" topLeftCell="E475" activePane="bottomRight" state="frozen"/>
      <selection pane="topRight"/>
      <selection pane="bottomLeft"/>
      <selection pane="bottomRight" activeCell="A39" sqref="A39"/>
    </sheetView>
  </sheetViews>
  <sheetFormatPr defaultColWidth="9" defaultRowHeight="12" outlineLevelRow="4"/>
  <cols>
    <col min="1" max="1" width="12.625" style="53" customWidth="1"/>
    <col min="2" max="2" width="30.625" style="53" customWidth="1"/>
    <col min="3" max="3" width="12.625" style="56" customWidth="1"/>
    <col min="4" max="4" width="12" style="57" customWidth="1"/>
    <col min="5" max="5" width="16.625" style="57" customWidth="1"/>
    <col min="6" max="6" width="14.625" style="57" customWidth="1"/>
    <col min="7" max="7" width="16.125" style="57" customWidth="1"/>
    <col min="8" max="8" width="14.125" style="57" customWidth="1"/>
    <col min="9" max="9" width="16.5" style="57" customWidth="1"/>
    <col min="10" max="10" width="9.5" style="58" customWidth="1"/>
    <col min="11" max="11" width="18.375" style="56" customWidth="1"/>
    <col min="12" max="12" width="15.625" style="53" customWidth="1"/>
    <col min="13" max="16384" width="9" style="53"/>
  </cols>
  <sheetData>
    <row r="1" spans="1:11" s="49" customFormat="1" ht="25.5">
      <c r="A1" s="819" t="s">
        <v>1554</v>
      </c>
      <c r="B1" s="819"/>
      <c r="C1" s="819"/>
      <c r="D1" s="819"/>
      <c r="E1" s="819"/>
      <c r="F1" s="819"/>
      <c r="G1" s="819"/>
      <c r="H1" s="819"/>
      <c r="I1" s="819"/>
      <c r="J1" s="819"/>
      <c r="K1" s="819"/>
    </row>
    <row r="2" spans="1:11">
      <c r="D2" s="820"/>
      <c r="E2" s="820"/>
      <c r="F2" s="820"/>
      <c r="G2" s="820"/>
      <c r="H2" s="59" t="s">
        <v>1555</v>
      </c>
      <c r="I2" s="59"/>
      <c r="J2" s="58" t="s">
        <v>1556</v>
      </c>
      <c r="K2" s="110">
        <v>116363.22</v>
      </c>
    </row>
    <row r="3" spans="1:11" ht="22.5">
      <c r="A3" s="60" t="s">
        <v>1557</v>
      </c>
      <c r="B3" s="61" t="s">
        <v>1558</v>
      </c>
      <c r="C3" s="62" t="s">
        <v>1559</v>
      </c>
      <c r="D3" s="63" t="s">
        <v>1560</v>
      </c>
      <c r="E3" s="64" t="s">
        <v>1561</v>
      </c>
      <c r="F3" s="65" t="s">
        <v>1562</v>
      </c>
      <c r="G3" s="66" t="s">
        <v>1563</v>
      </c>
      <c r="H3" s="67" t="s">
        <v>1564</v>
      </c>
      <c r="I3" s="111" t="s">
        <v>1565</v>
      </c>
      <c r="J3" s="66" t="s">
        <v>1566</v>
      </c>
      <c r="K3" s="112" t="s">
        <v>1567</v>
      </c>
    </row>
    <row r="4" spans="1:11" s="50" customFormat="1" ht="12.75">
      <c r="A4" s="68"/>
      <c r="B4" s="69" t="s">
        <v>1568</v>
      </c>
      <c r="C4" s="70" t="s">
        <v>1569</v>
      </c>
      <c r="D4" s="71">
        <f t="shared" ref="D4:H4" si="0">D5+D9+D13+D16+D19+D22+D25</f>
        <v>3604.2576253905663</v>
      </c>
      <c r="E4" s="71">
        <f t="shared" si="0"/>
        <v>41940.302300000003</v>
      </c>
      <c r="F4" s="71">
        <f t="shared" si="0"/>
        <v>419667097.56999999</v>
      </c>
      <c r="G4" s="71" t="e">
        <f t="shared" si="0"/>
        <v>#VALUE!</v>
      </c>
      <c r="H4" s="71">
        <f t="shared" ca="1" si="0"/>
        <v>421131497.56999999</v>
      </c>
      <c r="I4" s="113">
        <f>F4-E4*10000</f>
        <v>264074.56999993324</v>
      </c>
      <c r="J4" s="71" t="e">
        <f>G4-D4</f>
        <v>#VALUE!</v>
      </c>
      <c r="K4" s="114"/>
    </row>
    <row r="5" spans="1:11" s="51" customFormat="1" ht="12.75" outlineLevel="1">
      <c r="A5" s="72"/>
      <c r="B5" s="73" t="s">
        <v>1570</v>
      </c>
      <c r="C5" s="74" t="s">
        <v>1571</v>
      </c>
      <c r="D5" s="75">
        <f>E5/K2*10000</f>
        <v>3146.1831324365207</v>
      </c>
      <c r="E5" s="75">
        <v>36610</v>
      </c>
      <c r="F5" s="75">
        <f t="shared" ref="F5:H5" si="1">SUM(F6:F8)</f>
        <v>366100000</v>
      </c>
      <c r="G5" s="75">
        <f t="shared" si="1"/>
        <v>3146.1831324365207</v>
      </c>
      <c r="H5" s="75">
        <f t="shared" ca="1" si="1"/>
        <v>366100000</v>
      </c>
      <c r="I5" s="115">
        <f>F5-E5*10000</f>
        <v>0</v>
      </c>
      <c r="J5" s="116">
        <f>G5-D5</f>
        <v>0</v>
      </c>
      <c r="K5" s="114"/>
    </row>
    <row r="6" spans="1:11" s="52" customFormat="1" ht="12.75" outlineLevel="2">
      <c r="A6" s="76" t="s">
        <v>116</v>
      </c>
      <c r="B6" s="77" t="str">
        <f>IF(A6&lt;&gt;0,VLOOKUP(A6,合同台帐!$A$4:$D$893,4,1),"")</f>
        <v>天津市国有建设用地使用权出让合同</v>
      </c>
      <c r="C6" s="78"/>
      <c r="D6" s="79"/>
      <c r="E6" s="80"/>
      <c r="F6" s="81">
        <f>IF(A6&lt;&gt;0,VLOOKUP(A6,合同台帐!$A$4:$J$893,6,1),"")</f>
        <v>366100000</v>
      </c>
      <c r="G6" s="82">
        <f>F6/K2</f>
        <v>3146.1831324365207</v>
      </c>
      <c r="H6" s="80">
        <f ca="1">IF(A6&lt;&gt;0,IF($H$2="元",VLOOKUP(A6,合同台帐!$A$4:$K$1093,11,1),VLOOKUP(A6,合同台帐!$A$4:$K$1093,11,1)),0)</f>
        <v>366100000</v>
      </c>
      <c r="I6" s="81"/>
      <c r="J6" s="117"/>
      <c r="K6" s="118"/>
    </row>
    <row r="7" spans="1:11" s="51" customFormat="1" ht="12.75" outlineLevel="2">
      <c r="A7" s="83"/>
      <c r="B7" s="84"/>
      <c r="C7" s="85"/>
      <c r="D7" s="86"/>
      <c r="E7" s="87"/>
      <c r="F7" s="88"/>
      <c r="G7" s="89"/>
      <c r="H7" s="80">
        <f>IF(A7&lt;&gt;0,IF($H$2="元",VLOOKUP(A7,合同台帐!$A$4:$K$1093,11,1),VLOOKUP(A7,合同台帐!$A$4:$K$1093,11,1)),0)</f>
        <v>0</v>
      </c>
      <c r="I7" s="88"/>
      <c r="J7" s="119"/>
      <c r="K7" s="114"/>
    </row>
    <row r="8" spans="1:11" s="51" customFormat="1" ht="12.75" outlineLevel="2">
      <c r="A8" s="83"/>
      <c r="B8" s="84"/>
      <c r="C8" s="85"/>
      <c r="D8" s="86"/>
      <c r="E8" s="87"/>
      <c r="F8" s="88"/>
      <c r="G8" s="89"/>
      <c r="H8" s="80">
        <f>IF(A8&lt;&gt;0,IF($H$2="元",VLOOKUP(A8,合同台帐!$A$4:$K$1093,11,1),VLOOKUP(A8,合同台帐!$A$4:$K$1093,11,1)),0)</f>
        <v>0</v>
      </c>
      <c r="I8" s="88"/>
      <c r="J8" s="119"/>
      <c r="K8" s="114"/>
    </row>
    <row r="9" spans="1:11" s="51" customFormat="1" ht="12.75" outlineLevel="1">
      <c r="A9" s="72"/>
      <c r="B9" s="73" t="s">
        <v>1572</v>
      </c>
      <c r="C9" s="74" t="s">
        <v>1573</v>
      </c>
      <c r="D9" s="90">
        <f>E9/K$2*10000</f>
        <v>208.2450279392406</v>
      </c>
      <c r="E9" s="91">
        <v>2423.2062000000001</v>
      </c>
      <c r="F9" s="92">
        <f>SUM(F10:F12)</f>
        <v>24392833.399999999</v>
      </c>
      <c r="G9" s="92" t="e">
        <f t="shared" ref="G9:H9" si="2">SUM(G10:G12)</f>
        <v>#VALUE!</v>
      </c>
      <c r="H9" s="92">
        <f t="shared" ca="1" si="2"/>
        <v>24392833.399999999</v>
      </c>
      <c r="I9" s="92">
        <f t="shared" ref="I9:J9" si="3">SUM(I10:I12)</f>
        <v>0</v>
      </c>
      <c r="J9" s="92">
        <f t="shared" si="3"/>
        <v>0</v>
      </c>
      <c r="K9" s="114"/>
    </row>
    <row r="10" spans="1:11" s="52" customFormat="1" ht="12.75" outlineLevel="2">
      <c r="A10" s="93" t="s">
        <v>204</v>
      </c>
      <c r="B10" s="77" t="str">
        <f>IF(A10&lt;&gt;0,VLOOKUP(A10,合同台帐!$A$4:$D$893,4,1),"")</f>
        <v>大配套费（一期）</v>
      </c>
      <c r="C10" s="78"/>
      <c r="D10" s="81"/>
      <c r="E10" s="81"/>
      <c r="F10" s="81">
        <f>IF(A10&lt;&gt;0,VLOOKUP(A10,合同台帐!$A$4:$J$893,6,1),"")</f>
        <v>12515936.4</v>
      </c>
      <c r="G10" s="82">
        <f>F10/K2</f>
        <v>107.55921329781009</v>
      </c>
      <c r="H10" s="80">
        <f ca="1">IF(A10&lt;&gt;0,IF($H$2="元",VLOOKUP(A10,合同台帐!$A$4:$K$1093,11,1),VLOOKUP(A10,合同台帐!$A$4:$K$1093,11,1)),0)</f>
        <v>12515936.4</v>
      </c>
      <c r="I10" s="81" t="str">
        <f>IF(D10&lt;&gt;0,VLOOKUP(D10,合同台帐!$A$4:$J$893,6,1),"")</f>
        <v/>
      </c>
      <c r="J10" s="81" t="str">
        <f>IF(E10&lt;&gt;0,VLOOKUP(E10,合同台帐!$A$4:$J$893,6,1),"")</f>
        <v/>
      </c>
      <c r="K10" s="118"/>
    </row>
    <row r="11" spans="1:11" s="52" customFormat="1" ht="12.75" outlineLevel="2">
      <c r="A11" s="94" t="s">
        <v>921</v>
      </c>
      <c r="B11" s="77" t="str">
        <f>IF(A11&lt;&gt;0,VLOOKUP(A11,合同台帐!$A$4:$D$893,4,1),"")</f>
        <v>（二、三期）大配套费</v>
      </c>
      <c r="C11" s="78"/>
      <c r="D11" s="81"/>
      <c r="E11" s="81"/>
      <c r="F11" s="81">
        <f>IF(A11&lt;&gt;0,VLOOKUP(A11,合同台帐!$A$4:$J$893,6,1),"")</f>
        <v>11876897</v>
      </c>
      <c r="G11" s="82" t="e">
        <f>F11/K3</f>
        <v>#VALUE!</v>
      </c>
      <c r="H11" s="80">
        <f ca="1">IF(A11&lt;&gt;0,IF($H$2="元",VLOOKUP(A11,合同台帐!$A$4:$K$1093,11,1),VLOOKUP(A11,合同台帐!$A$4:$K$1093,11,1)),0)</f>
        <v>11876897</v>
      </c>
      <c r="I11" s="81" t="str">
        <f>IF(D11&lt;&gt;0,VLOOKUP(D11,合同台帐!$A$4:$J$893,6,1),"")</f>
        <v/>
      </c>
      <c r="J11" s="81" t="str">
        <f>IF(E11&lt;&gt;0,VLOOKUP(E11,合同台帐!$A$4:$J$893,6,1),"")</f>
        <v/>
      </c>
      <c r="K11" s="118"/>
    </row>
    <row r="12" spans="1:11" s="51" customFormat="1" ht="12.75" outlineLevel="2">
      <c r="A12" s="83"/>
      <c r="B12" s="84"/>
      <c r="C12" s="85"/>
      <c r="D12" s="86"/>
      <c r="E12" s="87"/>
      <c r="F12" s="88"/>
      <c r="G12" s="89"/>
      <c r="H12" s="80">
        <f>IF(A12&lt;&gt;0,IF($H$2="元",VLOOKUP(A12,合同台帐!$A$4:$K$1093,11,1),VLOOKUP(A12,合同台帐!$A$4:$K$1093,11,1)),0)</f>
        <v>0</v>
      </c>
      <c r="I12" s="120"/>
      <c r="J12" s="119"/>
      <c r="K12" s="114"/>
    </row>
    <row r="13" spans="1:11" s="51" customFormat="1" ht="12.75" outlineLevel="1">
      <c r="A13" s="72"/>
      <c r="B13" s="73" t="s">
        <v>1574</v>
      </c>
      <c r="C13" s="74" t="s">
        <v>1575</v>
      </c>
      <c r="D13" s="90">
        <f>E13/K$2*10000</f>
        <v>100.28019162756067</v>
      </c>
      <c r="E13" s="91">
        <v>1166.8925999999999</v>
      </c>
      <c r="F13" s="92">
        <f>SUM(F14:F15)</f>
        <v>11967564.17</v>
      </c>
      <c r="G13" s="92">
        <f t="shared" ref="G13:H13" si="4">SUM(G14:G15)</f>
        <v>102.84662258400893</v>
      </c>
      <c r="H13" s="92">
        <f t="shared" ca="1" si="4"/>
        <v>11967564.17</v>
      </c>
      <c r="I13" s="115">
        <f>F13-E13*10000</f>
        <v>298638.17000000179</v>
      </c>
      <c r="J13" s="116">
        <f>G13-D13</f>
        <v>2.5664309564482579</v>
      </c>
      <c r="K13" s="114"/>
    </row>
    <row r="14" spans="1:11" s="52" customFormat="1" ht="12.75" outlineLevel="2">
      <c r="A14" s="93" t="s">
        <v>138</v>
      </c>
      <c r="B14" s="77" t="str">
        <f>IF(A14&lt;&gt;0,VLOOKUP(A14,合同台帐!$A$4:$D$893,4,1),"")</f>
        <v>土地契税</v>
      </c>
      <c r="C14" s="78"/>
      <c r="D14" s="81"/>
      <c r="E14" s="81"/>
      <c r="F14" s="81">
        <f>IF(A14&lt;&gt;0,VLOOKUP(A14,合同台帐!$A$4:$J$893,6,1),"")</f>
        <v>11967564.17</v>
      </c>
      <c r="G14" s="82">
        <f>F14/K2</f>
        <v>102.84662258400893</v>
      </c>
      <c r="H14" s="80">
        <f ca="1">IF(A14&lt;&gt;0,IF($H$2="元",VLOOKUP(A14,合同台帐!$A$4:$K$1093,11,1),VLOOKUP(A14,合同台帐!$A$4:$K$1093,11,1)),0)</f>
        <v>11967564.17</v>
      </c>
      <c r="I14" s="81" t="str">
        <f>IF(D14&lt;&gt;0,VLOOKUP(D14,合同台帐!$A$4:$J$893,6,1),"")</f>
        <v/>
      </c>
      <c r="J14" s="81" t="str">
        <f>IF(E14&lt;&gt;0,VLOOKUP(E14,合同台帐!$A$4:$J$893,6,1),"")</f>
        <v/>
      </c>
      <c r="K14" s="118"/>
    </row>
    <row r="15" spans="1:11" s="51" customFormat="1" ht="12.75" outlineLevel="2">
      <c r="A15" s="95"/>
      <c r="B15" s="96"/>
      <c r="C15" s="97"/>
      <c r="D15" s="86"/>
      <c r="E15" s="87"/>
      <c r="F15" s="88"/>
      <c r="G15" s="89"/>
      <c r="H15" s="80">
        <f>IF(A15&lt;&gt;0,IF($H$2="元",VLOOKUP(A15,合同台帐!$A$4:$K$1093,11,1),VLOOKUP(A15,合同台帐!$A$4:$K$1093,11,1)),0)</f>
        <v>0</v>
      </c>
      <c r="I15" s="120"/>
      <c r="J15" s="119"/>
      <c r="K15" s="114"/>
    </row>
    <row r="16" spans="1:11" s="51" customFormat="1" ht="12.75" outlineLevel="1">
      <c r="A16" s="72"/>
      <c r="B16" s="73" t="s">
        <v>1576</v>
      </c>
      <c r="C16" s="74" t="s">
        <v>1577</v>
      </c>
      <c r="D16" s="90">
        <f>E16/K$2*10000</f>
        <v>15.732368011129291</v>
      </c>
      <c r="E16" s="91">
        <v>183.0669</v>
      </c>
      <c r="F16" s="92">
        <f>SUM(F17:F18)</f>
        <v>1830500</v>
      </c>
      <c r="G16" s="92">
        <f t="shared" ref="G16:J16" si="5">SUM(G17:G23)</f>
        <v>28.315648191928688</v>
      </c>
      <c r="H16" s="92">
        <f t="shared" ca="1" si="5"/>
        <v>3294900</v>
      </c>
      <c r="I16" s="92">
        <f t="shared" si="5"/>
        <v>0</v>
      </c>
      <c r="J16" s="92">
        <f t="shared" si="5"/>
        <v>0</v>
      </c>
      <c r="K16" s="114"/>
    </row>
    <row r="17" spans="1:12" s="52" customFormat="1" ht="15.75" customHeight="1" outlineLevel="2">
      <c r="A17" s="93" t="s">
        <v>120</v>
      </c>
      <c r="B17" s="77" t="str">
        <f>IF(A17&lt;&gt;0,VLOOKUP(A17,合同台帐!$A$4:$D$893,4,1),"")</f>
        <v>代理代办费（蓟县国土收取）</v>
      </c>
      <c r="C17" s="78"/>
      <c r="D17" s="79"/>
      <c r="E17" s="80"/>
      <c r="F17" s="81">
        <f>IF(A17&lt;&gt;0,VLOOKUP(A17,合同台帐!$A$4:$J$893,6,1),"")</f>
        <v>366100</v>
      </c>
      <c r="G17" s="82">
        <f>F17/K2</f>
        <v>3.1461831324365206</v>
      </c>
      <c r="H17" s="80">
        <f ca="1">IF(A17&lt;&gt;0,IF($H$2="元",VLOOKUP(A17,合同台帐!$A$4:$K$1093,11,1),VLOOKUP(A17,合同台帐!$A$4:$K$1093,11,1)),0)</f>
        <v>366100</v>
      </c>
      <c r="I17" s="81"/>
      <c r="J17" s="117"/>
      <c r="K17" s="118"/>
    </row>
    <row r="18" spans="1:12" s="52" customFormat="1" ht="12.75" outlineLevel="2">
      <c r="A18" s="93" t="s">
        <v>124</v>
      </c>
      <c r="B18" s="77" t="str">
        <f>IF(A18&lt;&gt;0,VLOOKUP(A18,合同台帐!$A$4:$D$893,4,1),"")</f>
        <v>土地交易代理代办费</v>
      </c>
      <c r="C18" s="78"/>
      <c r="D18" s="79"/>
      <c r="E18" s="80"/>
      <c r="F18" s="81">
        <f>IF(A18&lt;&gt;0,VLOOKUP(A18,合同台帐!$A$4:$J$893,6,1),"")</f>
        <v>1464400</v>
      </c>
      <c r="G18" s="82">
        <f>F18/K2</f>
        <v>12.584732529746082</v>
      </c>
      <c r="H18" s="80">
        <f ca="1">IF(A18&lt;&gt;0,IF($H$2="元",VLOOKUP(A18,合同台帐!$A$4:$K$1093,11,1),VLOOKUP(A18,合同台帐!$A$4:$K$1093,11,1)),0)</f>
        <v>1464400</v>
      </c>
      <c r="I18" s="81"/>
      <c r="J18" s="117"/>
      <c r="K18" s="118"/>
    </row>
    <row r="19" spans="1:12" s="51" customFormat="1" ht="12.75" outlineLevel="1">
      <c r="A19" s="72"/>
      <c r="B19" s="73" t="s">
        <v>1578</v>
      </c>
      <c r="C19" s="74" t="s">
        <v>1579</v>
      </c>
      <c r="D19" s="90">
        <f>E19/K$2*10000</f>
        <v>1.6772138137806774</v>
      </c>
      <c r="E19" s="91">
        <v>19.5166</v>
      </c>
      <c r="F19" s="92">
        <f>SUM(F20:F21)</f>
        <v>0</v>
      </c>
      <c r="G19" s="92">
        <f t="shared" ref="G19:H19" si="6">SUM(G20:G21)</f>
        <v>0</v>
      </c>
      <c r="H19" s="92">
        <f t="shared" si="6"/>
        <v>0</v>
      </c>
      <c r="I19" s="92">
        <f t="shared" ref="I19:J19" si="7">SUM(I20:I21)</f>
        <v>0</v>
      </c>
      <c r="J19" s="92">
        <f t="shared" si="7"/>
        <v>0</v>
      </c>
      <c r="K19" s="114"/>
    </row>
    <row r="20" spans="1:12" s="51" customFormat="1" ht="12.75" outlineLevel="2">
      <c r="A20" s="95"/>
      <c r="B20" s="96"/>
      <c r="C20" s="85"/>
      <c r="D20" s="86"/>
      <c r="E20" s="87"/>
      <c r="F20" s="88"/>
      <c r="G20" s="89"/>
      <c r="H20" s="80">
        <f>IF(A20&lt;&gt;0,IF($H$2="元",VLOOKUP(A20,合同台帐!$A$4:$K$1093,11,1),VLOOKUP(A20,合同台帐!$A$4:$K$1093,11,1)),0)</f>
        <v>0</v>
      </c>
      <c r="I20" s="121"/>
      <c r="J20" s="119"/>
      <c r="K20" s="114"/>
    </row>
    <row r="21" spans="1:12" s="51" customFormat="1" ht="12.75" outlineLevel="2">
      <c r="A21" s="95"/>
      <c r="B21" s="96"/>
      <c r="C21" s="85"/>
      <c r="D21" s="86"/>
      <c r="E21" s="87"/>
      <c r="F21" s="88"/>
      <c r="G21" s="89"/>
      <c r="H21" s="80">
        <f>IF(A21&lt;&gt;0,IF($H$2="元",VLOOKUP(A21,合同台帐!$A$4:$K$1093,11,1),VLOOKUP(A21,合同台帐!$A$4:$K$1093,11,1)),0)</f>
        <v>0</v>
      </c>
      <c r="I21" s="121"/>
      <c r="J21" s="119"/>
      <c r="K21" s="114"/>
    </row>
    <row r="22" spans="1:12" s="51" customFormat="1" ht="12.75" outlineLevel="1">
      <c r="A22" s="72"/>
      <c r="B22" s="73" t="s">
        <v>1580</v>
      </c>
      <c r="C22" s="74" t="s">
        <v>1579</v>
      </c>
      <c r="D22" s="90">
        <f>E22/K$2*10000</f>
        <v>6.2923662648730412</v>
      </c>
      <c r="E22" s="91">
        <v>73.22</v>
      </c>
      <c r="F22" s="92">
        <f>SUM(F23:F24)</f>
        <v>732200</v>
      </c>
      <c r="G22" s="92">
        <f t="shared" ref="G22:H22" si="8">SUM(G23:G24)</f>
        <v>6.2923662648730412</v>
      </c>
      <c r="H22" s="92">
        <f t="shared" ca="1" si="8"/>
        <v>732200</v>
      </c>
      <c r="I22" s="115">
        <f>F22-E22*10000</f>
        <v>0</v>
      </c>
      <c r="J22" s="116">
        <f>G22-D22</f>
        <v>0</v>
      </c>
      <c r="K22" s="114"/>
    </row>
    <row r="23" spans="1:12" s="52" customFormat="1" ht="12.75" outlineLevel="2">
      <c r="A23" s="93" t="s">
        <v>125</v>
      </c>
      <c r="B23" s="77" t="str">
        <f>IF(A23&lt;&gt;0,VLOOKUP(A23,合同台帐!$A$4:$D$893,4,1),"")</f>
        <v>土地交易手续费</v>
      </c>
      <c r="C23" s="78"/>
      <c r="D23" s="79"/>
      <c r="E23" s="80"/>
      <c r="F23" s="81">
        <f>IF(A23&lt;&gt;0,VLOOKUP(A23,合同台帐!$A$4:$J$893,6,1),"")</f>
        <v>732200</v>
      </c>
      <c r="G23" s="82">
        <f>F23/K2</f>
        <v>6.2923662648730412</v>
      </c>
      <c r="H23" s="80">
        <f ca="1">IF(A23&lt;&gt;0,IF($H$2="元",VLOOKUP(A23,合同台帐!$A$4:$K$1093,11,1),VLOOKUP(A23,合同台帐!$A$4:$K$1093,11,1)),0)</f>
        <v>732200</v>
      </c>
      <c r="I23" s="81"/>
      <c r="J23" s="117"/>
      <c r="K23" s="118"/>
    </row>
    <row r="24" spans="1:12" s="51" customFormat="1" ht="12.75" outlineLevel="2">
      <c r="A24" s="95"/>
      <c r="B24" s="96"/>
      <c r="C24" s="85"/>
      <c r="D24" s="86"/>
      <c r="E24" s="87"/>
      <c r="F24" s="88"/>
      <c r="G24" s="89"/>
      <c r="H24" s="80">
        <f>IF(A24&lt;&gt;0,IF($H$2="元",VLOOKUP(A24,合同台帐!$A$4:$K$1093,11,1),VLOOKUP(A24,合同台帐!$A$4:$K$1093,11,1)),0)</f>
        <v>0</v>
      </c>
      <c r="I24" s="121"/>
      <c r="J24" s="119"/>
      <c r="K24" s="114"/>
    </row>
    <row r="25" spans="1:12" s="51" customFormat="1" ht="12.75" outlineLevel="1">
      <c r="A25" s="72"/>
      <c r="B25" s="73" t="s">
        <v>1581</v>
      </c>
      <c r="C25" s="74" t="s">
        <v>1579</v>
      </c>
      <c r="D25" s="90">
        <f>E25/K$2*10000</f>
        <v>125.84732529746083</v>
      </c>
      <c r="E25" s="91">
        <v>1464.4</v>
      </c>
      <c r="F25" s="92">
        <f>SUM(F26:F27)</f>
        <v>14644000</v>
      </c>
      <c r="G25" s="92">
        <f t="shared" ref="G25:H25" si="9">SUM(G26:G27)</f>
        <v>125.84732529746083</v>
      </c>
      <c r="H25" s="92">
        <f t="shared" ca="1" si="9"/>
        <v>14644000</v>
      </c>
      <c r="I25" s="115">
        <f>F25-E25*10000</f>
        <v>0</v>
      </c>
      <c r="J25" s="116">
        <f>G25-D25</f>
        <v>0</v>
      </c>
      <c r="K25" s="114"/>
    </row>
    <row r="26" spans="1:12" s="52" customFormat="1" ht="12.75" outlineLevel="2">
      <c r="A26" s="93" t="s">
        <v>126</v>
      </c>
      <c r="B26" s="77" t="str">
        <f>IF(A26&lt;&gt;0,VLOOKUP(A26,合同台帐!$A$4:$D$893,4,1),"")</f>
        <v>土地拍卖佣金（蓟县063号）</v>
      </c>
      <c r="C26" s="78"/>
      <c r="D26" s="79"/>
      <c r="E26" s="80"/>
      <c r="F26" s="81">
        <f>IF(A26&lt;&gt;0,VLOOKUP(A26,合同台帐!$A$4:$J$893,6,1),"")</f>
        <v>14644000</v>
      </c>
      <c r="G26" s="82">
        <f>F26/K2</f>
        <v>125.84732529746083</v>
      </c>
      <c r="H26" s="80">
        <f ca="1">IF(A26&lt;&gt;0,IF($H$2="元",VLOOKUP(A26,合同台帐!$A$4:$K$1093,11,1),VLOOKUP(A26,合同台帐!$A$4:$K$1093,11,1)),0)</f>
        <v>14644000</v>
      </c>
      <c r="I26" s="81"/>
      <c r="J26" s="117"/>
      <c r="K26" s="118"/>
    </row>
    <row r="27" spans="1:12" s="51" customFormat="1" ht="13.5" customHeight="1" outlineLevel="2">
      <c r="A27" s="95"/>
      <c r="B27" s="96"/>
      <c r="C27" s="97"/>
      <c r="D27" s="86"/>
      <c r="E27" s="87"/>
      <c r="F27" s="88"/>
      <c r="G27" s="89"/>
      <c r="H27" s="80">
        <f>IF(A27&lt;&gt;0,IF($H$2="元",VLOOKUP(A27,合同台帐!$A$4:$K$1093,11,1),VLOOKUP(A27,合同台帐!$A$4:$K$1093,11,1)),0)</f>
        <v>0</v>
      </c>
      <c r="I27" s="120"/>
      <c r="J27" s="119"/>
      <c r="K27" s="114"/>
    </row>
    <row r="28" spans="1:12" s="50" customFormat="1" ht="12.75">
      <c r="A28" s="68"/>
      <c r="B28" s="69" t="s">
        <v>1582</v>
      </c>
      <c r="C28" s="70" t="s">
        <v>1583</v>
      </c>
      <c r="D28" s="98">
        <f t="shared" ref="D28:H28" si="10">D29+D45+D75+D108+D133+D147+D168+D187+D218</f>
        <v>226.0688729651861</v>
      </c>
      <c r="E28" s="98">
        <f t="shared" si="10"/>
        <v>2630.6102000000005</v>
      </c>
      <c r="F28" s="98">
        <f t="shared" si="10"/>
        <v>25082587.280000001</v>
      </c>
      <c r="G28" s="98" t="e">
        <f t="shared" si="10"/>
        <v>#VALUE!</v>
      </c>
      <c r="H28" s="98">
        <f t="shared" ca="1" si="10"/>
        <v>18901209.740000002</v>
      </c>
      <c r="I28" s="98" t="e">
        <f>I29+I45+I75+#REF!+#REF!+I108+I218</f>
        <v>#REF!</v>
      </c>
      <c r="J28" s="98" t="e">
        <f>J29+J45+J75+#REF!+#REF!+J108+J218</f>
        <v>#REF!</v>
      </c>
      <c r="K28" s="114"/>
    </row>
    <row r="29" spans="1:12" ht="12.75" outlineLevel="1">
      <c r="A29" s="72"/>
      <c r="B29" s="73" t="s">
        <v>1584</v>
      </c>
      <c r="C29" s="74" t="s">
        <v>1585</v>
      </c>
      <c r="D29" s="92">
        <f>D30+D34+D41</f>
        <v>11.849611930642689</v>
      </c>
      <c r="E29" s="92">
        <f>E30+E34+E41</f>
        <v>137.88589999999999</v>
      </c>
      <c r="F29" s="92">
        <f t="shared" ref="F29:H29" si="11">F30+F34+F41</f>
        <v>1306563</v>
      </c>
      <c r="G29" s="92">
        <f t="shared" si="11"/>
        <v>11.228315957568036</v>
      </c>
      <c r="H29" s="92">
        <f t="shared" ca="1" si="11"/>
        <v>991963</v>
      </c>
      <c r="I29" s="115">
        <f>F29-E29*10000</f>
        <v>-72296</v>
      </c>
      <c r="J29" s="116">
        <f>G29-D29</f>
        <v>-0.62129597307465367</v>
      </c>
      <c r="K29" s="114"/>
    </row>
    <row r="30" spans="1:12" ht="15" customHeight="1" outlineLevel="2">
      <c r="A30" s="99"/>
      <c r="B30" s="100" t="s">
        <v>1586</v>
      </c>
      <c r="C30" s="101"/>
      <c r="D30" s="86">
        <f>E30/K$2*10000</f>
        <v>10.395037194742462</v>
      </c>
      <c r="E30" s="87">
        <v>120.96</v>
      </c>
      <c r="F30" s="88">
        <f>SUM(F31:F33)</f>
        <v>1132375</v>
      </c>
      <c r="G30" s="88">
        <f t="shared" ref="G30:H30" si="12">SUM(G31:G33)</f>
        <v>9.7313824763529233</v>
      </c>
      <c r="H30" s="88">
        <f t="shared" ca="1" si="12"/>
        <v>823375</v>
      </c>
      <c r="I30" s="107"/>
      <c r="J30" s="119"/>
      <c r="K30" s="114"/>
      <c r="L30" s="52"/>
    </row>
    <row r="31" spans="1:12" s="52" customFormat="1" ht="12.75" outlineLevel="3">
      <c r="A31" s="76" t="s">
        <v>108</v>
      </c>
      <c r="B31" s="77" t="str">
        <f>IF(A31&lt;&gt;0,VLOOKUP(A31,合同台帐!$A$4:$D$195,4,1),"")</f>
        <v>初勘合同</v>
      </c>
      <c r="C31" s="78"/>
      <c r="D31" s="79"/>
      <c r="E31" s="80"/>
      <c r="F31" s="81">
        <f>IF(A31&lt;&gt;0,IF(VLOOKUP(A31,合同台帐!$A$4:$G$195,7,1),IF($H$2="元",VLOOKUP(A31,合同台帐!$A$4:$G$195,7,1),VLOOKUP(A31,合同台帐!$A$4:$G$195,7,1)),IF($H$2="元",VLOOKUP(A31,合同台帐!$A$4:$F$195,6,1),VLOOKUP(A31,合同台帐!$A$4:$F$195,6,1))),0)</f>
        <v>102375</v>
      </c>
      <c r="G31" s="82">
        <f>F31/K$2</f>
        <v>0.87978830424252608</v>
      </c>
      <c r="H31" s="80">
        <f ca="1">IF(A31&lt;&gt;0,IF($H$2="元",VLOOKUP(A31,合同台帐!$A$4:$K$1093,11,1),VLOOKUP(A31,合同台帐!$A$4:$K$1093,11,1)),0)</f>
        <v>102375</v>
      </c>
      <c r="I31" s="107"/>
      <c r="J31" s="117"/>
      <c r="K31" s="122"/>
    </row>
    <row r="32" spans="1:12" s="51" customFormat="1" ht="12.75" outlineLevel="3">
      <c r="A32" s="76" t="s">
        <v>150</v>
      </c>
      <c r="B32" s="77" t="str">
        <f>IF(A32&lt;&gt;0,VLOOKUP(A32,合同台帐!$A$4:$D$195,4,1),"")</f>
        <v>建设工程勘察合同(详勘）</v>
      </c>
      <c r="C32" s="78"/>
      <c r="D32" s="79"/>
      <c r="E32" s="80"/>
      <c r="F32" s="81">
        <f>IF(A32&lt;&gt;0,IF(VLOOKUP(A32,合同台帐!$A$4:$G$195,7,1),IF($H$2="元",VLOOKUP(A32,合同台帐!$A$4:$G$195,7,1),VLOOKUP(A32,合同台帐!$A$4:$G$195,7,1)),IF($H$2="元",VLOOKUP(A32,合同台帐!$A$4:$F$195,6,1),VLOOKUP(A32,合同台帐!$A$4:$F$195,6,1))),0)</f>
        <v>1030000</v>
      </c>
      <c r="G32" s="82">
        <f t="shared" ref="G32:G33" si="13">F32/K$2</f>
        <v>8.8515941721103975</v>
      </c>
      <c r="H32" s="80">
        <f ca="1">IF(A32&lt;&gt;0,IF($H$2="元",VLOOKUP(A32,合同台帐!$A$4:$K$1093,11,1),VLOOKUP(A32,合同台帐!$A$4:$K$1093,11,1)),0)</f>
        <v>721000</v>
      </c>
      <c r="I32" s="120"/>
      <c r="J32" s="119"/>
      <c r="K32" s="123"/>
    </row>
    <row r="33" spans="1:11" s="51" customFormat="1" ht="12.75" outlineLevel="3">
      <c r="A33" s="102"/>
      <c r="B33" s="84" t="str">
        <f>IF(A33&lt;&gt;0,VLOOKUP(A33,合同台帐!$A$4:$D$195,4,1),"")</f>
        <v/>
      </c>
      <c r="C33" s="85"/>
      <c r="D33" s="86"/>
      <c r="E33" s="87"/>
      <c r="F33" s="88">
        <f>IF(A33&lt;&gt;0,IF(VLOOKUP(A33,合同台帐!$A$4:$G$195,7,1),IF($H$2="元",VLOOKUP(A33,合同台帐!$A$4:$G$195,7,1),VLOOKUP(A33,合同台帐!$A$4:$G$195,7,1)),IF($H$2="元",VLOOKUP(A33,合同台帐!$A$4:$F$195,6,1),VLOOKUP(A33,合同台帐!$A$4:$F$195,6,1))),0)</f>
        <v>0</v>
      </c>
      <c r="G33" s="89">
        <f t="shared" si="13"/>
        <v>0</v>
      </c>
      <c r="H33" s="80">
        <f>IF(A33&lt;&gt;0,IF($H$2="元",VLOOKUP(A33,合同台帐!$A$4:$K$1093,11,1),VLOOKUP(A33,合同台帐!$A$4:$K$1093,11,1)),0)</f>
        <v>0</v>
      </c>
      <c r="I33" s="120"/>
      <c r="J33" s="119"/>
      <c r="K33" s="114"/>
    </row>
    <row r="34" spans="1:11" s="51" customFormat="1" ht="12.75" outlineLevel="2">
      <c r="A34" s="99"/>
      <c r="B34" s="100" t="s">
        <v>1587</v>
      </c>
      <c r="C34" s="101"/>
      <c r="D34" s="86">
        <f>E34/K$2*10000</f>
        <v>1.3683017709547742</v>
      </c>
      <c r="E34" s="87">
        <v>15.922000000000001</v>
      </c>
      <c r="F34" s="88">
        <f t="shared" ref="F34:H34" si="14">SUM(F35:F40)</f>
        <v>164188</v>
      </c>
      <c r="G34" s="88">
        <f t="shared" si="14"/>
        <v>1.4109956737188951</v>
      </c>
      <c r="H34" s="88">
        <f t="shared" ca="1" si="14"/>
        <v>158588</v>
      </c>
      <c r="I34" s="107"/>
      <c r="J34" s="119"/>
      <c r="K34" s="114"/>
    </row>
    <row r="35" spans="1:11" s="52" customFormat="1" ht="12.75" outlineLevel="3">
      <c r="A35" s="76" t="s">
        <v>106</v>
      </c>
      <c r="B35" s="77" t="str">
        <f>IF(A35&lt;&gt;0,VLOOKUP(A35,合同台帐!$A$4:$D$195,4,1),"")</f>
        <v>天津蓟县项目地形图测绘合同</v>
      </c>
      <c r="C35" s="78"/>
      <c r="D35" s="79"/>
      <c r="E35" s="80"/>
      <c r="F35" s="81">
        <f>IF(A35&lt;&gt;0,IF(VLOOKUP(A35,合同台帐!$A$4:$G$195,7,1),IF($H$2="元",VLOOKUP(A35,合同台帐!$A$4:$G$195,7,1),VLOOKUP(A35,合同台帐!$A$4:$G$195,7,1)),IF($H$2="元",VLOOKUP(A35,合同台帐!$A$4:$F$195,6,1),VLOOKUP(A35,合同台帐!$A$4:$F$195,6,1))),0)</f>
        <v>44110</v>
      </c>
      <c r="G35" s="82">
        <f>F35/K$2</f>
        <v>0.37907166886581517</v>
      </c>
      <c r="H35" s="80">
        <f ca="1">IF(A35&lt;&gt;0,IF($H$2="元",VLOOKUP(A35,合同台帐!$A$4:$K$1093,11,1),VLOOKUP(A35,合同台帐!$A$4:$K$1093,11,1)),0)</f>
        <v>44110</v>
      </c>
      <c r="I35" s="107"/>
      <c r="J35" s="117"/>
      <c r="K35" s="122"/>
    </row>
    <row r="36" spans="1:11" s="52" customFormat="1" ht="12" customHeight="1" outlineLevel="3">
      <c r="A36" s="103" t="s">
        <v>128</v>
      </c>
      <c r="B36" s="77" t="str">
        <f>IF(A36&lt;&gt;0,VLOOKUP(A36,合同台帐!$A$4:$D$195,4,1),"")</f>
        <v>管线实测费（买图）</v>
      </c>
      <c r="C36" s="78"/>
      <c r="D36" s="79"/>
      <c r="E36" s="80"/>
      <c r="F36" s="81">
        <f>IF(A36&lt;&gt;0,IF(VLOOKUP(A36,合同台帐!$A$4:$G$195,7,1),IF($H$2="元",VLOOKUP(A36,合同台帐!$A$4:$G$195,7,1),VLOOKUP(A36,合同台帐!$A$4:$G$195,7,1)),IF($H$2="元",VLOOKUP(A36,合同台帐!$A$4:$F$195,6,1),VLOOKUP(A36,合同台帐!$A$4:$F$195,6,1))),0)</f>
        <v>12600</v>
      </c>
      <c r="G36" s="82">
        <f t="shared" ref="G36:G37" si="15">F36/K$2</f>
        <v>0.10828163744523399</v>
      </c>
      <c r="H36" s="80">
        <f ca="1">IF(A36&lt;&gt;0,IF($H$2="元",VLOOKUP(A36,合同台帐!$A$4:$K$1093,11,1),VLOOKUP(A36,合同台帐!$A$4:$K$1093,11,1)),0)</f>
        <v>12600</v>
      </c>
      <c r="I36" s="107"/>
      <c r="J36" s="117"/>
      <c r="K36" s="122"/>
    </row>
    <row r="37" spans="1:11" s="52" customFormat="1" ht="12.75" outlineLevel="3">
      <c r="A37" s="103" t="s">
        <v>130</v>
      </c>
      <c r="B37" s="77" t="str">
        <f>IF(A37&lt;&gt;0,VLOOKUP(A37,合同台帐!$A$4:$D$195,4,1),"")</f>
        <v>管线实测费</v>
      </c>
      <c r="C37" s="78"/>
      <c r="D37" s="79"/>
      <c r="E37" s="80"/>
      <c r="F37" s="81">
        <f>IF(A37&lt;&gt;0,IF(VLOOKUP(A37,合同台帐!$A$4:$G$195,7,1),IF($H$2="元",VLOOKUP(A37,合同台帐!$A$4:$G$195,7,1),VLOOKUP(A37,合同台帐!$A$4:$G$195,7,1)),IF($H$2="元",VLOOKUP(A37,合同台帐!$A$4:$F$195,6,1),VLOOKUP(A37,合同台帐!$A$4:$F$195,6,1))),0)</f>
        <v>61713</v>
      </c>
      <c r="G37" s="82">
        <f t="shared" si="15"/>
        <v>0.53034799140140676</v>
      </c>
      <c r="H37" s="80">
        <f ca="1">IF(A37&lt;&gt;0,IF($H$2="元",VLOOKUP(A37,合同台帐!$A$4:$K$1093,11,1),VLOOKUP(A37,合同台帐!$A$4:$K$1093,11,1)),0)</f>
        <v>61713</v>
      </c>
      <c r="I37" s="107"/>
      <c r="J37" s="117"/>
      <c r="K37" s="122"/>
    </row>
    <row r="38" spans="1:11" s="51" customFormat="1" ht="12.75" outlineLevel="3">
      <c r="A38" s="103" t="s">
        <v>162</v>
      </c>
      <c r="B38" s="77" t="str">
        <f>IF(A38&lt;&gt;0,VLOOKUP(A38,合同台帐!$A$4:$D$195,4,1),"")</f>
        <v>拨地定桩（红线测绘）</v>
      </c>
      <c r="C38" s="78"/>
      <c r="D38" s="79"/>
      <c r="E38" s="80"/>
      <c r="F38" s="81">
        <f>IF(A38&lt;&gt;0,IF(VLOOKUP(A38,合同台帐!$A$4:$G$195,7,1),IF($H$2="元",VLOOKUP(A38,合同台帐!$A$4:$G$195,7,1),VLOOKUP(A38,合同台帐!$A$4:$G$195,7,1)),IF($H$2="元",VLOOKUP(A38,合同台帐!$A$4:$F$195,6,1),VLOOKUP(A38,合同台帐!$A$4:$F$195,6,1))),0)</f>
        <v>40165</v>
      </c>
      <c r="G38" s="82">
        <f t="shared" ref="G38" si="16">F38/K$2</f>
        <v>0.34516920380855737</v>
      </c>
      <c r="H38" s="80">
        <f ca="1">IF(A38&lt;&gt;0,IF($H$2="元",VLOOKUP(A38,合同台帐!$A$4:$K$1093,11,1),VLOOKUP(A38,合同台帐!$A$4:$K$1093,11,1)),0)</f>
        <v>40165</v>
      </c>
      <c r="I38" s="107"/>
      <c r="J38" s="117"/>
      <c r="K38" s="122"/>
    </row>
    <row r="39" spans="1:11" s="51" customFormat="1" ht="12.75" outlineLevel="3">
      <c r="A39" s="104" t="s">
        <v>903</v>
      </c>
      <c r="B39" s="77" t="str">
        <f>IF(A39&lt;&gt;0,VLOOKUP(A39,合同台帐!$A$4:$D$195,4,1),"")</f>
        <v>三期桩基测绘费</v>
      </c>
      <c r="C39" s="78"/>
      <c r="D39" s="79"/>
      <c r="E39" s="80"/>
      <c r="F39" s="81">
        <f>IF(A39&lt;&gt;0,IF(VLOOKUP(A39,合同台帐!$A$4:$G$195,7,1),IF($H$2="元",VLOOKUP(A39,合同台帐!$A$4:$G$195,7,1),VLOOKUP(A39,合同台帐!$A$4:$G$195,7,1)),IF($H$2="元",VLOOKUP(A39,合同台帐!$A$4:$F$195,6,1),VLOOKUP(A39,合同台帐!$A$4:$F$195,6,1))),0)</f>
        <v>5600</v>
      </c>
      <c r="G39" s="82">
        <f t="shared" ref="G39" si="17">F39/K$2</f>
        <v>4.8125172197881767E-2</v>
      </c>
      <c r="H39" s="80">
        <f ca="1">IF(A39&lt;&gt;0,IF($H$2="元",VLOOKUP(A39,合同台帐!$A$4:$K$1093,11,1),VLOOKUP(A39,合同台帐!$A$4:$K$1093,11,1)),0)</f>
        <v>0</v>
      </c>
      <c r="I39" s="107"/>
      <c r="J39" s="117"/>
      <c r="K39" s="122"/>
    </row>
    <row r="40" spans="1:11" s="51" customFormat="1" ht="12.75" outlineLevel="3">
      <c r="A40" s="105"/>
      <c r="B40" s="77"/>
      <c r="C40" s="78"/>
      <c r="D40" s="79"/>
      <c r="E40" s="106"/>
      <c r="F40" s="81"/>
      <c r="G40" s="107"/>
      <c r="H40" s="106"/>
      <c r="I40" s="107"/>
      <c r="J40" s="117"/>
      <c r="K40" s="122"/>
    </row>
    <row r="41" spans="1:11" s="51" customFormat="1" ht="12.75" outlineLevel="2">
      <c r="A41" s="99"/>
      <c r="B41" s="100" t="s">
        <v>1588</v>
      </c>
      <c r="C41" s="101"/>
      <c r="D41" s="86">
        <f>E41/K$2*10000</f>
        <v>8.627296494545271E-2</v>
      </c>
      <c r="E41" s="87">
        <v>1.0039</v>
      </c>
      <c r="F41" s="88">
        <f>SUM(F42:F44)</f>
        <v>10000</v>
      </c>
      <c r="G41" s="88">
        <f t="shared" ref="G41:H41" si="18">SUM(G42:G44)</f>
        <v>8.5937807496217447E-2</v>
      </c>
      <c r="H41" s="88">
        <f t="shared" ca="1" si="18"/>
        <v>10000</v>
      </c>
      <c r="I41" s="107"/>
      <c r="J41" s="119"/>
      <c r="K41" s="114"/>
    </row>
    <row r="42" spans="1:11" s="52" customFormat="1" ht="13.5" customHeight="1" outlineLevel="2">
      <c r="A42" s="93" t="s">
        <v>122</v>
      </c>
      <c r="B42" s="77" t="str">
        <f>IF(A42&lt;&gt;0,VLOOKUP(A42,合同台帐!$A$4:$D$893,4,1),"")</f>
        <v>国有土地使用权登记费</v>
      </c>
      <c r="C42" s="78"/>
      <c r="D42" s="79"/>
      <c r="E42" s="80"/>
      <c r="F42" s="81">
        <f>IF(A42&lt;&gt;0,VLOOKUP(A42,合同台帐!$A$4:$J$893,6,1),"")</f>
        <v>10000</v>
      </c>
      <c r="G42" s="82">
        <f>F42/K2</f>
        <v>8.5937807496217447E-2</v>
      </c>
      <c r="H42" s="80">
        <f ca="1">IF(A42&lt;&gt;0,IF($H$2="元",VLOOKUP(A42,合同台帐!$A$4:$K$1093,11,1),VLOOKUP(A42,合同台帐!$A$4:$K$1093,11,1)),0)</f>
        <v>10000</v>
      </c>
      <c r="I42" s="81"/>
      <c r="J42" s="117"/>
      <c r="K42" s="118"/>
    </row>
    <row r="43" spans="1:11" s="52" customFormat="1" ht="12.75" outlineLevel="3">
      <c r="A43" s="108"/>
      <c r="B43" s="77" t="str">
        <f>IF(A43&lt;&gt;0,VLOOKUP(A43,合同台帐!$A$4:$D$195,4,1),"")</f>
        <v/>
      </c>
      <c r="C43" s="78"/>
      <c r="D43" s="79"/>
      <c r="E43" s="80"/>
      <c r="F43" s="81">
        <f>IF(A43&lt;&gt;0,IF(VLOOKUP(A43,合同台帐!$A$4:$G$195,7,1),IF($H$2="元",VLOOKUP(A43,合同台帐!$A$4:$G$195,7,1),VLOOKUP(A43,合同台帐!$A$4:$G$195,7,1)),IF($H$2="元",VLOOKUP(A43,合同台帐!$A$4:$F$195,6,1),VLOOKUP(A43,合同台帐!$A$4:$F$195,6,1))),0)</f>
        <v>0</v>
      </c>
      <c r="G43" s="82">
        <f>F43/K$2</f>
        <v>0</v>
      </c>
      <c r="H43" s="80">
        <f>IF(A43&lt;&gt;0,IF($H$2="元",VLOOKUP(A43,合同台帐!$A$4:$K$1093,11,1),VLOOKUP(A43,合同台帐!$A$4:$K$1093,11,1)),0)</f>
        <v>0</v>
      </c>
      <c r="I43" s="107"/>
      <c r="J43" s="117"/>
      <c r="K43" s="122"/>
    </row>
    <row r="44" spans="1:11" s="52" customFormat="1" ht="12" customHeight="1" outlineLevel="3">
      <c r="A44" s="105"/>
      <c r="B44" s="77" t="str">
        <f>IF(A44&lt;&gt;0,VLOOKUP(A44,合同台帐!$A$4:$D$195,4,1),"")</f>
        <v/>
      </c>
      <c r="C44" s="78"/>
      <c r="D44" s="79"/>
      <c r="E44" s="80"/>
      <c r="F44" s="81">
        <f>IF(A44&lt;&gt;0,IF(VLOOKUP(A44,合同台帐!$A$4:$G$195,7,1),IF($H$2="元",VLOOKUP(A44,合同台帐!$A$4:$G$195,7,1),VLOOKUP(A44,合同台帐!$A$4:$G$195,7,1)),IF($H$2="元",VLOOKUP(A44,合同台帐!$A$4:$F$195,6,1),VLOOKUP(A44,合同台帐!$A$4:$F$195,6,1))),0)</f>
        <v>0</v>
      </c>
      <c r="G44" s="82">
        <f t="shared" ref="G44" si="19">F44/K$2</f>
        <v>0</v>
      </c>
      <c r="H44" s="80">
        <f>IF(A44&lt;&gt;0,IF($H$2="元",VLOOKUP(A44,合同台帐!$A$4:$K$1093,11,1),VLOOKUP(A44,合同台帐!$A$4:$K$1093,11,1)),0)</f>
        <v>0</v>
      </c>
      <c r="I44" s="107"/>
      <c r="J44" s="117"/>
      <c r="K44" s="122"/>
    </row>
    <row r="45" spans="1:11" ht="12.75" outlineLevel="1">
      <c r="A45" s="72"/>
      <c r="B45" s="73" t="s">
        <v>1589</v>
      </c>
      <c r="C45" s="74" t="s">
        <v>1590</v>
      </c>
      <c r="D45" s="92">
        <f>D46+D49+D52+D55+D59+D64+D70</f>
        <v>107.75828479136278</v>
      </c>
      <c r="E45" s="92">
        <f t="shared" ref="E45:H45" si="20">E46+E49+E52+E55+E59+E64+E70</f>
        <v>1253.9101000000001</v>
      </c>
      <c r="F45" s="92">
        <f t="shared" si="20"/>
        <v>12828059</v>
      </c>
      <c r="G45" s="92">
        <f t="shared" si="20"/>
        <v>110.24152648921196</v>
      </c>
      <c r="H45" s="92">
        <f t="shared" ca="1" si="20"/>
        <v>9749906.75</v>
      </c>
      <c r="I45" s="115">
        <f>F45-E45*10000</f>
        <v>288958</v>
      </c>
      <c r="J45" s="116">
        <f>G45-D45</f>
        <v>2.4832416978491807</v>
      </c>
      <c r="K45" s="114"/>
    </row>
    <row r="46" spans="1:11" ht="24" outlineLevel="2">
      <c r="A46" s="99"/>
      <c r="B46" s="100" t="s">
        <v>1591</v>
      </c>
      <c r="C46" s="101"/>
      <c r="D46" s="86">
        <f>E46/K$2*10000</f>
        <v>65.748868070168569</v>
      </c>
      <c r="E46" s="87">
        <v>765.07500000000005</v>
      </c>
      <c r="F46" s="88">
        <f>SUM(F47:F48)</f>
        <v>7800000</v>
      </c>
      <c r="G46" s="88">
        <f t="shared" ref="G46:H46" si="21">SUM(G47:G48)</f>
        <v>67.031489847049613</v>
      </c>
      <c r="H46" s="88">
        <f t="shared" ca="1" si="21"/>
        <v>6327629</v>
      </c>
      <c r="I46" s="107"/>
      <c r="J46" s="119"/>
      <c r="K46" s="114"/>
    </row>
    <row r="47" spans="1:11" s="52" customFormat="1" ht="12.75" outlineLevel="3">
      <c r="A47" s="76" t="s">
        <v>110</v>
      </c>
      <c r="B47" s="77" t="str">
        <f>IF(A47&lt;&gt;0,VLOOKUP(A47,合同台帐!$A$4:$D$195,4,1),"")</f>
        <v>建筑方案及施工图设计合同</v>
      </c>
      <c r="C47" s="78"/>
      <c r="D47" s="79"/>
      <c r="E47" s="80"/>
      <c r="F47" s="81">
        <f>IF(A47&lt;&gt;0,IF(VLOOKUP(A47,合同台帐!$A$4:$G$195,7,1),IF($H$2="元",VLOOKUP(A47,合同台帐!$A$4:$G$195,7,1),VLOOKUP(A47,合同台帐!$A$4:$G$195,7,1)),IF($H$2="元",VLOOKUP(A47,合同台帐!$A$4:$F$195,6,1),VLOOKUP(A47,合同台帐!$A$4:$F$195,6,1))),0)</f>
        <v>7800000</v>
      </c>
      <c r="G47" s="82">
        <f>F47/K$2</f>
        <v>67.031489847049613</v>
      </c>
      <c r="H47" s="80">
        <f ca="1">IF(A47&lt;&gt;0,IF($H$2="元",VLOOKUP(A47,合同台帐!$A$4:$K$1093,11,1),VLOOKUP(A47,合同台帐!$A$4:$K$1093,11,1)),0)</f>
        <v>6327629</v>
      </c>
      <c r="I47" s="107"/>
      <c r="J47" s="117"/>
      <c r="K47" s="122"/>
    </row>
    <row r="48" spans="1:11" s="52" customFormat="1" ht="12.75" outlineLevel="3">
      <c r="A48" s="76" t="s">
        <v>831</v>
      </c>
      <c r="B48" s="77" t="str">
        <f>IF(A48&lt;&gt;0,VLOOKUP(A48,合同台帐!$A$4:$D$195,4,1),"")</f>
        <v>施工图优化技术服务合同</v>
      </c>
      <c r="C48" s="78"/>
      <c r="D48" s="79"/>
      <c r="E48" s="80"/>
      <c r="F48" s="81">
        <f>IF(A48&lt;&gt;0,IF(VLOOKUP(A48,合同台帐!$A$4:$G$195,7,1),IF($H$2="元",VLOOKUP(A48,合同台帐!$A$4:$G$195,7,1),VLOOKUP(A48,合同台帐!$A$4:$G$195,7,1)),IF($H$2="元",VLOOKUP(A48,合同台帐!$A$4:$F$195,6,1),VLOOKUP(A48,合同台帐!$A$4:$F$195,6,1))),0)</f>
        <v>0</v>
      </c>
      <c r="G48" s="82">
        <f>F48/K$2</f>
        <v>0</v>
      </c>
      <c r="H48" s="80">
        <f ca="1">IF(A48&lt;&gt;0,IF($H$2="元",VLOOKUP(A48,合同台帐!$A$4:$K$1093,11,1),VLOOKUP(A48,合同台帐!$A$4:$K$1093,11,1)),0)</f>
        <v>0</v>
      </c>
      <c r="I48" s="107"/>
      <c r="J48" s="117"/>
      <c r="K48" s="122"/>
    </row>
    <row r="49" spans="1:11" ht="12.75" outlineLevel="2">
      <c r="A49" s="99"/>
      <c r="B49" s="100" t="s">
        <v>1592</v>
      </c>
      <c r="C49" s="101"/>
      <c r="D49" s="86">
        <f>E49/K$2*10000</f>
        <v>6.0527372824505887</v>
      </c>
      <c r="E49" s="87">
        <v>70.431600000000003</v>
      </c>
      <c r="F49" s="88">
        <f>SUM(F50:F51)</f>
        <v>737340</v>
      </c>
      <c r="G49" s="88">
        <f t="shared" ref="G49:H49" si="22">SUM(G50:G51)</f>
        <v>6.3365382979260971</v>
      </c>
      <c r="H49" s="88">
        <f t="shared" ca="1" si="22"/>
        <v>737340</v>
      </c>
      <c r="I49" s="88">
        <f t="shared" ref="I49:J49" si="23">SUM(I50:I51)</f>
        <v>0</v>
      </c>
      <c r="J49" s="88">
        <f t="shared" si="23"/>
        <v>0</v>
      </c>
      <c r="K49" s="114"/>
    </row>
    <row r="50" spans="1:11" s="52" customFormat="1" ht="12.75" outlineLevel="3">
      <c r="A50" s="76" t="s">
        <v>232</v>
      </c>
      <c r="B50" s="77" t="str">
        <f>IF(A50&lt;&gt;0,VLOOKUP(A50,合同台帐!$A$4:$D$195,4,1),"")</f>
        <v>售楼处样板间精装设计合同</v>
      </c>
      <c r="C50" s="78"/>
      <c r="D50" s="79"/>
      <c r="E50" s="80"/>
      <c r="F50" s="81">
        <f>IF(A50&lt;&gt;0,IF(VLOOKUP(A50,合同台帐!$A$4:$G$195,7,1),IF($H$2="元",VLOOKUP(A50,合同台帐!$A$4:$G$195,7,1),VLOOKUP(A50,合同台帐!$A$4:$G$195,7,1)),IF($H$2="元",VLOOKUP(A50,合同台帐!$A$4:$F$195,6,1),VLOOKUP(A50,合同台帐!$A$4:$F$195,6,1))),0)</f>
        <v>737340</v>
      </c>
      <c r="G50" s="82">
        <f>F50/K$2</f>
        <v>6.3365382979260971</v>
      </c>
      <c r="H50" s="80">
        <f ca="1">IF(A50&lt;&gt;0,IF($H$2="元",VLOOKUP(A50,合同台帐!$A$4:$K$1093,11,1),VLOOKUP(A50,合同台帐!$A$4:$K$1093,11,1)),0)</f>
        <v>737340</v>
      </c>
      <c r="I50" s="107"/>
      <c r="J50" s="117"/>
      <c r="K50" s="122"/>
    </row>
    <row r="51" spans="1:11" s="51" customFormat="1" ht="12.75" outlineLevel="3">
      <c r="A51" s="83"/>
      <c r="B51" s="84"/>
      <c r="C51" s="85"/>
      <c r="D51" s="86"/>
      <c r="E51" s="87"/>
      <c r="F51" s="88"/>
      <c r="G51" s="109"/>
      <c r="H51" s="80">
        <f>IF(A51&lt;&gt;0,IF($H$2="元",VLOOKUP(A51,合同台帐!$A$4:$K$1093,11,1),VLOOKUP(A51,合同台帐!$A$4:$K$1093,11,1)),0)</f>
        <v>0</v>
      </c>
      <c r="I51" s="120"/>
      <c r="J51" s="119"/>
      <c r="K51" s="114"/>
    </row>
    <row r="52" spans="1:11" s="51" customFormat="1" ht="12.75" outlineLevel="2">
      <c r="A52" s="99"/>
      <c r="B52" s="100" t="s">
        <v>1593</v>
      </c>
      <c r="C52" s="101"/>
      <c r="D52" s="86">
        <f>E52/K$2*10000</f>
        <v>23.062055175166176</v>
      </c>
      <c r="E52" s="87">
        <v>268.35750000000002</v>
      </c>
      <c r="F52" s="88">
        <f t="shared" ref="F52:H52" si="24">SUM(F53:F54)</f>
        <v>2683575</v>
      </c>
      <c r="G52" s="88">
        <f t="shared" si="24"/>
        <v>23.062055175166172</v>
      </c>
      <c r="H52" s="88">
        <f t="shared" ca="1" si="24"/>
        <v>1744323.75</v>
      </c>
      <c r="I52" s="107"/>
      <c r="J52" s="119"/>
      <c r="K52" s="114"/>
    </row>
    <row r="53" spans="1:11" s="52" customFormat="1" ht="12.75" outlineLevel="3">
      <c r="A53" s="76" t="s">
        <v>155</v>
      </c>
      <c r="B53" s="77" t="str">
        <f>IF(A53&lt;&gt;0,VLOOKUP(A53,合同台帐!$A$4:$D$195,4,1),"")</f>
        <v>景观设计合同</v>
      </c>
      <c r="C53" s="78"/>
      <c r="D53" s="79"/>
      <c r="E53" s="80"/>
      <c r="F53" s="81">
        <f>IF(A53&lt;&gt;0,IF(VLOOKUP(A53,合同台帐!$A$4:$G$195,7,1),IF($H$2="元",VLOOKUP(A53,合同台帐!$A$4:$G$195,7,1),VLOOKUP(A53,合同台帐!$A$4:$G$195,7,1)),IF($H$2="元",VLOOKUP(A53,合同台帐!$A$4:$F$195,6,1),VLOOKUP(A53,合同台帐!$A$4:$F$195,6,1))),0)</f>
        <v>2683575</v>
      </c>
      <c r="G53" s="82">
        <f>F53/K$2</f>
        <v>23.062055175166172</v>
      </c>
      <c r="H53" s="80">
        <f ca="1">IF(A53&lt;&gt;0,IF($H$2="元",VLOOKUP(A53,合同台帐!$A$4:$K$1093,11,1),VLOOKUP(A53,合同台帐!$A$4:$K$1093,11,1)),0)</f>
        <v>1744323.75</v>
      </c>
      <c r="I53" s="107"/>
      <c r="J53" s="117"/>
      <c r="K53" s="122"/>
    </row>
    <row r="54" spans="1:11" ht="12.75" outlineLevel="3">
      <c r="A54" s="99"/>
      <c r="B54" s="100"/>
      <c r="C54" s="101"/>
      <c r="D54" s="86"/>
      <c r="E54" s="87"/>
      <c r="F54" s="88"/>
      <c r="G54" s="89"/>
      <c r="H54" s="80">
        <f>IF(A54&lt;&gt;0,IF($H$2="元",VLOOKUP(A54,合同台帐!$A$4:$K$1093,11,1),VLOOKUP(A54,合同台帐!$A$4:$K$1093,11,1)),0)</f>
        <v>0</v>
      </c>
      <c r="I54" s="120"/>
      <c r="J54" s="119"/>
      <c r="K54" s="114"/>
    </row>
    <row r="55" spans="1:11" ht="12.75" outlineLevel="2">
      <c r="A55" s="99"/>
      <c r="B55" s="100" t="s">
        <v>1594</v>
      </c>
      <c r="C55" s="101"/>
      <c r="D55" s="86">
        <f>E55/K$2*10000</f>
        <v>4.2932981744575303</v>
      </c>
      <c r="E55" s="87">
        <v>49.958199999999998</v>
      </c>
      <c r="F55" s="88">
        <f t="shared" ref="F55:H55" si="25">SUM(F56:F58)</f>
        <v>497800</v>
      </c>
      <c r="G55" s="88">
        <f t="shared" si="25"/>
        <v>4.2779840571617047</v>
      </c>
      <c r="H55" s="88">
        <f t="shared" ca="1" si="25"/>
        <v>257300</v>
      </c>
      <c r="I55" s="107"/>
      <c r="J55" s="119"/>
      <c r="K55" s="114"/>
    </row>
    <row r="56" spans="1:11" s="52" customFormat="1" ht="12.75" outlineLevel="3">
      <c r="A56" s="76" t="s">
        <v>238</v>
      </c>
      <c r="B56" s="77" t="str">
        <f>IF(A56&lt;&gt;0,VLOOKUP(A56,合同台帐!$A$4:$D$195,4,1),"")</f>
        <v>蓟县项目综合管网设计合同（方案）</v>
      </c>
      <c r="C56" s="78"/>
      <c r="D56" s="79"/>
      <c r="E56" s="80"/>
      <c r="F56" s="81">
        <f>IF(A56&lt;&gt;0,IF(VLOOKUP(A56,合同台帐!$A$4:$G$195,7,1),IF($H$2="元",VLOOKUP(A56,合同台帐!$A$4:$G$195,7,1),VLOOKUP(A56,合同台帐!$A$4:$G$195,7,1)),IF($H$2="元",VLOOKUP(A56,合同台帐!$A$4:$F$195,6,1),VLOOKUP(A56,合同台帐!$A$4:$F$195,6,1))),0)</f>
        <v>150000</v>
      </c>
      <c r="G56" s="82">
        <f>F56/K$2</f>
        <v>1.2890671124432618</v>
      </c>
      <c r="H56" s="80">
        <f ca="1">IF(A56&lt;&gt;0,IF($H$2="元",VLOOKUP(A56,合同台帐!$A$4:$K$1093,11,1),VLOOKUP(A56,合同台帐!$A$4:$K$1093,11,1)),0)</f>
        <v>120000</v>
      </c>
      <c r="I56" s="107"/>
      <c r="J56" s="117"/>
      <c r="K56" s="122"/>
    </row>
    <row r="57" spans="1:11" s="52" customFormat="1" ht="24" outlineLevel="3">
      <c r="A57" s="76" t="s">
        <v>263</v>
      </c>
      <c r="B57" s="77" t="str">
        <f>IF(A57&lt;&gt;0,VLOOKUP(A57,合同台帐!$A$4:$D$195,4,1),"")</f>
        <v>综合管网（给水、中水、雨水、污水配套工程设计）（施工图）</v>
      </c>
      <c r="C57" s="78"/>
      <c r="D57" s="79"/>
      <c r="E57" s="80"/>
      <c r="F57" s="81">
        <f>IF(A57&lt;&gt;0,IF(VLOOKUP(A57,合同台帐!$A$4:$G$195,7,1),IF($H$2="元",VLOOKUP(A57,合同台帐!$A$4:$G$195,7,1),VLOOKUP(A57,合同台帐!$A$4:$G$195,7,1)),IF($H$2="元",VLOOKUP(A57,合同台帐!$A$4:$F$195,6,1),VLOOKUP(A57,合同台帐!$A$4:$F$195,6,1))),0)</f>
        <v>347800</v>
      </c>
      <c r="G57" s="82">
        <f>F57/K$2</f>
        <v>2.9889169447184427</v>
      </c>
      <c r="H57" s="80">
        <f ca="1">IF(A57&lt;&gt;0,IF($H$2="元",VLOOKUP(A57,合同台帐!$A$4:$K$1093,11,1),VLOOKUP(A57,合同台帐!$A$4:$K$1093,11,1)),0)</f>
        <v>137300</v>
      </c>
      <c r="I57" s="107"/>
      <c r="J57" s="117"/>
      <c r="K57" s="122"/>
    </row>
    <row r="58" spans="1:11" ht="12.75" outlineLevel="3">
      <c r="A58" s="99"/>
      <c r="B58" s="100"/>
      <c r="C58" s="101"/>
      <c r="D58" s="86"/>
      <c r="E58" s="87"/>
      <c r="F58" s="88"/>
      <c r="G58" s="89"/>
      <c r="H58" s="80">
        <f>IF(A58&lt;&gt;0,IF($H$2="元",VLOOKUP(A58,合同台帐!$A$4:$K$1093,11,1),VLOOKUP(A58,合同台帐!$A$4:$K$1093,11,1)),0)</f>
        <v>0</v>
      </c>
      <c r="I58" s="120"/>
      <c r="J58" s="119"/>
      <c r="K58" s="114"/>
    </row>
    <row r="59" spans="1:11" ht="32.25" customHeight="1" outlineLevel="2">
      <c r="A59" s="99"/>
      <c r="B59" s="100" t="s">
        <v>1595</v>
      </c>
      <c r="C59" s="101"/>
      <c r="D59" s="86">
        <f>E59/K$2*10000</f>
        <v>6.6478909744848931</v>
      </c>
      <c r="E59" s="87">
        <v>77.356999999999999</v>
      </c>
      <c r="F59" s="88">
        <f>SUM(F60:F63)</f>
        <v>899680</v>
      </c>
      <c r="G59" s="88">
        <f t="shared" ref="G59:H59" si="26">SUM(G60:G63)</f>
        <v>7.7316526648196913</v>
      </c>
      <c r="H59" s="88">
        <f t="shared" ca="1" si="26"/>
        <v>473650</v>
      </c>
      <c r="I59" s="107"/>
      <c r="J59" s="119"/>
      <c r="K59" s="114"/>
    </row>
    <row r="60" spans="1:11" s="52" customFormat="1" ht="12.75" outlineLevel="3">
      <c r="A60" s="76" t="s">
        <v>159</v>
      </c>
      <c r="B60" s="77" t="str">
        <f>IF(A60&lt;&gt;0,VLOOKUP(A60,合同台帐!$A$4:$D$195,4,1),"")</f>
        <v>地库及人防设计合同</v>
      </c>
      <c r="C60" s="78"/>
      <c r="D60" s="79"/>
      <c r="E60" s="80"/>
      <c r="F60" s="81">
        <f>IF(A60&lt;&gt;0,IF(VLOOKUP(A60,合同台帐!$A$4:$G$195,7,1),IF($H$2="元",VLOOKUP(A60,合同台帐!$A$4:$G$195,7,1),VLOOKUP(A60,合同台帐!$A$4:$G$195,7,1)),IF($H$2="元",VLOOKUP(A60,合同台帐!$A$4:$F$195,6,1),VLOOKUP(A60,合同台帐!$A$4:$F$195,6,1))),0)</f>
        <v>449680</v>
      </c>
      <c r="G60" s="82">
        <f>F60/K$2</f>
        <v>3.8644513274899062</v>
      </c>
      <c r="H60" s="80">
        <f ca="1">IF(A60&lt;&gt;0,IF($H$2="元",VLOOKUP(A60,合同台帐!$A$4:$K$1093,11,1),VLOOKUP(A60,合同台帐!$A$4:$K$1093,11,1)),0)</f>
        <v>338650</v>
      </c>
      <c r="I60" s="107"/>
      <c r="J60" s="117"/>
      <c r="K60" s="122"/>
    </row>
    <row r="61" spans="1:11" s="52" customFormat="1" ht="12.75" outlineLevel="3">
      <c r="A61" s="76" t="s">
        <v>257</v>
      </c>
      <c r="B61" s="77" t="str">
        <f>IF(A61&lt;&gt;0,VLOOKUP(A61,合同台帐!$A$4:$D$195,4,1),"")</f>
        <v>区内外挡土墙及边坡支护设计合同</v>
      </c>
      <c r="C61" s="78"/>
      <c r="D61" s="79"/>
      <c r="E61" s="80"/>
      <c r="F61" s="81">
        <f>IF(A61&lt;&gt;0,IF(VLOOKUP(A61,合同台帐!$A$4:$G$195,7,1),IF($H$2="元",VLOOKUP(A61,合同台帐!$A$4:$G$195,7,1),VLOOKUP(A61,合同台帐!$A$4:$G$195,7,1)),IF($H$2="元",VLOOKUP(A61,合同台帐!$A$4:$F$195,6,1),VLOOKUP(A61,合同台帐!$A$4:$F$195,6,1))),0)</f>
        <v>450000</v>
      </c>
      <c r="G61" s="82">
        <f>F61/K$2</f>
        <v>3.8672013373297851</v>
      </c>
      <c r="H61" s="80">
        <f ca="1">IF(A61&lt;&gt;0,IF($H$2="元",VLOOKUP(A61,合同台帐!$A$4:$K$1093,11,1),VLOOKUP(A61,合同台帐!$A$4:$K$1093,11,1)),0)</f>
        <v>135000</v>
      </c>
      <c r="I61" s="107"/>
      <c r="J61" s="117"/>
      <c r="K61" s="122"/>
    </row>
    <row r="62" spans="1:11" s="52" customFormat="1" ht="12.75" outlineLevel="3">
      <c r="A62" s="76" t="s">
        <v>679</v>
      </c>
      <c r="B62" s="77" t="str">
        <f>IF(A62&lt;&gt;0,VLOOKUP(A62,合同台帐!$A$4:$D$195,4,1),"")</f>
        <v>智能化设计合同</v>
      </c>
      <c r="C62" s="78"/>
      <c r="D62" s="79"/>
      <c r="E62" s="80"/>
      <c r="F62" s="81">
        <f>IF(A62&lt;&gt;0,IF(VLOOKUP(A62,合同台帐!$A$4:$G$195,7,1),IF($H$2="元",VLOOKUP(A62,合同台帐!$A$4:$G$195,7,1),VLOOKUP(A62,合同台帐!$A$4:$G$195,7,1)),IF($H$2="元",VLOOKUP(A62,合同台帐!$A$4:$F$195,6,1),VLOOKUP(A62,合同台帐!$A$4:$F$195,6,1))),0)</f>
        <v>0</v>
      </c>
      <c r="G62" s="82">
        <f>F62/K$2</f>
        <v>0</v>
      </c>
      <c r="H62" s="80">
        <f ca="1">IF(A62&lt;&gt;0,IF($H$2="元",VLOOKUP(A62,合同台帐!$A$4:$K$1093,11,1),VLOOKUP(A62,合同台帐!$A$4:$K$1093,11,1)),0)</f>
        <v>0</v>
      </c>
      <c r="I62" s="107"/>
      <c r="J62" s="117"/>
      <c r="K62" s="122"/>
    </row>
    <row r="63" spans="1:11" ht="12.75" outlineLevel="3">
      <c r="A63" s="83"/>
      <c r="B63" s="84"/>
      <c r="C63" s="85"/>
      <c r="D63" s="86"/>
      <c r="E63" s="87"/>
      <c r="F63" s="88"/>
      <c r="G63" s="89"/>
      <c r="H63" s="80">
        <f>IF(A63&lt;&gt;0,IF($H$2="元",VLOOKUP(A63,合同台帐!$A$4:$K$1093,11,1),VLOOKUP(A63,合同台帐!$A$4:$K$1093,11,1)),0)</f>
        <v>0</v>
      </c>
      <c r="I63" s="107"/>
      <c r="J63" s="119"/>
      <c r="K63" s="114"/>
    </row>
    <row r="64" spans="1:11" ht="12.75" outlineLevel="2">
      <c r="A64" s="99"/>
      <c r="B64" s="100" t="s">
        <v>1596</v>
      </c>
      <c r="C64" s="101"/>
      <c r="D64" s="86">
        <f>E64/K$2*10000</f>
        <v>1.9534351146350195</v>
      </c>
      <c r="E64" s="87">
        <v>22.730799999999999</v>
      </c>
      <c r="F64" s="88">
        <f>SUM(F65:F69)</f>
        <v>203589</v>
      </c>
      <c r="G64" s="88">
        <f t="shared" ref="G64:H64" si="27">SUM(G65:G69)</f>
        <v>1.7495992290347413</v>
      </c>
      <c r="H64" s="88">
        <f t="shared" ca="1" si="27"/>
        <v>203589</v>
      </c>
      <c r="I64" s="88">
        <f t="shared" ref="I64:J64" si="28">SUM(I65:I69)</f>
        <v>0</v>
      </c>
      <c r="J64" s="88">
        <f t="shared" si="28"/>
        <v>0</v>
      </c>
      <c r="K64" s="114"/>
    </row>
    <row r="65" spans="1:11" s="52" customFormat="1" ht="12.75" outlineLevel="3">
      <c r="A65" s="103" t="s">
        <v>191</v>
      </c>
      <c r="B65" s="77" t="str">
        <f>IF(A65&lt;&gt;0,VLOOKUP(A65,合同台帐!$A$4:$D$195,4,1),"")</f>
        <v>博御园施工图审查（一期）</v>
      </c>
      <c r="C65" s="78"/>
      <c r="D65" s="79"/>
      <c r="E65" s="80"/>
      <c r="F65" s="81">
        <f>IF(A65&lt;&gt;0,IF(VLOOKUP(A65,合同台帐!$A$4:$G$195,7,1),IF($H$2="元",VLOOKUP(A65,合同台帐!$A$4:$G$195,7,1),VLOOKUP(A65,合同台帐!$A$4:$G$195,7,1)),IF($H$2="元",VLOOKUP(A65,合同台帐!$A$4:$F$195,6,1),VLOOKUP(A65,合同台帐!$A$4:$F$195,6,1))),0)</f>
        <v>65619</v>
      </c>
      <c r="G65" s="82">
        <f t="shared" ref="G65" si="29">F65/K$2</f>
        <v>0.56391529900942927</v>
      </c>
      <c r="H65" s="80">
        <f ca="1">IF(A65&lt;&gt;0,IF($H$2="元",VLOOKUP(A65,合同台帐!$A$4:$K$1093,11,1),VLOOKUP(A65,合同台帐!$A$4:$K$1093,11,1)),0)</f>
        <v>65619</v>
      </c>
      <c r="I65" s="107"/>
      <c r="J65" s="117"/>
      <c r="K65" s="122"/>
    </row>
    <row r="66" spans="1:11" s="52" customFormat="1" ht="12.75" outlineLevel="3">
      <c r="A66" s="103" t="s">
        <v>268</v>
      </c>
      <c r="B66" s="77" t="str">
        <f>IF(A66&lt;&gt;0,VLOOKUP(A66,合同台帐!$A$4:$D$195,4,1),"")</f>
        <v>一期施工图审查变更补充协议</v>
      </c>
      <c r="C66" s="78"/>
      <c r="D66" s="79"/>
      <c r="E66" s="80"/>
      <c r="F66" s="81">
        <f>IF(A66&lt;&gt;0,IF(VLOOKUP(A66,合同台帐!$A$4:$G$195,7,1),IF($H$2="元",VLOOKUP(A66,合同台帐!$A$4:$G$195,7,1),VLOOKUP(A66,合同台帐!$A$4:$G$195,7,1)),IF($H$2="元",VLOOKUP(A66,合同台帐!$A$4:$F$195,6,1),VLOOKUP(A66,合同台帐!$A$4:$F$195,6,1))),0)</f>
        <v>9381</v>
      </c>
      <c r="G66" s="82">
        <f t="shared" ref="G66" si="30">F66/K$2</f>
        <v>8.0618257212201588E-2</v>
      </c>
      <c r="H66" s="80">
        <f ca="1">IF(A66&lt;&gt;0,IF($H$2="元",VLOOKUP(A66,合同台帐!$A$4:$K$1093,11,1),VLOOKUP(A66,合同台帐!$A$4:$K$1093,11,1)),0)</f>
        <v>9381</v>
      </c>
      <c r="I66" s="107"/>
      <c r="J66" s="117"/>
      <c r="K66" s="122"/>
    </row>
    <row r="67" spans="1:11" s="52" customFormat="1" ht="12.75" outlineLevel="3">
      <c r="A67" s="103" t="s">
        <v>297</v>
      </c>
      <c r="B67" s="77" t="str">
        <f>IF(A67&lt;&gt;0,VLOOKUP(A67,合同台帐!$A$4:$D$195,4,1),"")</f>
        <v>一期施工图审查（中部地下室变更）</v>
      </c>
      <c r="C67" s="78"/>
      <c r="D67" s="79"/>
      <c r="E67" s="80"/>
      <c r="F67" s="81">
        <f>IF(A67&lt;&gt;0,IF(VLOOKUP(A67,合同台帐!$A$4:$G$195,7,1),IF($H$2="元",VLOOKUP(A67,合同台帐!$A$4:$G$195,7,1),VLOOKUP(A67,合同台帐!$A$4:$G$195,7,1)),IF($H$2="元",VLOOKUP(A67,合同台帐!$A$4:$F$195,6,1),VLOOKUP(A67,合同台帐!$A$4:$F$195,6,1))),0)</f>
        <v>2100</v>
      </c>
      <c r="G67" s="82">
        <f t="shared" ref="G67" si="31">F67/K$2</f>
        <v>1.8046939574205664E-2</v>
      </c>
      <c r="H67" s="80">
        <f ca="1">IF(A67&lt;&gt;0,IF($H$2="元",VLOOKUP(A67,合同台帐!$A$4:$K$1093,11,1),VLOOKUP(A67,合同台帐!$A$4:$K$1093,11,1)),0)</f>
        <v>2100</v>
      </c>
      <c r="I67" s="107"/>
      <c r="J67" s="117"/>
      <c r="K67" s="122"/>
    </row>
    <row r="68" spans="1:11" s="52" customFormat="1" ht="12.75" outlineLevel="3">
      <c r="A68" s="103" t="s">
        <v>319</v>
      </c>
      <c r="B68" s="77" t="str">
        <f>IF(A68&lt;&gt;0,VLOOKUP(A68,合同台帐!$A$4:$D$195,4,1),"")</f>
        <v>一期施工图审查（1.2.3.23#变更）</v>
      </c>
      <c r="C68" s="78"/>
      <c r="D68" s="79"/>
      <c r="E68" s="80"/>
      <c r="F68" s="81">
        <f>IF(A68&lt;&gt;0,IF(VLOOKUP(A68,合同台帐!$A$4:$G$195,7,1),IF($H$2="元",VLOOKUP(A68,合同台帐!$A$4:$G$195,7,1),VLOOKUP(A68,合同台帐!$A$4:$G$195,7,1)),IF($H$2="元",VLOOKUP(A68,合同台帐!$A$4:$F$195,6,1),VLOOKUP(A68,合同台帐!$A$4:$F$195,6,1))),0)</f>
        <v>2326</v>
      </c>
      <c r="G68" s="82">
        <f t="shared" ref="G68" si="32">F68/K$2</f>
        <v>1.9989134023620177E-2</v>
      </c>
      <c r="H68" s="80">
        <f ca="1">IF(A68&lt;&gt;0,IF($H$2="元",VLOOKUP(A68,合同台帐!$A$4:$K$1093,11,1),VLOOKUP(A68,合同台帐!$A$4:$K$1093,11,1)),0)</f>
        <v>2326</v>
      </c>
      <c r="I68" s="107"/>
      <c r="J68" s="117"/>
      <c r="K68" s="122"/>
    </row>
    <row r="69" spans="1:11" s="52" customFormat="1" ht="12.75" outlineLevel="3">
      <c r="A69" s="103" t="s">
        <v>281</v>
      </c>
      <c r="B69" s="77" t="str">
        <f>IF(A69&lt;&gt;0,VLOOKUP(A69,合同台帐!$A$4:$D$195,4,1),"")</f>
        <v>二、三期图审合同</v>
      </c>
      <c r="C69" s="78"/>
      <c r="D69" s="79"/>
      <c r="E69" s="80"/>
      <c r="F69" s="81">
        <f>IF(A69&lt;&gt;0,IF(VLOOKUP(A69,合同台帐!$A$4:$G$195,7,1),IF($H$2="元",VLOOKUP(A69,合同台帐!$A$4:$G$195,7,1),VLOOKUP(A69,合同台帐!$A$4:$G$195,7,1)),IF($H$2="元",VLOOKUP(A69,合同台帐!$A$4:$F$195,6,1),VLOOKUP(A69,合同台帐!$A$4:$F$195,6,1))),0)</f>
        <v>124163</v>
      </c>
      <c r="G69" s="82">
        <f t="shared" ref="G69" si="33">F69/K$2</f>
        <v>1.0670295992152847</v>
      </c>
      <c r="H69" s="80">
        <f ca="1">IF(A69&lt;&gt;0,IF($H$2="元",VLOOKUP(A69,合同台帐!$A$4:$K$1093,11,1),VLOOKUP(A69,合同台帐!$A$4:$K$1093,11,1)),0)</f>
        <v>124163</v>
      </c>
      <c r="I69" s="107"/>
      <c r="J69" s="117"/>
      <c r="K69" s="122"/>
    </row>
    <row r="70" spans="1:11" ht="12.75" outlineLevel="2">
      <c r="A70" s="99"/>
      <c r="B70" s="100" t="s">
        <v>1597</v>
      </c>
      <c r="C70" s="101"/>
      <c r="D70" s="86">
        <f>E70/K$2*10000</f>
        <v>0</v>
      </c>
      <c r="E70" s="87">
        <v>0</v>
      </c>
      <c r="F70" s="88">
        <f>SUM(F71:F74)</f>
        <v>6075</v>
      </c>
      <c r="G70" s="88">
        <f t="shared" ref="G70:H70" si="34">SUM(G71:G74)</f>
        <v>5.2207218053952099E-2</v>
      </c>
      <c r="H70" s="88">
        <f t="shared" ca="1" si="34"/>
        <v>6075</v>
      </c>
      <c r="I70" s="88">
        <f>SUM(I72:I74)</f>
        <v>0</v>
      </c>
      <c r="J70" s="88">
        <f>SUM(J72:J74)</f>
        <v>0</v>
      </c>
      <c r="K70" s="114"/>
    </row>
    <row r="71" spans="1:11" s="52" customFormat="1" ht="12.75" outlineLevel="3">
      <c r="A71" s="103" t="s">
        <v>134</v>
      </c>
      <c r="B71" s="77" t="str">
        <f>IF(A71&lt;&gt;0,VLOOKUP(A71,合同台帐!$A$4:$D$195,4,1),"")</f>
        <v>图纸打印</v>
      </c>
      <c r="C71" s="78"/>
      <c r="D71" s="79"/>
      <c r="E71" s="80"/>
      <c r="F71" s="81">
        <f>IF(A71&lt;&gt;0,IF(VLOOKUP(A71,合同台帐!$A$4:$G$195,7,1),IF($H$2="元",VLOOKUP(A71,合同台帐!$A$4:$G$195,7,1),VLOOKUP(A71,合同台帐!$A$4:$G$195,7,1)),IF($H$2="元",VLOOKUP(A71,合同台帐!$A$4:$F$195,6,1),VLOOKUP(A71,合同台帐!$A$4:$F$195,6,1))),0)</f>
        <v>1000</v>
      </c>
      <c r="G71" s="82">
        <f>F71/K$2</f>
        <v>8.5937807496217454E-3</v>
      </c>
      <c r="H71" s="80">
        <f ca="1">IF(A71&lt;&gt;0,IF($H$2="元",VLOOKUP(A71,合同台帐!$A$4:$K$1093,11,1),VLOOKUP(A71,合同台帐!$A$4:$K$1093,11,1)),0)</f>
        <v>1000</v>
      </c>
      <c r="I71" s="107"/>
      <c r="J71" s="117"/>
      <c r="K71" s="122"/>
    </row>
    <row r="72" spans="1:11" s="52" customFormat="1" ht="12.75" outlineLevel="3">
      <c r="A72" s="103" t="s">
        <v>142</v>
      </c>
      <c r="B72" s="77" t="str">
        <f>IF(A72&lt;&gt;0,VLOOKUP(A72,合同台帐!$A$4:$D$195,4,1),"")</f>
        <v>彩色打印效果图39张</v>
      </c>
      <c r="C72" s="78"/>
      <c r="D72" s="79"/>
      <c r="E72" s="80"/>
      <c r="F72" s="81">
        <f>IF(A72&lt;&gt;0,IF(VLOOKUP(A72,合同台帐!$A$4:$G$195,7,1),IF($H$2="元",VLOOKUP(A72,合同台帐!$A$4:$G$195,7,1),VLOOKUP(A72,合同台帐!$A$4:$G$195,7,1)),IF($H$2="元",VLOOKUP(A72,合同台帐!$A$4:$F$195,6,1),VLOOKUP(A72,合同台帐!$A$4:$F$195,6,1))),0)</f>
        <v>390</v>
      </c>
      <c r="G72" s="82">
        <f>F72/K$2</f>
        <v>3.3515744923524804E-3</v>
      </c>
      <c r="H72" s="80">
        <f ca="1">IF(A72&lt;&gt;0,IF($H$2="元",VLOOKUP(A72,合同台帐!$A$4:$K$1093,11,1),VLOOKUP(A72,合同台帐!$A$4:$K$1093,11,1)),0)</f>
        <v>390</v>
      </c>
      <c r="I72" s="107"/>
      <c r="J72" s="117"/>
      <c r="K72" s="122"/>
    </row>
    <row r="73" spans="1:11" s="52" customFormat="1" ht="12.75" outlineLevel="3">
      <c r="A73" s="103" t="s">
        <v>143</v>
      </c>
      <c r="B73" s="77" t="str">
        <f>IF(A73&lt;&gt;0,VLOOKUP(A73,合同台帐!$A$4:$D$195,4,1),"")</f>
        <v>图纸打印</v>
      </c>
      <c r="C73" s="78"/>
      <c r="D73" s="79"/>
      <c r="E73" s="80"/>
      <c r="F73" s="81">
        <f>IF(A73&lt;&gt;0,IF(VLOOKUP(A73,合同台帐!$A$4:$G$195,7,1),IF($H$2="元",VLOOKUP(A73,合同台帐!$A$4:$G$195,7,1),VLOOKUP(A73,合同台帐!$A$4:$G$195,7,1)),IF($H$2="元",VLOOKUP(A73,合同台帐!$A$4:$F$195,6,1),VLOOKUP(A73,合同台帐!$A$4:$F$195,6,1))),0)</f>
        <v>1000</v>
      </c>
      <c r="G73" s="82">
        <f>F73/K$2</f>
        <v>8.5937807496217454E-3</v>
      </c>
      <c r="H73" s="80">
        <f ca="1">IF(A73&lt;&gt;0,IF($H$2="元",VLOOKUP(A73,合同台帐!$A$4:$K$1093,11,1),VLOOKUP(A73,合同台帐!$A$4:$K$1093,11,1)),0)</f>
        <v>1000</v>
      </c>
      <c r="I73" s="107"/>
      <c r="J73" s="117"/>
      <c r="K73" s="122"/>
    </row>
    <row r="74" spans="1:11" s="52" customFormat="1" ht="12.75" outlineLevel="3">
      <c r="A74" s="103" t="s">
        <v>147</v>
      </c>
      <c r="B74" s="77" t="str">
        <f>IF(A74&lt;&gt;0,VLOOKUP(A74,合同台帐!$A$4:$D$195,4,1),"")</f>
        <v>图纸打印</v>
      </c>
      <c r="C74" s="78"/>
      <c r="D74" s="79"/>
      <c r="E74" s="80"/>
      <c r="F74" s="81">
        <f>IF(A74&lt;&gt;0,IF(VLOOKUP(A74,合同台帐!$A$4:$G$195,7,1),IF($H$2="元",VLOOKUP(A74,合同台帐!$A$4:$G$195,7,1),VLOOKUP(A74,合同台帐!$A$4:$G$195,7,1)),IF($H$2="元",VLOOKUP(A74,合同台帐!$A$4:$F$195,6,1),VLOOKUP(A74,合同台帐!$A$4:$F$195,6,1))),0)</f>
        <v>3685</v>
      </c>
      <c r="G74" s="82">
        <f>F74/K$2</f>
        <v>3.1668082062356127E-2</v>
      </c>
      <c r="H74" s="80">
        <f ca="1">IF(A74&lt;&gt;0,IF($H$2="元",VLOOKUP(A74,合同台帐!$A$4:$K$1093,11,1),VLOOKUP(A74,合同台帐!$A$4:$K$1093,11,1)),0)</f>
        <v>3685</v>
      </c>
      <c r="I74" s="107"/>
      <c r="J74" s="117"/>
      <c r="K74" s="122"/>
    </row>
    <row r="75" spans="1:11" ht="18" customHeight="1" outlineLevel="1">
      <c r="A75" s="72"/>
      <c r="B75" s="73" t="s">
        <v>1598</v>
      </c>
      <c r="C75" s="74" t="s">
        <v>1599</v>
      </c>
      <c r="D75" s="92">
        <f t="shared" ref="D75:H75" si="35">D98+D84+D88+D76+D91+D103+D94</f>
        <v>73.632200965219084</v>
      </c>
      <c r="E75" s="92">
        <f t="shared" si="35"/>
        <v>856.80799999999999</v>
      </c>
      <c r="F75" s="92">
        <f t="shared" si="35"/>
        <v>8349707</v>
      </c>
      <c r="G75" s="92">
        <f t="shared" si="35"/>
        <v>12.458464109191892</v>
      </c>
      <c r="H75" s="92">
        <f t="shared" ca="1" si="35"/>
        <v>6099695</v>
      </c>
      <c r="I75" s="115">
        <f>F75-E75*10000</f>
        <v>-218373</v>
      </c>
      <c r="J75" s="116">
        <f>G75-D75</f>
        <v>-61.17373685602719</v>
      </c>
      <c r="K75" s="114"/>
    </row>
    <row r="76" spans="1:11" ht="24" outlineLevel="2">
      <c r="A76" s="99"/>
      <c r="B76" s="84" t="s">
        <v>1600</v>
      </c>
      <c r="C76" s="85"/>
      <c r="D76" s="86">
        <f>E76/K$2*10000</f>
        <v>4.366998438166287</v>
      </c>
      <c r="E76" s="87">
        <v>50.815800000000003</v>
      </c>
      <c r="F76" s="88">
        <f>SUM(F77:F83)</f>
        <v>656177</v>
      </c>
      <c r="G76" s="88">
        <f t="shared" ref="G76:H76" si="36">SUM(G77:G83)</f>
        <v>5.6390412709445483</v>
      </c>
      <c r="H76" s="88">
        <f t="shared" ca="1" si="36"/>
        <v>506177</v>
      </c>
      <c r="I76" s="107"/>
      <c r="J76" s="119"/>
      <c r="K76" s="114"/>
    </row>
    <row r="77" spans="1:11" s="52" customFormat="1" ht="12.75" outlineLevel="3">
      <c r="A77" s="103" t="s">
        <v>160</v>
      </c>
      <c r="B77" s="77" t="str">
        <f>IF(A77&lt;&gt;0,VLOOKUP(A77,合同台帐!$A$4:$D$195,4,1),"")</f>
        <v>临时电设计费</v>
      </c>
      <c r="C77" s="78"/>
      <c r="D77" s="79"/>
      <c r="E77" s="80"/>
      <c r="F77" s="81">
        <f>IF(A77&lt;&gt;0,IF(VLOOKUP(A77,合同台帐!$A$4:$G$195,7,1),IF($H$2="元",VLOOKUP(A77,合同台帐!$A$4:$G$195,7,1),VLOOKUP(A77,合同台帐!$A$4:$G$195,7,1)),IF($H$2="元",VLOOKUP(A77,合同台帐!$A$4:$F$195,6,1),VLOOKUP(A77,合同台帐!$A$4:$F$195,6,1))),0)</f>
        <v>20285</v>
      </c>
      <c r="G77" s="82">
        <f t="shared" ref="G77:G82" si="37">F77/K$2</f>
        <v>0.17432484250607708</v>
      </c>
      <c r="H77" s="80">
        <f ca="1">IF(A77&lt;&gt;0,IF($H$2="元",VLOOKUP(A77,合同台帐!$A$4:$K$1093,11,1),VLOOKUP(A77,合同台帐!$A$4:$K$1093,11,1)),0)</f>
        <v>20285</v>
      </c>
      <c r="I77" s="107"/>
      <c r="J77" s="117"/>
      <c r="K77" s="122"/>
    </row>
    <row r="78" spans="1:11" s="52" customFormat="1" ht="12.75" outlineLevel="3">
      <c r="A78" s="103" t="s">
        <v>166</v>
      </c>
      <c r="B78" s="77" t="str">
        <f>IF(A78&lt;&gt;0,VLOOKUP(A78,合同台帐!$A$4:$D$195,4,1),"")</f>
        <v>临电工程费</v>
      </c>
      <c r="C78" s="78"/>
      <c r="D78" s="79"/>
      <c r="E78" s="80"/>
      <c r="F78" s="81">
        <f>IF(A78&lt;&gt;0,IF(VLOOKUP(A78,合同台帐!$A$4:$G$195,7,1),IF($H$2="元",VLOOKUP(A78,合同台帐!$A$4:$G$195,7,1),VLOOKUP(A78,合同台帐!$A$4:$G$195,7,1)),IF($H$2="元",VLOOKUP(A78,合同台帐!$A$4:$F$195,6,1),VLOOKUP(A78,合同台帐!$A$4:$F$195,6,1))),0)</f>
        <v>430000</v>
      </c>
      <c r="G78" s="82">
        <f t="shared" si="37"/>
        <v>3.6953257223373503</v>
      </c>
      <c r="H78" s="80">
        <f ca="1">IF(A78&lt;&gt;0,IF($H$2="元",VLOOKUP(A78,合同台帐!$A$4:$K$1093,11,1),VLOOKUP(A78,合同台帐!$A$4:$K$1093,11,1)),0)</f>
        <v>430000</v>
      </c>
      <c r="I78" s="107"/>
      <c r="J78" s="117"/>
      <c r="K78" s="122"/>
    </row>
    <row r="79" spans="1:11" s="52" customFormat="1" ht="12.75" outlineLevel="3">
      <c r="A79" s="103" t="s">
        <v>170</v>
      </c>
      <c r="B79" s="77" t="str">
        <f>IF(A79&lt;&gt;0,VLOOKUP(A79,合同台帐!$A$4:$D$195,4,1),"")</f>
        <v>负荷管理装置费、外部供电工程费</v>
      </c>
      <c r="C79" s="78"/>
      <c r="D79" s="79"/>
      <c r="E79" s="80"/>
      <c r="F79" s="81">
        <f>IF(A79&lt;&gt;0,IF(VLOOKUP(A79,合同台帐!$A$4:$G$195,7,1),IF($H$2="元",VLOOKUP(A79,合同台帐!$A$4:$G$195,7,1),VLOOKUP(A79,合同台帐!$A$4:$G$195,7,1)),IF($H$2="元",VLOOKUP(A79,合同台帐!$A$4:$F$195,6,1),VLOOKUP(A79,合同台帐!$A$4:$F$195,6,1))),0)</f>
        <v>40682</v>
      </c>
      <c r="G79" s="82">
        <f t="shared" si="37"/>
        <v>0.34961218845611181</v>
      </c>
      <c r="H79" s="80">
        <f ca="1">IF(A79&lt;&gt;0,IF($H$2="元",VLOOKUP(A79,合同台帐!$A$4:$K$1093,11,1),VLOOKUP(A79,合同台帐!$A$4:$K$1093,11,1)),0)</f>
        <v>40682</v>
      </c>
      <c r="I79" s="107"/>
      <c r="J79" s="117"/>
      <c r="K79" s="122"/>
    </row>
    <row r="80" spans="1:11" s="52" customFormat="1" ht="12.75" outlineLevel="3">
      <c r="A80" s="103" t="s">
        <v>171</v>
      </c>
      <c r="B80" s="77" t="str">
        <f>IF(A80&lt;&gt;0,VLOOKUP(A80,合同台帐!$A$4:$D$195,4,1),"")</f>
        <v>公路占路费</v>
      </c>
      <c r="C80" s="78"/>
      <c r="D80" s="79"/>
      <c r="E80" s="80"/>
      <c r="F80" s="81">
        <f>IF(A80&lt;&gt;0,IF(VLOOKUP(A80,合同台帐!$A$4:$G$195,7,1),IF($H$2="元",VLOOKUP(A80,合同台帐!$A$4:$G$195,7,1),VLOOKUP(A80,合同台帐!$A$4:$G$195,7,1)),IF($H$2="元",VLOOKUP(A80,合同台帐!$A$4:$F$195,6,1),VLOOKUP(A80,合同台帐!$A$4:$F$195,6,1))),0)</f>
        <v>15210</v>
      </c>
      <c r="G80" s="82">
        <f t="shared" si="37"/>
        <v>0.13071140520174673</v>
      </c>
      <c r="H80" s="80">
        <f ca="1">IF(A80&lt;&gt;0,IF($H$2="元",VLOOKUP(A80,合同台帐!$A$4:$K$1093,11,1),VLOOKUP(A80,合同台帐!$A$4:$K$1093,11,1)),0)</f>
        <v>15210</v>
      </c>
      <c r="I80" s="107"/>
      <c r="J80" s="117"/>
      <c r="K80" s="122"/>
    </row>
    <row r="81" spans="1:11" s="52" customFormat="1" ht="12.75" outlineLevel="3">
      <c r="A81" s="103" t="s">
        <v>581</v>
      </c>
      <c r="B81" s="77" t="str">
        <f>IF(A81&lt;&gt;0,VLOOKUP(A81,合同台帐!$A$4:$D$195,4,1),"")</f>
        <v>装表临时用电高压供电合同</v>
      </c>
      <c r="C81" s="78"/>
      <c r="D81" s="79"/>
      <c r="E81" s="80"/>
      <c r="F81" s="81">
        <f>IF(A81&lt;&gt;0,IF(VLOOKUP(A81,合同台帐!$A$4:$G$195,7,1),IF($H$2="元",VLOOKUP(A81,合同台帐!$A$4:$G$195,7,1),VLOOKUP(A81,合同台帐!$A$4:$G$195,7,1)),IF($H$2="元",VLOOKUP(A81,合同台帐!$A$4:$F$195,6,1),VLOOKUP(A81,合同台帐!$A$4:$F$195,6,1))),0)</f>
        <v>0</v>
      </c>
      <c r="G81" s="82">
        <f t="shared" si="37"/>
        <v>0</v>
      </c>
      <c r="H81" s="80">
        <f ca="1">IF(A81&lt;&gt;0,IF($H$2="元",VLOOKUP(A81,合同台帐!$A$4:$K$1093,11,1),VLOOKUP(A81,合同台帐!$A$4:$K$1093,11,1)),0)</f>
        <v>0</v>
      </c>
      <c r="I81" s="107"/>
      <c r="J81" s="117"/>
      <c r="K81" s="122"/>
    </row>
    <row r="82" spans="1:11" s="52" customFormat="1" ht="12.75" outlineLevel="3">
      <c r="A82" s="105" t="s">
        <v>570</v>
      </c>
      <c r="B82" s="77" t="str">
        <f>IF(A82&lt;&gt;0,VLOOKUP(A82,合同台帐!$A$4:$D$195,4,1),"")</f>
        <v>变压器移位（一台）</v>
      </c>
      <c r="C82" s="78"/>
      <c r="D82" s="79"/>
      <c r="E82" s="80"/>
      <c r="F82" s="81">
        <f>IF(A82&lt;&gt;0,IF(VLOOKUP(A82,合同台帐!$A$4:$G$195,7,1),IF($H$2="元",VLOOKUP(A82,合同台帐!$A$4:$G$195,7,1),VLOOKUP(A82,合同台帐!$A$4:$G$195,7,1)),IF($H$2="元",VLOOKUP(A82,合同台帐!$A$4:$F$195,6,1),VLOOKUP(A82,合同台帐!$A$4:$F$195,6,1))),0)</f>
        <v>150000</v>
      </c>
      <c r="G82" s="82">
        <f t="shared" si="37"/>
        <v>1.2890671124432618</v>
      </c>
      <c r="H82" s="80">
        <f ca="1">IF(A82&lt;&gt;0,IF($H$2="元",VLOOKUP(A82,合同台帐!$A$4:$K$1093,11,1),VLOOKUP(A82,合同台帐!$A$4:$K$1093,11,1)),0)</f>
        <v>0</v>
      </c>
      <c r="I82" s="107"/>
      <c r="J82" s="117"/>
      <c r="K82" s="122"/>
    </row>
    <row r="83" spans="1:11" s="52" customFormat="1" ht="12.75" outlineLevel="3">
      <c r="A83" s="105"/>
      <c r="B83" s="77"/>
      <c r="C83" s="78"/>
      <c r="D83" s="79"/>
      <c r="E83" s="80"/>
      <c r="F83" s="81"/>
      <c r="G83" s="107"/>
      <c r="H83" s="106"/>
      <c r="I83" s="107"/>
      <c r="J83" s="117"/>
      <c r="K83" s="122"/>
    </row>
    <row r="84" spans="1:11" ht="24" outlineLevel="2">
      <c r="A84" s="99"/>
      <c r="B84" s="100" t="s">
        <v>1601</v>
      </c>
      <c r="C84" s="101"/>
      <c r="D84" s="86">
        <f>E84/K$2*10000</f>
        <v>0.51340105576315265</v>
      </c>
      <c r="E84" s="87">
        <v>5.9741</v>
      </c>
      <c r="F84" s="88">
        <f>SUM(F85:F87)</f>
        <v>59505</v>
      </c>
      <c r="G84" s="88">
        <f t="shared" ref="G84:H84" si="38">SUM(G85:G87)</f>
        <v>0.51137292350624186</v>
      </c>
      <c r="H84" s="88">
        <f t="shared" ca="1" si="38"/>
        <v>59505</v>
      </c>
      <c r="I84" s="107"/>
      <c r="J84" s="119"/>
      <c r="K84" s="114"/>
    </row>
    <row r="85" spans="1:11" s="52" customFormat="1" ht="12.75" outlineLevel="3">
      <c r="A85" s="103" t="s">
        <v>219</v>
      </c>
      <c r="B85" s="77" t="str">
        <f>IF(A85&lt;&gt;0,VLOOKUP(A85,合同台帐!$A$4:$D$195,4,1),"")</f>
        <v>临时水施工费</v>
      </c>
      <c r="C85" s="78"/>
      <c r="D85" s="79"/>
      <c r="E85" s="80"/>
      <c r="F85" s="81">
        <f>IF(A85&lt;&gt;0,IF(VLOOKUP(A85,合同台帐!$A$4:$G$195,7,1),IF($H$2="元",VLOOKUP(A85,合同台帐!$A$4:$G$195,7,1),VLOOKUP(A85,合同台帐!$A$4:$G$195,7,1)),IF($H$2="元",VLOOKUP(A85,合同台帐!$A$4:$F$195,6,1),VLOOKUP(A85,合同台帐!$A$4:$F$195,6,1))),0)</f>
        <v>50000</v>
      </c>
      <c r="G85" s="82">
        <f t="shared" ref="G85" si="39">F85/K$2</f>
        <v>0.42968903748108722</v>
      </c>
      <c r="H85" s="80">
        <f ca="1">IF(A85&lt;&gt;0,IF($H$2="元",VLOOKUP(A85,合同台帐!$A$4:$K$1093,11,1),VLOOKUP(A85,合同台帐!$A$4:$K$1093,11,1)),0)</f>
        <v>50000</v>
      </c>
      <c r="I85" s="107"/>
      <c r="J85" s="117"/>
      <c r="K85" s="122"/>
    </row>
    <row r="86" spans="1:11" s="52" customFormat="1" ht="12.75" outlineLevel="3">
      <c r="A86" s="103" t="s">
        <v>224</v>
      </c>
      <c r="B86" s="77" t="str">
        <f>IF(A86&lt;&gt;0,VLOOKUP(A86,合同台帐!$A$4:$D$195,4,1),"")</f>
        <v>临水施工占路及修复费</v>
      </c>
      <c r="C86" s="78"/>
      <c r="D86" s="79"/>
      <c r="E86" s="80"/>
      <c r="F86" s="81">
        <f>IF(A86&lt;&gt;0,IF(VLOOKUP(A86,合同台帐!$A$4:$G$195,7,1),IF($H$2="元",VLOOKUP(A86,合同台帐!$A$4:$G$195,7,1),VLOOKUP(A86,合同台帐!$A$4:$G$195,7,1)),IF($H$2="元",VLOOKUP(A86,合同台帐!$A$4:$F$195,6,1),VLOOKUP(A86,合同台帐!$A$4:$F$195,6,1))),0)</f>
        <v>9505</v>
      </c>
      <c r="G86" s="82">
        <f t="shared" ref="G86" si="40">F86/K$2</f>
        <v>8.1683886025154681E-2</v>
      </c>
      <c r="H86" s="80">
        <f ca="1">IF(A86&lt;&gt;0,IF($H$2="元",VLOOKUP(A86,合同台帐!$A$4:$K$1093,11,1),VLOOKUP(A86,合同台帐!$A$4:$K$1093,11,1)),0)</f>
        <v>9505</v>
      </c>
      <c r="I86" s="107"/>
      <c r="J86" s="117"/>
      <c r="K86" s="122"/>
    </row>
    <row r="87" spans="1:11" s="51" customFormat="1" ht="12.75" outlineLevel="3">
      <c r="A87" s="83"/>
      <c r="B87" s="84"/>
      <c r="C87" s="85"/>
      <c r="D87" s="86"/>
      <c r="E87" s="87"/>
      <c r="F87" s="88"/>
      <c r="G87" s="89"/>
      <c r="H87" s="80">
        <f>IF(A87&lt;&gt;0,IF($H$2="元",VLOOKUP(A87,合同台帐!$A$4:$K$1093,11,1),VLOOKUP(A87,合同台帐!$A$4:$K$1093,11,1)),0)</f>
        <v>0</v>
      </c>
      <c r="I87" s="107"/>
      <c r="J87" s="119"/>
      <c r="K87" s="114"/>
    </row>
    <row r="88" spans="1:11" ht="12.75" outlineLevel="2">
      <c r="A88" s="99"/>
      <c r="B88" s="84" t="s">
        <v>1602</v>
      </c>
      <c r="C88" s="85"/>
      <c r="D88" s="86">
        <f>E88/K$2*10000</f>
        <v>0</v>
      </c>
      <c r="E88" s="87">
        <v>0</v>
      </c>
      <c r="F88" s="88">
        <f>SUM(F89:F90)</f>
        <v>0</v>
      </c>
      <c r="G88" s="88">
        <f t="shared" ref="G88:J88" si="41">SUM(G89:G90)</f>
        <v>0</v>
      </c>
      <c r="H88" s="88">
        <f t="shared" si="41"/>
        <v>0</v>
      </c>
      <c r="I88" s="88">
        <f t="shared" si="41"/>
        <v>0</v>
      </c>
      <c r="J88" s="88">
        <f t="shared" si="41"/>
        <v>0</v>
      </c>
      <c r="K88" s="114"/>
    </row>
    <row r="89" spans="1:11" ht="12.75" outlineLevel="3">
      <c r="A89" s="99"/>
      <c r="B89" s="100"/>
      <c r="C89" s="85"/>
      <c r="D89" s="86"/>
      <c r="E89" s="87"/>
      <c r="F89" s="88"/>
      <c r="G89" s="89"/>
      <c r="H89" s="80">
        <f>IF(A89&lt;&gt;0,IF($H$2="元",VLOOKUP(A89,合同台帐!$A$4:$K$1093,11,1),VLOOKUP(A89,合同台帐!$A$4:$K$1093,11,1)),0)</f>
        <v>0</v>
      </c>
      <c r="I89" s="107"/>
      <c r="J89" s="119"/>
      <c r="K89" s="114"/>
    </row>
    <row r="90" spans="1:11" ht="12.75" outlineLevel="3">
      <c r="A90" s="99"/>
      <c r="B90" s="100"/>
      <c r="C90" s="85"/>
      <c r="D90" s="86"/>
      <c r="E90" s="87"/>
      <c r="F90" s="88"/>
      <c r="G90" s="89"/>
      <c r="H90" s="80">
        <f>IF(A90&lt;&gt;0,IF($H$2="元",VLOOKUP(A90,合同台帐!$A$4:$K$1093,11,1),VLOOKUP(A90,合同台帐!$A$4:$K$1093,11,1)),0)</f>
        <v>0</v>
      </c>
      <c r="I90" s="107"/>
      <c r="J90" s="119"/>
      <c r="K90" s="114"/>
    </row>
    <row r="91" spans="1:11" ht="12.75" outlineLevel="2">
      <c r="A91" s="99"/>
      <c r="B91" s="84" t="s">
        <v>1603</v>
      </c>
      <c r="C91" s="85"/>
      <c r="D91" s="86">
        <f>E91/K$2*10000</f>
        <v>60.046000789596583</v>
      </c>
      <c r="E91" s="87">
        <v>698.71460000000002</v>
      </c>
      <c r="F91" s="88">
        <f>SUM(F92:F93)</f>
        <v>6750000</v>
      </c>
      <c r="G91" s="88">
        <f t="shared" ref="G91:H91" si="42">SUM(G92:G93)</f>
        <v>0</v>
      </c>
      <c r="H91" s="88">
        <f t="shared" ca="1" si="42"/>
        <v>4649988</v>
      </c>
      <c r="I91" s="107"/>
      <c r="J91" s="119"/>
      <c r="K91" s="114"/>
    </row>
    <row r="92" spans="1:11" s="52" customFormat="1" ht="12.75" outlineLevel="3">
      <c r="A92" s="76" t="s">
        <v>136</v>
      </c>
      <c r="B92" s="77" t="str">
        <f>IF(A92&lt;&gt;0,VLOOKUP(A92,合同台帐!$A$4:$D$893,4,1),"")</f>
        <v>场地平整</v>
      </c>
      <c r="C92" s="78"/>
      <c r="D92" s="79"/>
      <c r="E92" s="80"/>
      <c r="F92" s="81">
        <f>IF(A92&lt;&gt;0,VLOOKUP(A92,合同台帐!$A$4:$J$893,6,1),"")</f>
        <v>6750000</v>
      </c>
      <c r="G92" s="82"/>
      <c r="H92" s="80">
        <f ca="1">IF(A92&lt;&gt;0,IF($H$2="元",VLOOKUP(A92,合同台帐!$A$4:$K$1093,11,1),VLOOKUP(A92,合同台帐!$A$4:$K$1093,11,1)),0)</f>
        <v>4649988</v>
      </c>
      <c r="I92" s="81"/>
      <c r="J92" s="117"/>
      <c r="K92" s="122"/>
    </row>
    <row r="93" spans="1:11" s="51" customFormat="1" ht="12.75" outlineLevel="3">
      <c r="A93" s="83"/>
      <c r="B93" s="84"/>
      <c r="C93" s="85"/>
      <c r="D93" s="86"/>
      <c r="E93" s="87"/>
      <c r="F93" s="88"/>
      <c r="G93" s="89"/>
      <c r="H93" s="80">
        <f>IF(A93&lt;&gt;0,IF($H$2="元",VLOOKUP(A93,合同台帐!$A$4:$K$1093,11,1),VLOOKUP(A93,合同台帐!$A$4:$K$1093,11,1)),0)</f>
        <v>0</v>
      </c>
      <c r="I93" s="120"/>
      <c r="J93" s="119"/>
      <c r="K93" s="114"/>
    </row>
    <row r="94" spans="1:11" ht="12.75" outlineLevel="2">
      <c r="A94" s="99"/>
      <c r="B94" s="84" t="s">
        <v>1604</v>
      </c>
      <c r="C94" s="85"/>
      <c r="D94" s="86">
        <f>E94/K$2*10000</f>
        <v>4.0000010312536896</v>
      </c>
      <c r="E94" s="87">
        <v>46.545299999999997</v>
      </c>
      <c r="F94" s="88">
        <f>SUM(F95:F97)</f>
        <v>338000</v>
      </c>
      <c r="G94" s="88">
        <f t="shared" ref="G94:H94" si="43">SUM(G95:G97)</f>
        <v>2.9046978933721497</v>
      </c>
      <c r="H94" s="88">
        <f t="shared" ca="1" si="43"/>
        <v>338000</v>
      </c>
      <c r="I94" s="88">
        <f t="shared" ref="I94:J94" si="44">SUM(I95:I97)</f>
        <v>0</v>
      </c>
      <c r="J94" s="88">
        <f t="shared" si="44"/>
        <v>0</v>
      </c>
      <c r="K94" s="114"/>
    </row>
    <row r="95" spans="1:11" s="52" customFormat="1" ht="12.75" outlineLevel="3">
      <c r="A95" s="76" t="s">
        <v>315</v>
      </c>
      <c r="B95" s="77" t="str">
        <f>IF(A95&lt;&gt;0,VLOOKUP(A95,合同台帐!$A$4:$D$893,4,1),"")</f>
        <v>博御园临时围墙工程</v>
      </c>
      <c r="C95" s="78"/>
      <c r="D95" s="79"/>
      <c r="E95" s="80"/>
      <c r="F95" s="81">
        <f>IF(A95&lt;&gt;0,VLOOKUP(A95,合同台帐!$A$4:$J$893,6,1),"")</f>
        <v>200000</v>
      </c>
      <c r="G95" s="82">
        <f>F95/K2</f>
        <v>1.7187561499243489</v>
      </c>
      <c r="H95" s="80">
        <f ca="1">IF(A95&lt;&gt;0,IF($H$2="元",VLOOKUP(A95,合同台帐!$A$4:$K$1093,11,1),VLOOKUP(A95,合同台帐!$A$4:$K$1093,11,1)),0)</f>
        <v>200000</v>
      </c>
      <c r="I95" s="81"/>
      <c r="J95" s="117"/>
      <c r="K95" s="122"/>
    </row>
    <row r="96" spans="1:11" s="52" customFormat="1" ht="12.75" outlineLevel="3">
      <c r="A96" s="76" t="s">
        <v>174</v>
      </c>
      <c r="B96" s="77" t="str">
        <f>IF(A96&lt;&gt;0,VLOOKUP(A96,合同台帐!$A$4:$D$893,4,1),"")</f>
        <v>彩钢临时围挡</v>
      </c>
      <c r="C96" s="78"/>
      <c r="D96" s="79"/>
      <c r="E96" s="80"/>
      <c r="F96" s="81">
        <f>IF(A96&lt;&gt;0,VLOOKUP(A96,合同台帐!$A$4:$J$893,6,1),"")</f>
        <v>138000</v>
      </c>
      <c r="G96" s="82">
        <f>F96/K2</f>
        <v>1.1859417434478008</v>
      </c>
      <c r="H96" s="80">
        <f ca="1">IF(A96&lt;&gt;0,IF($H$2="元",VLOOKUP(A96,合同台帐!$A$4:$K$1093,11,1),VLOOKUP(A96,合同台帐!$A$4:$K$1093,11,1)),0)</f>
        <v>138000</v>
      </c>
      <c r="I96" s="107"/>
      <c r="J96" s="117"/>
      <c r="K96" s="122"/>
    </row>
    <row r="97" spans="1:11" s="52" customFormat="1" ht="12.75" outlineLevel="3">
      <c r="A97" s="108"/>
      <c r="B97" s="77"/>
      <c r="C97" s="78"/>
      <c r="D97" s="79"/>
      <c r="E97" s="80"/>
      <c r="F97" s="81"/>
      <c r="G97" s="82"/>
      <c r="H97" s="124"/>
      <c r="I97" s="107"/>
      <c r="J97" s="117"/>
      <c r="K97" s="122"/>
    </row>
    <row r="98" spans="1:11" ht="12.75" outlineLevel="2">
      <c r="A98" s="99"/>
      <c r="B98" s="100" t="s">
        <v>1605</v>
      </c>
      <c r="C98" s="101"/>
      <c r="D98" s="86">
        <f>E98/K$2*10000</f>
        <v>3.4166981628731139</v>
      </c>
      <c r="E98" s="87">
        <v>39.757800000000003</v>
      </c>
      <c r="F98" s="88">
        <f>SUM(F99:F102)</f>
        <v>396025</v>
      </c>
      <c r="G98" s="88">
        <f t="shared" ref="G98:H98" si="45">SUM(G99:G102)</f>
        <v>3.4033520213689514</v>
      </c>
      <c r="H98" s="88">
        <f t="shared" ca="1" si="45"/>
        <v>396025</v>
      </c>
      <c r="I98" s="107"/>
      <c r="J98" s="119"/>
      <c r="K98" s="114"/>
    </row>
    <row r="99" spans="1:11" s="52" customFormat="1" ht="12.75" outlineLevel="3">
      <c r="A99" s="103" t="s">
        <v>469</v>
      </c>
      <c r="B99" s="77" t="str">
        <f>IF(A99&lt;&gt;0,VLOOKUP(A99,合同台帐!$A$4:$D$195,4,1),"")</f>
        <v>南侧道路开口</v>
      </c>
      <c r="C99" s="78"/>
      <c r="D99" s="79"/>
      <c r="E99" s="80"/>
      <c r="F99" s="81">
        <f>IF(A99&lt;&gt;0,IF(VLOOKUP(A99,合同台帐!$A$4:$G$195,7,1),IF($H$2="元",VLOOKUP(A99,合同台帐!$A$4:$G$195,7,1),VLOOKUP(A99,合同台帐!$A$4:$G$195,7,1)),IF($H$2="元",VLOOKUP(A99,合同台帐!$A$4:$F$195,6,1),VLOOKUP(A99,合同台帐!$A$4:$F$195,6,1))),0)</f>
        <v>131400</v>
      </c>
      <c r="G99" s="82">
        <f>F99/K$2</f>
        <v>1.1292227905002972</v>
      </c>
      <c r="H99" s="80">
        <f ca="1">IF(A99&lt;&gt;0,IF($H$2="元",VLOOKUP(A99,合同台帐!$A$4:$K$1093,11,1),VLOOKUP(A99,合同台帐!$A$4:$K$1093,11,1)),0)</f>
        <v>131400</v>
      </c>
      <c r="I99" s="107"/>
      <c r="J99" s="117"/>
      <c r="K99" s="122"/>
    </row>
    <row r="100" spans="1:11" s="52" customFormat="1" ht="12.75" outlineLevel="3">
      <c r="A100" s="103" t="s">
        <v>473</v>
      </c>
      <c r="B100" s="77" t="str">
        <f>IF(A100&lt;&gt;0,VLOOKUP(A100,合同台帐!$A$4:$D$195,4,1),"")</f>
        <v>西侧道路开口</v>
      </c>
      <c r="C100" s="78"/>
      <c r="D100" s="79"/>
      <c r="E100" s="80"/>
      <c r="F100" s="81">
        <f>IF(A100&lt;&gt;0,IF(VLOOKUP(A100,合同台帐!$A$4:$G$195,7,1),IF($H$2="元",VLOOKUP(A100,合同台帐!$A$4:$G$195,7,1),VLOOKUP(A100,合同台帐!$A$4:$G$195,7,1)),IF($H$2="元",VLOOKUP(A100,合同台帐!$A$4:$F$195,6,1),VLOOKUP(A100,合同台帐!$A$4:$F$195,6,1))),0)</f>
        <v>264625</v>
      </c>
      <c r="G100" s="82">
        <f>F100/K$2</f>
        <v>2.2741292308686543</v>
      </c>
      <c r="H100" s="80">
        <f ca="1">IF(A100&lt;&gt;0,IF($H$2="元",VLOOKUP(A100,合同台帐!$A$4:$K$1093,11,1),VLOOKUP(A100,合同台帐!$A$4:$K$1093,11,1)),0)</f>
        <v>264625</v>
      </c>
      <c r="I100" s="107"/>
      <c r="J100" s="117"/>
      <c r="K100" s="122"/>
    </row>
    <row r="101" spans="1:11" s="51" customFormat="1" ht="15.75" customHeight="1" outlineLevel="3">
      <c r="A101" s="83"/>
      <c r="B101" s="100"/>
      <c r="C101" s="101"/>
      <c r="D101" s="86"/>
      <c r="E101" s="87"/>
      <c r="F101" s="88"/>
      <c r="G101" s="89"/>
      <c r="H101" s="80"/>
      <c r="I101" s="107"/>
      <c r="J101" s="119"/>
      <c r="K101" s="114"/>
    </row>
    <row r="102" spans="1:11" s="51" customFormat="1" ht="15.75" customHeight="1" outlineLevel="3">
      <c r="A102" s="83"/>
      <c r="B102" s="100"/>
      <c r="C102" s="101"/>
      <c r="D102" s="86"/>
      <c r="E102" s="87"/>
      <c r="F102" s="88"/>
      <c r="G102" s="89"/>
      <c r="H102" s="80">
        <f>IF(A102&lt;&gt;0,IF($H$2="元",VLOOKUP(A102,合同台帐!$A$4:$K$1093,11,1),VLOOKUP(A102,合同台帐!$A$4:$K$1093,11,1)),0)</f>
        <v>0</v>
      </c>
      <c r="I102" s="107"/>
      <c r="J102" s="119"/>
      <c r="K102" s="114"/>
    </row>
    <row r="103" spans="1:11" ht="12.75" outlineLevel="2">
      <c r="A103" s="99"/>
      <c r="B103" s="84" t="s">
        <v>1606</v>
      </c>
      <c r="C103" s="85"/>
      <c r="D103" s="86">
        <f>E103/K$2*10000</f>
        <v>1.2891014875662603</v>
      </c>
      <c r="E103" s="87">
        <v>15.000400000000001</v>
      </c>
      <c r="F103" s="88">
        <f>SUM(F104:F107)</f>
        <v>150000</v>
      </c>
      <c r="G103" s="88">
        <f t="shared" ref="G103:H103" si="46">SUM(G104:G107)</f>
        <v>0</v>
      </c>
      <c r="H103" s="88">
        <f t="shared" ca="1" si="46"/>
        <v>150000</v>
      </c>
      <c r="I103" s="88">
        <f t="shared" ref="I103:J103" si="47">SUM(I104:I107)</f>
        <v>0</v>
      </c>
      <c r="J103" s="88">
        <f t="shared" si="47"/>
        <v>0</v>
      </c>
      <c r="K103" s="114"/>
    </row>
    <row r="104" spans="1:11" s="52" customFormat="1" ht="12.75" outlineLevel="3">
      <c r="A104" s="76" t="s">
        <v>198</v>
      </c>
      <c r="B104" s="77" t="str">
        <f>IF(A104&lt;&gt;0,VLOOKUP(A104,合同台帐!$A$4:$D$893,4,1),"")</f>
        <v>柿子树补偿协议书</v>
      </c>
      <c r="C104" s="78"/>
      <c r="D104" s="79"/>
      <c r="E104" s="80"/>
      <c r="F104" s="81">
        <f>IF(A104&lt;&gt;0,VLOOKUP(A104,合同台帐!$A$4:$J$893,6,1),"")</f>
        <v>30000</v>
      </c>
      <c r="G104" s="82"/>
      <c r="H104" s="80">
        <f ca="1">IF(A104&lt;&gt;0,IF($H$2="元",VLOOKUP(A104,合同台帐!$A$4:$K$1093,11,1),VLOOKUP(A104,合同台帐!$A$4:$K$1093,11,1)),0)</f>
        <v>30000</v>
      </c>
      <c r="I104" s="81"/>
      <c r="J104" s="117"/>
      <c r="K104" s="122"/>
    </row>
    <row r="105" spans="1:11" s="52" customFormat="1" ht="12.75" outlineLevel="3">
      <c r="A105" s="76" t="s">
        <v>186</v>
      </c>
      <c r="B105" s="77" t="str">
        <f>IF(A105&lt;&gt;0,VLOOKUP(A105,合同台帐!$A$4:$D$893,4,1),"")</f>
        <v>地下障碍物拆除</v>
      </c>
      <c r="C105" s="78"/>
      <c r="D105" s="79"/>
      <c r="E105" s="80"/>
      <c r="F105" s="81">
        <f>IF(A105&lt;&gt;0,VLOOKUP(A105,合同台帐!$A$4:$J$893,6,1),"")</f>
        <v>120000</v>
      </c>
      <c r="G105" s="82"/>
      <c r="H105" s="80">
        <f ca="1">IF(A105&lt;&gt;0,IF($H$2="元",VLOOKUP(A105,合同台帐!$A$4:$K$1093,11,1),VLOOKUP(A105,合同台帐!$A$4:$K$1093,11,1)),0)</f>
        <v>120000</v>
      </c>
      <c r="I105" s="81"/>
      <c r="J105" s="117"/>
      <c r="K105" s="122"/>
    </row>
    <row r="106" spans="1:11" s="51" customFormat="1" ht="12.75" outlineLevel="3">
      <c r="A106" s="83"/>
      <c r="B106" s="84"/>
      <c r="C106" s="85"/>
      <c r="D106" s="86"/>
      <c r="E106" s="87"/>
      <c r="F106" s="88"/>
      <c r="G106" s="89"/>
      <c r="H106" s="80">
        <f>IF(A106&lt;&gt;0,IF($H$2="元",VLOOKUP(A106,合同台帐!$A$4:$K$1093,11,1),VLOOKUP(A106,合同台帐!$A$4:$K$1093,11,1)),0)</f>
        <v>0</v>
      </c>
      <c r="I106" s="107"/>
      <c r="J106" s="116">
        <f t="shared" ref="J106:J107" si="48">G106-D106</f>
        <v>0</v>
      </c>
      <c r="K106" s="114"/>
    </row>
    <row r="107" spans="1:11" s="51" customFormat="1" ht="12.75" outlineLevel="3">
      <c r="A107" s="83"/>
      <c r="B107" s="84"/>
      <c r="C107" s="85"/>
      <c r="D107" s="86"/>
      <c r="E107" s="87"/>
      <c r="F107" s="88"/>
      <c r="G107" s="89"/>
      <c r="H107" s="80">
        <f>IF(A107&lt;&gt;0,IF($H$2="元",VLOOKUP(A107,合同台帐!$A$4:$K$1093,11,1),VLOOKUP(A107,合同台帐!$A$4:$K$1093,11,1)),0)</f>
        <v>0</v>
      </c>
      <c r="I107" s="107"/>
      <c r="J107" s="116">
        <f t="shared" si="48"/>
        <v>0</v>
      </c>
      <c r="K107" s="114"/>
    </row>
    <row r="108" spans="1:11" ht="12.75" outlineLevel="1">
      <c r="A108" s="72"/>
      <c r="B108" s="73" t="s">
        <v>1607</v>
      </c>
      <c r="C108" s="74" t="s">
        <v>1608</v>
      </c>
      <c r="D108" s="92">
        <f t="shared" ref="D108:H108" si="49">D109+D114+D124+D129</f>
        <v>10.503757115005929</v>
      </c>
      <c r="E108" s="92">
        <f t="shared" si="49"/>
        <v>122.2251</v>
      </c>
      <c r="F108" s="92">
        <f t="shared" si="49"/>
        <v>1156748.82</v>
      </c>
      <c r="G108" s="92" t="e">
        <f t="shared" si="49"/>
        <v>#VALUE!</v>
      </c>
      <c r="H108" s="92">
        <f t="shared" ca="1" si="49"/>
        <v>837054.52</v>
      </c>
      <c r="I108" s="92">
        <f t="shared" ref="I108:J108" si="50">I109+I114+I124+I129</f>
        <v>0</v>
      </c>
      <c r="J108" s="92">
        <f t="shared" si="50"/>
        <v>0</v>
      </c>
      <c r="K108" s="114"/>
    </row>
    <row r="109" spans="1:11" s="51" customFormat="1" ht="32.25" customHeight="1" outlineLevel="2">
      <c r="A109" s="99"/>
      <c r="B109" s="84" t="s">
        <v>1609</v>
      </c>
      <c r="C109" s="85"/>
      <c r="D109" s="86">
        <f>E109/K$2*10000</f>
        <v>2.5073988155363867</v>
      </c>
      <c r="E109" s="87">
        <v>29.1769</v>
      </c>
      <c r="F109" s="88">
        <f>SUM(F110:F113)</f>
        <v>308733</v>
      </c>
      <c r="G109" s="88">
        <f t="shared" ref="G109:H109" si="51">SUM(G110:G113)</f>
        <v>2.6531837121729698</v>
      </c>
      <c r="H109" s="88">
        <f t="shared" ca="1" si="51"/>
        <v>308733</v>
      </c>
      <c r="I109" s="107"/>
      <c r="J109" s="119"/>
      <c r="K109" s="114"/>
    </row>
    <row r="110" spans="1:11" s="52" customFormat="1" ht="18.75" customHeight="1" outlineLevel="3">
      <c r="A110" s="76" t="s">
        <v>226</v>
      </c>
      <c r="B110" s="77" t="str">
        <f>IF(A110&lt;&gt;0,VLOOKUP(A110,合同台帐!$A$4:$D$893,4,1),"")</f>
        <v>招投标代理（设计、勘察、工程、监理）</v>
      </c>
      <c r="C110" s="78"/>
      <c r="D110" s="79"/>
      <c r="E110" s="80"/>
      <c r="F110" s="81">
        <f>IF(A110&lt;&gt;0,VLOOKUP(A110,合同台帐!$A$4:$J$893,6,1),"")</f>
        <v>150733</v>
      </c>
      <c r="G110" s="82">
        <f>F110/K2</f>
        <v>1.2953663537327345</v>
      </c>
      <c r="H110" s="80">
        <f ca="1">IF(A110&lt;&gt;0,IF($H$2="元",VLOOKUP(A110,合同台帐!$A$4:$K$1093,11,1),VLOOKUP(A110,合同台帐!$A$4:$K$1093,11,1)),0)</f>
        <v>150733</v>
      </c>
      <c r="I110" s="81"/>
      <c r="J110" s="117"/>
      <c r="K110" s="122"/>
    </row>
    <row r="111" spans="1:11" s="52" customFormat="1" ht="18.75" customHeight="1" outlineLevel="3">
      <c r="A111" s="76" t="s">
        <v>245</v>
      </c>
      <c r="B111" s="77" t="str">
        <f>IF(A111&lt;&gt;0,VLOOKUP(A111,合同台帐!$A$4:$D$893,4,1),"")</f>
        <v>物业招投标代理合同</v>
      </c>
      <c r="C111" s="78"/>
      <c r="D111" s="79"/>
      <c r="E111" s="80"/>
      <c r="F111" s="81">
        <f>IF(A111&lt;&gt;0,VLOOKUP(A111,合同台帐!$A$4:$J$893,6,1),"")</f>
        <v>140000</v>
      </c>
      <c r="G111" s="82">
        <f>F111/K2</f>
        <v>1.2031293049470442</v>
      </c>
      <c r="H111" s="80">
        <f ca="1">IF(A111&lt;&gt;0,IF($H$2="元",VLOOKUP(A111,合同台帐!$A$4:$K$1093,11,1),VLOOKUP(A111,合同台帐!$A$4:$K$1093,11,1)),0)</f>
        <v>140000</v>
      </c>
      <c r="I111" s="81"/>
      <c r="J111" s="117"/>
      <c r="K111" s="122"/>
    </row>
    <row r="112" spans="1:11" s="52" customFormat="1" ht="18.75" customHeight="1" outlineLevel="3">
      <c r="A112" s="76" t="s">
        <v>352</v>
      </c>
      <c r="B112" s="77" t="str">
        <f>IF(A112&lt;&gt;0,VLOOKUP(A112,合同台帐!$A$4:$D$893,4,1),"")</f>
        <v>招标代理费（界外地、示范区园林）</v>
      </c>
      <c r="C112" s="78"/>
      <c r="D112" s="79"/>
      <c r="E112" s="80"/>
      <c r="F112" s="81">
        <f>IF(A112&lt;&gt;0,VLOOKUP(A112,合同台帐!$A$4:$J$893,6,1),"")</f>
        <v>18000</v>
      </c>
      <c r="G112" s="82">
        <f>F112/K2</f>
        <v>0.1546880534931914</v>
      </c>
      <c r="H112" s="80">
        <f ca="1">IF(A112&lt;&gt;0,IF($H$2="元",VLOOKUP(A112,合同台帐!$A$4:$K$1093,11,1),VLOOKUP(A112,合同台帐!$A$4:$K$1093,11,1)),0)</f>
        <v>18000</v>
      </c>
      <c r="I112" s="81"/>
      <c r="J112" s="117"/>
      <c r="K112" s="122"/>
    </row>
    <row r="113" spans="1:11" s="52" customFormat="1" ht="18.75" customHeight="1" outlineLevel="3">
      <c r="A113" s="108"/>
      <c r="B113" s="77" t="str">
        <f>IF(A113&lt;&gt;0,VLOOKUP(A113,合同台帐!$A$4:$D$893,4,1),"")</f>
        <v/>
      </c>
      <c r="C113" s="78"/>
      <c r="D113" s="79"/>
      <c r="E113" s="80"/>
      <c r="F113" s="81" t="str">
        <f>IF(A113&lt;&gt;0,VLOOKUP(A113,合同台帐!$A$4:$J$893,6,1),"")</f>
        <v/>
      </c>
      <c r="G113" s="125"/>
      <c r="H113" s="80">
        <f>IF(A113&lt;&gt;0,IF($H$2="元",VLOOKUP(A113,合同台帐!$A$4:$K$1093,11,1),VLOOKUP(A113,合同台帐!$A$4:$K$1093,11,1)),0)</f>
        <v>0</v>
      </c>
      <c r="I113" s="81"/>
      <c r="J113" s="117"/>
      <c r="K113" s="122"/>
    </row>
    <row r="114" spans="1:11" s="51" customFormat="1" ht="33.75" customHeight="1" outlineLevel="2">
      <c r="A114" s="99"/>
      <c r="B114" s="84" t="s">
        <v>1610</v>
      </c>
      <c r="C114" s="85"/>
      <c r="D114" s="86">
        <f>E114/K$2*10000</f>
        <v>1.9999962187364704</v>
      </c>
      <c r="E114" s="87">
        <v>23.272600000000001</v>
      </c>
      <c r="F114" s="88">
        <f t="shared" ref="F114:H114" si="52">SUM(F115:F123)</f>
        <v>246111.52</v>
      </c>
      <c r="G114" s="88" t="e">
        <f t="shared" si="52"/>
        <v>#VALUE!</v>
      </c>
      <c r="H114" s="88">
        <f t="shared" ca="1" si="52"/>
        <v>246111.52</v>
      </c>
      <c r="I114" s="88">
        <f t="shared" ref="I114:J114" si="53">SUM(I115:I123)</f>
        <v>0</v>
      </c>
      <c r="J114" s="88">
        <f t="shared" si="53"/>
        <v>0</v>
      </c>
      <c r="K114" s="114"/>
    </row>
    <row r="115" spans="1:11" s="52" customFormat="1" ht="18.75" customHeight="1" outlineLevel="3">
      <c r="A115" s="76" t="s">
        <v>164</v>
      </c>
      <c r="B115" s="77" t="str">
        <f>IF(A115&lt;&gt;0,VLOOKUP(A115,合同台帐!$A$4:$D$893,4,1),"")</f>
        <v>勘察、设计交易服务费（全项目）</v>
      </c>
      <c r="C115" s="78"/>
      <c r="D115" s="79"/>
      <c r="E115" s="80"/>
      <c r="F115" s="81">
        <f>IF(A115&lt;&gt;0,VLOOKUP(A115,合同台帐!$A$4:$J$893,6,1),"")</f>
        <v>43800</v>
      </c>
      <c r="G115" s="82">
        <f>F115/K2</f>
        <v>0.37640759683343239</v>
      </c>
      <c r="H115" s="80">
        <f ca="1">IF(A115&lt;&gt;0,IF($H$2="元",VLOOKUP(A115,合同台帐!$A$4:$K$1093,11,1),VLOOKUP(A115,合同台帐!$A$4:$K$1093,11,1)),0)</f>
        <v>43800</v>
      </c>
      <c r="I115" s="81"/>
      <c r="J115" s="117"/>
      <c r="K115" s="122"/>
    </row>
    <row r="116" spans="1:11" s="52" customFormat="1" ht="18.75" customHeight="1" outlineLevel="3">
      <c r="A116" s="76" t="s">
        <v>207</v>
      </c>
      <c r="B116" s="77" t="str">
        <f>IF(A116&lt;&gt;0,VLOOKUP(A116,合同台帐!$A$4:$D$893,4,1),"")</f>
        <v>建设工程交易服务费（一期）</v>
      </c>
      <c r="C116" s="78"/>
      <c r="D116" s="79"/>
      <c r="E116" s="80"/>
      <c r="F116" s="81">
        <f>IF(A116&lt;&gt;0,VLOOKUP(A116,合同台帐!$A$4:$J$893,6,1),"")</f>
        <v>45600</v>
      </c>
      <c r="G116" s="82">
        <f>F116/K2</f>
        <v>0.39187640218275155</v>
      </c>
      <c r="H116" s="80">
        <f ca="1">IF(A116&lt;&gt;0,IF($H$2="元",VLOOKUP(A116,合同台帐!$A$4:$K$1093,11,1),VLOOKUP(A116,合同台帐!$A$4:$K$1093,11,1)),0)</f>
        <v>45600</v>
      </c>
      <c r="I116" s="81"/>
      <c r="J116" s="117"/>
      <c r="K116" s="122"/>
    </row>
    <row r="117" spans="1:11" s="52" customFormat="1" ht="18.75" customHeight="1" outlineLevel="3">
      <c r="A117" s="76" t="s">
        <v>209</v>
      </c>
      <c r="B117" s="77" t="str">
        <f>IF(A117&lt;&gt;0,VLOOKUP(A117,合同台帐!$A$4:$D$893,4,1),"")</f>
        <v>工程监理交易服务费（全项目）</v>
      </c>
      <c r="C117" s="78"/>
      <c r="D117" s="79"/>
      <c r="E117" s="80"/>
      <c r="F117" s="81">
        <f>IF(A117&lt;&gt;0,VLOOKUP(A117,合同台帐!$A$4:$J$893,6,1),"")</f>
        <v>21600</v>
      </c>
      <c r="G117" s="82">
        <f>F117/K2</f>
        <v>0.18562566419182969</v>
      </c>
      <c r="H117" s="80">
        <f ca="1">IF(A117&lt;&gt;0,IF($H$2="元",VLOOKUP(A117,合同台帐!$A$4:$K$1093,11,1),VLOOKUP(A117,合同台帐!$A$4:$K$1093,11,1)),0)</f>
        <v>21600</v>
      </c>
      <c r="I117" s="81"/>
      <c r="J117" s="117"/>
      <c r="K117" s="122"/>
    </row>
    <row r="118" spans="1:11" s="52" customFormat="1" ht="18.75" customHeight="1" outlineLevel="3">
      <c r="A118" s="76" t="s">
        <v>215</v>
      </c>
      <c r="B118" s="77" t="str">
        <f>IF(A118&lt;&gt;0,VLOOKUP(A118,合同台帐!$A$4:$D$893,4,1),"")</f>
        <v>建安设备交易服务费（一期）蓟县收取</v>
      </c>
      <c r="C118" s="78"/>
      <c r="D118" s="79"/>
      <c r="E118" s="80"/>
      <c r="F118" s="81">
        <f>IF(A118&lt;&gt;0,VLOOKUP(A118,合同台帐!$A$4:$J$893,6,1),"")</f>
        <v>12400</v>
      </c>
      <c r="G118" s="82">
        <f>F118/K2</f>
        <v>0.10656288129530964</v>
      </c>
      <c r="H118" s="80">
        <f ca="1">IF(A118&lt;&gt;0,IF($H$2="元",VLOOKUP(A118,合同台帐!$A$4:$K$1093,11,1),VLOOKUP(A118,合同台帐!$A$4:$K$1093,11,1)),0)</f>
        <v>12400</v>
      </c>
      <c r="I118" s="81"/>
      <c r="J118" s="117"/>
      <c r="K118" s="122"/>
    </row>
    <row r="119" spans="1:11" s="52" customFormat="1" ht="18.75" customHeight="1" outlineLevel="3">
      <c r="A119" s="76" t="s">
        <v>662</v>
      </c>
      <c r="B119" s="77" t="str">
        <f>IF(A119&lt;&gt;0,VLOOKUP(A119,合同台帐!$A$4:$D$893,4,1),"")</f>
        <v>物业招标服务费（全项目）</v>
      </c>
      <c r="C119" s="78"/>
      <c r="D119" s="79"/>
      <c r="E119" s="80"/>
      <c r="F119" s="81">
        <f>IF(A119&lt;&gt;0,VLOOKUP(A119,合同台帐!$A$4:$J$893,6,1),"")</f>
        <v>39911.519999999997</v>
      </c>
      <c r="G119" s="82">
        <f>F119/K2</f>
        <v>0.34299085226414322</v>
      </c>
      <c r="H119" s="80">
        <f ca="1">IF(A119&lt;&gt;0,IF($H$2="元",VLOOKUP(A119,合同台帐!$A$4:$K$1093,11,1),VLOOKUP(A119,合同台帐!$A$4:$K$1093,11,1)),0)</f>
        <v>39911.519999999997</v>
      </c>
      <c r="I119" s="81"/>
      <c r="J119" s="117"/>
      <c r="K119" s="122"/>
    </row>
    <row r="120" spans="1:11" s="51" customFormat="1" ht="24" outlineLevel="3">
      <c r="A120" s="76" t="s">
        <v>327</v>
      </c>
      <c r="B120" s="77" t="str">
        <f>IF(A120&lt;&gt;0,VLOOKUP(A120,合同台帐!$A$4:$D$893,4,1),"")</f>
        <v>景观（界外地、示范区、小院围墙）招标交易服务费</v>
      </c>
      <c r="C120" s="85"/>
      <c r="D120" s="86"/>
      <c r="E120" s="87"/>
      <c r="F120" s="81">
        <f>IF(A120&lt;&gt;0,VLOOKUP(A120,合同台帐!$A$4:$J$893,6,1),"")</f>
        <v>6400</v>
      </c>
      <c r="G120" s="82">
        <f>F120/K2</f>
        <v>5.5000196797579164E-2</v>
      </c>
      <c r="H120" s="80">
        <f ca="1">IF(A120&lt;&gt;0,IF($H$2="元",VLOOKUP(A120,合同台帐!$A$4:$K$1093,11,1),VLOOKUP(A120,合同台帐!$A$4:$K$1093,11,1)),0)</f>
        <v>6400</v>
      </c>
      <c r="I120" s="107"/>
      <c r="J120" s="119"/>
      <c r="K120" s="114"/>
    </row>
    <row r="121" spans="1:11" s="51" customFormat="1" ht="12.75" outlineLevel="3">
      <c r="A121" s="126" t="s">
        <v>912</v>
      </c>
      <c r="B121" s="77" t="str">
        <f>IF(A121&lt;&gt;0,VLOOKUP(A121,合同台帐!$A$4:$D$893,4,1),"")</f>
        <v>（三期）招标交易服务费</v>
      </c>
      <c r="C121" s="85"/>
      <c r="D121" s="86"/>
      <c r="E121" s="87"/>
      <c r="F121" s="81">
        <f>IF(A121&lt;&gt;0,VLOOKUP(A121,合同台帐!$A$4:$J$893,6,1),"")</f>
        <v>46000</v>
      </c>
      <c r="G121" s="82" t="e">
        <f>F121/K3</f>
        <v>#VALUE!</v>
      </c>
      <c r="H121" s="80">
        <f ca="1">IF(A121&lt;&gt;0,IF($H$2="元",VLOOKUP(A121,合同台帐!$A$4:$K$1093,11,1),VLOOKUP(A121,合同台帐!$A$4:$K$1093,11,1)),0)</f>
        <v>46000</v>
      </c>
      <c r="I121" s="107"/>
      <c r="J121" s="119"/>
      <c r="K121" s="114"/>
    </row>
    <row r="122" spans="1:11" s="51" customFormat="1" ht="12.75" outlineLevel="3">
      <c r="A122" s="126" t="s">
        <v>914</v>
      </c>
      <c r="B122" s="77" t="str">
        <f>IF(A122&lt;&gt;0,VLOOKUP(A122,合同台帐!$A$4:$D$893,4,1),"")</f>
        <v>（二期）招标交易服务费</v>
      </c>
      <c r="C122" s="85"/>
      <c r="D122" s="86"/>
      <c r="E122" s="87"/>
      <c r="F122" s="81">
        <f>IF(A122&lt;&gt;0,VLOOKUP(A122,合同台帐!$A$4:$J$893,6,1),"")</f>
        <v>30400</v>
      </c>
      <c r="G122" s="82" t="e">
        <f>F122/K4</f>
        <v>#DIV/0!</v>
      </c>
      <c r="H122" s="80">
        <f ca="1">IF(A122&lt;&gt;0,IF($H$2="元",VLOOKUP(A122,合同台帐!$A$4:$K$1093,11,1),VLOOKUP(A122,合同台帐!$A$4:$K$1093,11,1)),0)</f>
        <v>30400</v>
      </c>
      <c r="I122" s="107"/>
      <c r="J122" s="119"/>
      <c r="K122" s="114"/>
    </row>
    <row r="123" spans="1:11" s="51" customFormat="1" ht="12.75" outlineLevel="3">
      <c r="A123" s="83"/>
      <c r="B123" s="84"/>
      <c r="C123" s="85"/>
      <c r="D123" s="86"/>
      <c r="E123" s="87"/>
      <c r="F123" s="88"/>
      <c r="G123" s="89"/>
      <c r="H123" s="87"/>
      <c r="I123" s="107"/>
      <c r="J123" s="119"/>
      <c r="K123" s="114"/>
    </row>
    <row r="124" spans="1:11" s="51" customFormat="1" ht="12.75" outlineLevel="2">
      <c r="A124" s="99"/>
      <c r="B124" s="84" t="s">
        <v>1611</v>
      </c>
      <c r="C124" s="85"/>
      <c r="D124" s="86">
        <f>E124/K$2*10000</f>
        <v>0.8000036437630379</v>
      </c>
      <c r="E124" s="87">
        <v>9.3091000000000008</v>
      </c>
      <c r="F124" s="88">
        <f>SUM(F125:F128)</f>
        <v>92210</v>
      </c>
      <c r="G124" s="88">
        <f t="shared" ref="G124:H124" si="54">SUM(G125:G128)</f>
        <v>0.79243252292262112</v>
      </c>
      <c r="H124" s="88">
        <f t="shared" ca="1" si="54"/>
        <v>92210</v>
      </c>
      <c r="I124" s="88">
        <f t="shared" ref="I124:J124" si="55">SUM(I125:I128)</f>
        <v>0</v>
      </c>
      <c r="J124" s="88">
        <f t="shared" si="55"/>
        <v>0</v>
      </c>
      <c r="K124" s="114"/>
    </row>
    <row r="125" spans="1:11" s="52" customFormat="1" ht="18.75" customHeight="1" outlineLevel="3">
      <c r="A125" s="76" t="s">
        <v>201</v>
      </c>
      <c r="B125" s="77" t="str">
        <f>IF(A125&lt;&gt;0,VLOOKUP(A125,合同台帐!$A$4:$D$893,4,1),"")</f>
        <v>支付委托保证合同（一期）</v>
      </c>
      <c r="C125" s="78"/>
      <c r="D125" s="79"/>
      <c r="E125" s="80"/>
      <c r="F125" s="81">
        <f>IF(A125&lt;&gt;0,VLOOKUP(A125,合同台帐!$A$4:$J$893,6,1),"")</f>
        <v>40000</v>
      </c>
      <c r="G125" s="82">
        <f>F125/K2</f>
        <v>0.34375122998486979</v>
      </c>
      <c r="H125" s="80">
        <f ca="1">IF(A125&lt;&gt;0,IF($H$2="元",VLOOKUP(A125,合同台帐!$A$4:$K$1093,11,1),VLOOKUP(A125,合同台帐!$A$4:$K$1093,11,1)),0)</f>
        <v>40000</v>
      </c>
      <c r="I125" s="81"/>
      <c r="J125" s="117"/>
      <c r="K125" s="122"/>
    </row>
    <row r="126" spans="1:11" s="52" customFormat="1" ht="18.75" customHeight="1" outlineLevel="3">
      <c r="A126" s="108" t="s">
        <v>350</v>
      </c>
      <c r="B126" s="77" t="str">
        <f>IF(A126&lt;&gt;0,VLOOKUP(A126,合同台帐!$A$4:$D$893,4,1),"")</f>
        <v>支付委托保证合同（二期）</v>
      </c>
      <c r="C126" s="78"/>
      <c r="D126" s="79"/>
      <c r="E126" s="80"/>
      <c r="F126" s="81">
        <f>IF(A126&lt;&gt;0,VLOOKUP(A126,合同台帐!$A$4:$J$893,6,1),"")</f>
        <v>17710</v>
      </c>
      <c r="G126" s="82">
        <f>F126/K2</f>
        <v>0.15219585707580111</v>
      </c>
      <c r="H126" s="80">
        <f ca="1">IF(A126&lt;&gt;0,IF($H$2="元",VLOOKUP(A126,合同台帐!$A$4:$K$1093,11,1),VLOOKUP(A126,合同台帐!$A$4:$K$1093,11,1)),0)</f>
        <v>17710</v>
      </c>
      <c r="I126" s="81"/>
      <c r="J126" s="117"/>
      <c r="K126" s="122"/>
    </row>
    <row r="127" spans="1:11" s="52" customFormat="1" ht="18.75" customHeight="1" outlineLevel="3">
      <c r="A127" s="108" t="s">
        <v>351</v>
      </c>
      <c r="B127" s="77" t="str">
        <f>IF(A127&lt;&gt;0,VLOOKUP(A127,合同台帐!$A$4:$D$893,4,1),"")</f>
        <v>支付委托保证合同（三期）</v>
      </c>
      <c r="C127" s="78"/>
      <c r="D127" s="79"/>
      <c r="E127" s="80"/>
      <c r="F127" s="81">
        <f>IF(A127&lt;&gt;0,VLOOKUP(A127,合同台帐!$A$4:$J$893,6,1),"")</f>
        <v>34500</v>
      </c>
      <c r="G127" s="82">
        <f>F127/K2</f>
        <v>0.2964854358619502</v>
      </c>
      <c r="H127" s="80">
        <f ca="1">IF(A127&lt;&gt;0,IF($H$2="元",VLOOKUP(A127,合同台帐!$A$4:$K$1093,11,1),VLOOKUP(A127,合同台帐!$A$4:$K$1093,11,1)),0)</f>
        <v>34500</v>
      </c>
      <c r="I127" s="81"/>
      <c r="J127" s="117"/>
      <c r="K127" s="122"/>
    </row>
    <row r="128" spans="1:11" s="51" customFormat="1" ht="12.75" outlineLevel="3">
      <c r="A128" s="99"/>
      <c r="B128" s="84"/>
      <c r="C128" s="85"/>
      <c r="D128" s="86"/>
      <c r="E128" s="87"/>
      <c r="F128" s="88"/>
      <c r="G128" s="89"/>
      <c r="H128" s="87"/>
      <c r="I128" s="107"/>
      <c r="J128" s="119"/>
      <c r="K128" s="114"/>
    </row>
    <row r="129" spans="1:11" s="51" customFormat="1" ht="12.75" outlineLevel="2">
      <c r="A129" s="99"/>
      <c r="B129" s="84" t="s">
        <v>1612</v>
      </c>
      <c r="C129" s="85"/>
      <c r="D129" s="86">
        <f>E129/K$2*10000</f>
        <v>5.1963584369700326</v>
      </c>
      <c r="E129" s="87">
        <v>60.466500000000003</v>
      </c>
      <c r="F129" s="88">
        <f>SUM(F130:F132)</f>
        <v>509694.3</v>
      </c>
      <c r="G129" s="88">
        <f t="shared" ref="G129:H129" si="56">SUM(G130:G132)</f>
        <v>4.3802010635319304</v>
      </c>
      <c r="H129" s="88">
        <f t="shared" ca="1" si="56"/>
        <v>190000</v>
      </c>
      <c r="I129" s="88">
        <f t="shared" ref="I129:J129" si="57">SUM(I130:I132)</f>
        <v>0</v>
      </c>
      <c r="J129" s="88">
        <f t="shared" si="57"/>
        <v>0</v>
      </c>
      <c r="K129" s="114"/>
    </row>
    <row r="130" spans="1:11" s="52" customFormat="1" ht="12.75" outlineLevel="3">
      <c r="A130" s="76" t="s">
        <v>244</v>
      </c>
      <c r="B130" s="77" t="str">
        <f>IF(A130&lt;&gt;0,VLOOKUP(A130,合同台帐!$A$4:$D$893,4,1),"")</f>
        <v>（一、三期）造价咨询合同</v>
      </c>
      <c r="C130" s="78"/>
      <c r="D130" s="79"/>
      <c r="E130" s="80"/>
      <c r="F130" s="81">
        <f>IF(A130&lt;&gt;0,VLOOKUP(A130,合同台帐!$A$4:$J$893,6,1),"")</f>
        <v>300000</v>
      </c>
      <c r="G130" s="82">
        <f>F130/K2</f>
        <v>2.5781342248865236</v>
      </c>
      <c r="H130" s="80">
        <f ca="1">IF(A130&lt;&gt;0,IF($H$2="元",VLOOKUP(A130,合同台帐!$A$4:$K$1093,11,1),VLOOKUP(A130,合同台帐!$A$4:$K$1093,11,1)),0)</f>
        <v>140000</v>
      </c>
      <c r="I130" s="107"/>
      <c r="J130" s="117"/>
      <c r="K130" s="122"/>
    </row>
    <row r="131" spans="1:11" s="52" customFormat="1" ht="12.75" outlineLevel="3">
      <c r="A131" s="76" t="s">
        <v>349</v>
      </c>
      <c r="B131" s="77" t="str">
        <f>IF(A131&lt;&gt;0,VLOOKUP(A131,合同台帐!$A$4:$D$893,4,1),"")</f>
        <v>（二期）造价咨询合同</v>
      </c>
      <c r="C131" s="78"/>
      <c r="D131" s="79"/>
      <c r="E131" s="80"/>
      <c r="F131" s="81">
        <f>IF(A131&lt;&gt;0,VLOOKUP(A131,合同台帐!$A$4:$J$893,6,1),"")</f>
        <v>209694.3</v>
      </c>
      <c r="G131" s="82">
        <f>F131/K2</f>
        <v>1.8020668386454068</v>
      </c>
      <c r="H131" s="80">
        <f ca="1">IF(A131&lt;&gt;0,IF($H$2="元",VLOOKUP(A131,合同台帐!$A$4:$K$1093,11,1),VLOOKUP(A131,合同台帐!$A$4:$K$1093,11,1)),0)</f>
        <v>50000</v>
      </c>
      <c r="I131" s="107"/>
      <c r="J131" s="117"/>
      <c r="K131" s="122"/>
    </row>
    <row r="132" spans="1:11" s="51" customFormat="1" ht="12.75" outlineLevel="3">
      <c r="A132" s="99"/>
      <c r="B132" s="84"/>
      <c r="C132" s="85"/>
      <c r="D132" s="86"/>
      <c r="E132" s="87"/>
      <c r="F132" s="88"/>
      <c r="G132" s="89"/>
      <c r="H132" s="87"/>
      <c r="I132" s="107"/>
      <c r="J132" s="119"/>
      <c r="K132" s="114"/>
    </row>
    <row r="133" spans="1:11" ht="12.75" outlineLevel="1">
      <c r="A133" s="72"/>
      <c r="B133" s="73" t="s">
        <v>1613</v>
      </c>
      <c r="C133" s="74" t="s">
        <v>1608</v>
      </c>
      <c r="D133" s="92">
        <f t="shared" ref="D133:H133" si="58">D134+D138+D141+D144</f>
        <v>4.9114574175585721</v>
      </c>
      <c r="E133" s="92">
        <f t="shared" si="58"/>
        <v>57.151299999999999</v>
      </c>
      <c r="F133" s="92">
        <f t="shared" si="58"/>
        <v>337500</v>
      </c>
      <c r="G133" s="92">
        <f t="shared" si="58"/>
        <v>2.9004010029973388</v>
      </c>
      <c r="H133" s="92">
        <f t="shared" ca="1" si="58"/>
        <v>337500</v>
      </c>
      <c r="I133" s="92">
        <f t="shared" ref="I133:J133" si="59">I134+I138+I141+I144</f>
        <v>0</v>
      </c>
      <c r="J133" s="92">
        <f t="shared" si="59"/>
        <v>0</v>
      </c>
      <c r="K133" s="114"/>
    </row>
    <row r="134" spans="1:11" s="51" customFormat="1" ht="12.75" outlineLevel="2">
      <c r="A134" s="99"/>
      <c r="B134" s="84" t="s">
        <v>1614</v>
      </c>
      <c r="C134" s="85"/>
      <c r="D134" s="86">
        <f>E134/K$2*10000</f>
        <v>2.0059001461114603</v>
      </c>
      <c r="E134" s="87">
        <v>23.3413</v>
      </c>
      <c r="F134" s="88">
        <f>SUM(F135:F137)</f>
        <v>232500</v>
      </c>
      <c r="G134" s="88">
        <f t="shared" ref="G134:H134" si="60">SUM(G135:G137)</f>
        <v>1.9980540242870557</v>
      </c>
      <c r="H134" s="88">
        <f t="shared" ca="1" si="60"/>
        <v>232500</v>
      </c>
      <c r="I134" s="88">
        <f t="shared" ref="I134:J134" si="61">SUM(I136:I137)</f>
        <v>0</v>
      </c>
      <c r="J134" s="88">
        <f t="shared" si="61"/>
        <v>0</v>
      </c>
      <c r="K134" s="114"/>
    </row>
    <row r="135" spans="1:11" s="52" customFormat="1" ht="12.75" outlineLevel="3">
      <c r="A135" s="76" t="s">
        <v>172</v>
      </c>
      <c r="B135" s="77" t="str">
        <f>IF(A135&lt;&gt;0,VLOOKUP(A135,合同台帐!$A$4:$D$893,4,1),"")</f>
        <v>技术咨询合同(环评）</v>
      </c>
      <c r="C135" s="78"/>
      <c r="D135" s="79"/>
      <c r="E135" s="80"/>
      <c r="F135" s="81">
        <f>IF(A135&lt;&gt;0,VLOOKUP(A135,合同台帐!$A$4:$J$893,6,1),"")</f>
        <v>165000</v>
      </c>
      <c r="G135" s="82">
        <f>F135/K2</f>
        <v>1.4179738236875878</v>
      </c>
      <c r="H135" s="80">
        <f ca="1">IF(A135&lt;&gt;0,IF($H$2="元",VLOOKUP(A135,合同台帐!$A$4:$K$1093,11,1),VLOOKUP(A135,合同台帐!$A$4:$K$1093,11,1)),0)</f>
        <v>165000</v>
      </c>
      <c r="I135" s="107"/>
      <c r="J135" s="117"/>
      <c r="K135" s="122"/>
    </row>
    <row r="136" spans="1:11" s="52" customFormat="1" ht="12.75" outlineLevel="3">
      <c r="A136" s="76" t="s">
        <v>210</v>
      </c>
      <c r="B136" s="77" t="str">
        <f>IF(A136&lt;&gt;0,VLOOKUP(A136,合同台帐!$A$4:$D$893,4,1),"")</f>
        <v>环境报告评估合同</v>
      </c>
      <c r="C136" s="78"/>
      <c r="D136" s="79"/>
      <c r="E136" s="80"/>
      <c r="F136" s="81">
        <f>IF(A136&lt;&gt;0,VLOOKUP(A136,合同台帐!$A$4:$J$893,6,1),"")</f>
        <v>67500</v>
      </c>
      <c r="G136" s="82">
        <f>F136/K2</f>
        <v>0.58008020059946774</v>
      </c>
      <c r="H136" s="80">
        <f ca="1">IF(A136&lt;&gt;0,IF($H$2="元",VLOOKUP(A136,合同台帐!$A$4:$K$1093,11,1),VLOOKUP(A136,合同台帐!$A$4:$K$1093,11,1)),0)</f>
        <v>67500</v>
      </c>
      <c r="I136" s="107"/>
      <c r="J136" s="117"/>
      <c r="K136" s="122"/>
    </row>
    <row r="137" spans="1:11" s="51" customFormat="1" ht="12.75" outlineLevel="3">
      <c r="A137" s="99"/>
      <c r="B137" s="84"/>
      <c r="C137" s="85"/>
      <c r="D137" s="86"/>
      <c r="E137" s="87"/>
      <c r="F137" s="88"/>
      <c r="G137" s="89"/>
      <c r="H137" s="87"/>
      <c r="I137" s="107"/>
      <c r="J137" s="119"/>
      <c r="K137" s="114"/>
    </row>
    <row r="138" spans="1:11" s="51" customFormat="1" ht="12.75" outlineLevel="2">
      <c r="A138" s="99"/>
      <c r="B138" s="84" t="s">
        <v>1615</v>
      </c>
      <c r="C138" s="85"/>
      <c r="D138" s="86">
        <f>E138/K$2*10000</f>
        <v>1.9999962187364704</v>
      </c>
      <c r="E138" s="87">
        <v>23.272600000000001</v>
      </c>
      <c r="F138" s="88">
        <f>SUM(F139:F140)</f>
        <v>0</v>
      </c>
      <c r="G138" s="88">
        <f t="shared" ref="G138:H138" si="62">SUM(G139:G140)</f>
        <v>0</v>
      </c>
      <c r="H138" s="88">
        <f t="shared" si="62"/>
        <v>0</v>
      </c>
      <c r="I138" s="107"/>
      <c r="J138" s="119"/>
      <c r="K138" s="114"/>
    </row>
    <row r="139" spans="1:11" s="52" customFormat="1" ht="12.75" outlineLevel="3">
      <c r="A139" s="108"/>
      <c r="B139" s="77" t="str">
        <f>IF(A139&lt;&gt;0,VLOOKUP(A139,合同台帐!$A$4:$D$893,4,1),"")</f>
        <v/>
      </c>
      <c r="C139" s="78"/>
      <c r="D139" s="79"/>
      <c r="E139" s="80"/>
      <c r="F139" s="81" t="str">
        <f>IF(A139&lt;&gt;0,VLOOKUP(A139,合同台帐!$A$4:$J$893,6,1),"")</f>
        <v/>
      </c>
      <c r="G139" s="82"/>
      <c r="H139" s="80">
        <f>IF(A139&lt;&gt;0,IF($H$2="元",VLOOKUP(A139,合同台帐!$A$4:$K$1093,11,1),VLOOKUP(A139,合同台帐!$A$4:$K$1093,11,1)),0)</f>
        <v>0</v>
      </c>
      <c r="I139" s="81"/>
      <c r="J139" s="117"/>
      <c r="K139" s="122"/>
    </row>
    <row r="140" spans="1:11" s="51" customFormat="1" ht="12.75" outlineLevel="3">
      <c r="A140" s="99"/>
      <c r="B140" s="84"/>
      <c r="C140" s="85"/>
      <c r="D140" s="86"/>
      <c r="E140" s="87"/>
      <c r="F140" s="88"/>
      <c r="G140" s="89"/>
      <c r="H140" s="87"/>
      <c r="I140" s="107"/>
      <c r="J140" s="119"/>
      <c r="K140" s="114"/>
    </row>
    <row r="141" spans="1:11" s="51" customFormat="1" ht="12.75" outlineLevel="2">
      <c r="A141" s="99"/>
      <c r="B141" s="84" t="s">
        <v>1616</v>
      </c>
      <c r="C141" s="85"/>
      <c r="D141" s="86">
        <f>E141/K$2*10000</f>
        <v>0</v>
      </c>
      <c r="E141" s="87">
        <v>0</v>
      </c>
      <c r="F141" s="88">
        <f>SUM(F142:F143)</f>
        <v>0</v>
      </c>
      <c r="G141" s="88">
        <f t="shared" ref="G141:H141" si="63">SUM(G142:G143)</f>
        <v>0</v>
      </c>
      <c r="H141" s="88">
        <f t="shared" si="63"/>
        <v>0</v>
      </c>
      <c r="I141" s="107"/>
      <c r="J141" s="119"/>
      <c r="K141" s="114"/>
    </row>
    <row r="142" spans="1:11" s="51" customFormat="1" ht="12.75" outlineLevel="3">
      <c r="A142" s="83"/>
      <c r="B142" s="84"/>
      <c r="C142" s="85"/>
      <c r="D142" s="86"/>
      <c r="E142" s="87"/>
      <c r="F142" s="88"/>
      <c r="G142" s="89"/>
      <c r="H142" s="87"/>
      <c r="I142" s="107"/>
      <c r="J142" s="119"/>
      <c r="K142" s="114"/>
    </row>
    <row r="143" spans="1:11" s="51" customFormat="1" ht="12.75" outlineLevel="3">
      <c r="A143" s="83"/>
      <c r="B143" s="84"/>
      <c r="C143" s="85"/>
      <c r="D143" s="86"/>
      <c r="E143" s="87"/>
      <c r="F143" s="88"/>
      <c r="G143" s="89"/>
      <c r="H143" s="87"/>
      <c r="I143" s="107"/>
      <c r="J143" s="119"/>
      <c r="K143" s="114"/>
    </row>
    <row r="144" spans="1:11" s="51" customFormat="1" ht="12.75" outlineLevel="2">
      <c r="A144" s="99"/>
      <c r="B144" s="84" t="s">
        <v>1617</v>
      </c>
      <c r="C144" s="85"/>
      <c r="D144" s="86">
        <f>E144/K$2*10000</f>
        <v>0.90556105271064169</v>
      </c>
      <c r="E144" s="87">
        <v>10.5374</v>
      </c>
      <c r="F144" s="88">
        <f>SUM(F145:F146)</f>
        <v>105000</v>
      </c>
      <c r="G144" s="88">
        <f t="shared" ref="G144:H144" si="64">SUM(G145:G146)</f>
        <v>0.90234697871028324</v>
      </c>
      <c r="H144" s="88">
        <f t="shared" ca="1" si="64"/>
        <v>105000</v>
      </c>
      <c r="I144" s="88">
        <f t="shared" ref="I144:J144" si="65">SUM(I145:I146)</f>
        <v>0</v>
      </c>
      <c r="J144" s="88">
        <f t="shared" si="65"/>
        <v>0</v>
      </c>
      <c r="K144" s="114"/>
    </row>
    <row r="145" spans="1:11" s="52" customFormat="1" ht="24" outlineLevel="3">
      <c r="A145" s="76" t="s">
        <v>175</v>
      </c>
      <c r="B145" s="77" t="str">
        <f>IF(A145&lt;&gt;0,VLOOKUP(A145,合同台帐!$A$4:$D$893,4,1),"")</f>
        <v>固定资产投资项目合理用能评估合同（能评）</v>
      </c>
      <c r="C145" s="78"/>
      <c r="D145" s="79"/>
      <c r="E145" s="80"/>
      <c r="F145" s="81">
        <f>IF(A145&lt;&gt;0,VLOOKUP(A145,合同台帐!$A$4:$J$893,6,1),"")</f>
        <v>105000</v>
      </c>
      <c r="G145" s="82">
        <f>F145/K2</f>
        <v>0.90234697871028324</v>
      </c>
      <c r="H145" s="80">
        <f ca="1">IF(A145&lt;&gt;0,IF($H$2="元",VLOOKUP(A145,合同台帐!$A$4:$K$1093,11,1),VLOOKUP(A145,合同台帐!$A$4:$K$1093,11,1)),0)</f>
        <v>105000</v>
      </c>
      <c r="I145" s="107"/>
      <c r="J145" s="117"/>
      <c r="K145" s="122"/>
    </row>
    <row r="146" spans="1:11" s="51" customFormat="1" ht="12.75" outlineLevel="3">
      <c r="A146" s="83"/>
      <c r="B146" s="84"/>
      <c r="C146" s="85"/>
      <c r="D146" s="86"/>
      <c r="E146" s="87"/>
      <c r="F146" s="88"/>
      <c r="G146" s="89"/>
      <c r="H146" s="87"/>
      <c r="I146" s="107"/>
      <c r="J146" s="119"/>
      <c r="K146" s="114"/>
    </row>
    <row r="147" spans="1:11" ht="27" customHeight="1" outlineLevel="1">
      <c r="A147" s="72"/>
      <c r="B147" s="73" t="s">
        <v>1618</v>
      </c>
      <c r="C147" s="74" t="s">
        <v>1608</v>
      </c>
      <c r="D147" s="92">
        <f>D148+D152+D156+D159+D162+D165</f>
        <v>7.4590837207839389</v>
      </c>
      <c r="E147" s="92">
        <f t="shared" ref="E147:H147" si="66">E148+E152+E156+E159+E162+E165</f>
        <v>86.796300000000016</v>
      </c>
      <c r="F147" s="92">
        <f t="shared" si="66"/>
        <v>804078.16</v>
      </c>
      <c r="G147" s="92" t="e">
        <f t="shared" si="66"/>
        <v>#VALUE!</v>
      </c>
      <c r="H147" s="92">
        <f t="shared" ca="1" si="66"/>
        <v>663178.55000000005</v>
      </c>
      <c r="I147" s="115">
        <f>F147-E147*10000</f>
        <v>-63884.840000000084</v>
      </c>
      <c r="J147" s="116" t="e">
        <f>G147-D147</f>
        <v>#VALUE!</v>
      </c>
      <c r="K147" s="114"/>
    </row>
    <row r="148" spans="1:11" s="51" customFormat="1" ht="12.75" outlineLevel="2">
      <c r="A148" s="99"/>
      <c r="B148" s="84" t="s">
        <v>1619</v>
      </c>
      <c r="C148" s="85"/>
      <c r="D148" s="86">
        <f>E148/K$2*10000</f>
        <v>2.4000023375083637</v>
      </c>
      <c r="E148" s="87">
        <v>27.927199999999999</v>
      </c>
      <c r="F148" s="88">
        <f>SUM(F149:F151)</f>
        <v>278277.09999999998</v>
      </c>
      <c r="G148" s="88">
        <f t="shared" ref="G148:H148" si="67">SUM(G149:G151)</f>
        <v>2.3914523850405649</v>
      </c>
      <c r="H148" s="88">
        <f t="shared" ca="1" si="67"/>
        <v>137377.49</v>
      </c>
      <c r="I148" s="107"/>
      <c r="J148" s="119"/>
      <c r="K148" s="114"/>
    </row>
    <row r="149" spans="1:11" s="52" customFormat="1" ht="12.75" outlineLevel="3">
      <c r="A149" s="76" t="s">
        <v>181</v>
      </c>
      <c r="B149" s="77" t="str">
        <f>IF(A149&lt;&gt;0,VLOOKUP(A149,合同台帐!$A$4:$D$893,4,1),"")</f>
        <v>墙改费（一期）</v>
      </c>
      <c r="C149" s="78"/>
      <c r="D149" s="79"/>
      <c r="E149" s="80"/>
      <c r="F149" s="81">
        <f>IF(A149&lt;&gt;0,VLOOKUP(A149,合同台帐!$A$4:$J$893,6,1),"")</f>
        <v>137377.49</v>
      </c>
      <c r="G149" s="82">
        <f>F149/K2</f>
        <v>1.1805920289933536</v>
      </c>
      <c r="H149" s="80">
        <f ca="1">IF(A149&lt;&gt;0,IF($H$2="元",VLOOKUP(A149,合同台帐!$A$4:$K$1093,11,1),VLOOKUP(A149,合同台帐!$A$4:$K$1093,11,1)),0)</f>
        <v>137377.49</v>
      </c>
      <c r="I149" s="107"/>
      <c r="J149" s="117"/>
      <c r="K149" s="122"/>
    </row>
    <row r="150" spans="1:11" s="52" customFormat="1" ht="12.75" outlineLevel="3">
      <c r="A150" s="76" t="s">
        <v>842</v>
      </c>
      <c r="B150" s="77" t="str">
        <f>IF(A150&lt;&gt;0,VLOOKUP(A150,合同台帐!$A$4:$D$893,4,1),"")</f>
        <v>二、三期墙改费</v>
      </c>
      <c r="C150" s="78"/>
      <c r="D150" s="79"/>
      <c r="E150" s="80"/>
      <c r="F150" s="81">
        <f>IF(A150&lt;&gt;0,VLOOKUP(A150,合同台帐!$A$4:$J$893,6,1),"")</f>
        <v>140899.60999999999</v>
      </c>
      <c r="G150" s="82">
        <f>F150/K2</f>
        <v>1.2108603560472113</v>
      </c>
      <c r="H150" s="80">
        <f ca="1">IF(A150&lt;&gt;0,IF($H$2="元",VLOOKUP(A150,合同台帐!$A$4:$K$1093,11,1),VLOOKUP(A150,合同台帐!$A$4:$K$1093,11,1)),0)</f>
        <v>0</v>
      </c>
      <c r="I150" s="107"/>
      <c r="J150" s="117"/>
      <c r="K150" s="122"/>
    </row>
    <row r="151" spans="1:11" s="51" customFormat="1" ht="12.75" outlineLevel="3">
      <c r="A151" s="99"/>
      <c r="B151" s="84"/>
      <c r="C151" s="85"/>
      <c r="D151" s="86"/>
      <c r="E151" s="87"/>
      <c r="F151" s="88"/>
      <c r="G151" s="89"/>
      <c r="H151" s="87"/>
      <c r="I151" s="107"/>
      <c r="J151" s="119"/>
      <c r="K151" s="114"/>
    </row>
    <row r="152" spans="1:11" s="51" customFormat="1" ht="12.75" outlineLevel="2">
      <c r="A152" s="99"/>
      <c r="B152" s="84" t="s">
        <v>1620</v>
      </c>
      <c r="C152" s="85"/>
      <c r="D152" s="86">
        <f>E152/K$2*10000</f>
        <v>0.90000087656563643</v>
      </c>
      <c r="E152" s="87">
        <v>10.4727</v>
      </c>
      <c r="F152" s="88">
        <f>SUM(F153:F155)</f>
        <v>103636.91</v>
      </c>
      <c r="G152" s="88" t="e">
        <f t="shared" ref="G152:H152" si="68">SUM(G153:G155)</f>
        <v>#VALUE!</v>
      </c>
      <c r="H152" s="88">
        <f t="shared" ca="1" si="68"/>
        <v>103636.91</v>
      </c>
      <c r="I152" s="107"/>
      <c r="J152" s="119"/>
      <c r="K152" s="114"/>
    </row>
    <row r="153" spans="1:11" s="52" customFormat="1" ht="12.75" outlineLevel="3">
      <c r="A153" s="76" t="s">
        <v>205</v>
      </c>
      <c r="B153" s="77" t="str">
        <f>IF(A153&lt;&gt;0,VLOOKUP(A153,合同台帐!$A$4:$D$893,4,1),"")</f>
        <v>水泥基金（一期）</v>
      </c>
      <c r="C153" s="78"/>
      <c r="D153" s="79"/>
      <c r="E153" s="80"/>
      <c r="F153" s="81">
        <f>IF(A153&lt;&gt;0,VLOOKUP(A153,合同台帐!$A$4:$J$893,6,1),"")</f>
        <v>51516.56</v>
      </c>
      <c r="G153" s="82">
        <f>F153/K2</f>
        <v>0.44272202161473356</v>
      </c>
      <c r="H153" s="80">
        <f ca="1">IF(A153&lt;&gt;0,IF($H$2="元",VLOOKUP(A153,合同台帐!$A$4:$K$1093,11,1),VLOOKUP(A153,合同台帐!$A$4:$K$1093,11,1)),0)</f>
        <v>51516.56</v>
      </c>
      <c r="I153" s="107"/>
      <c r="J153" s="117"/>
      <c r="K153" s="122"/>
    </row>
    <row r="154" spans="1:11" s="52" customFormat="1" ht="12.75" outlineLevel="3">
      <c r="A154" s="126" t="s">
        <v>916</v>
      </c>
      <c r="B154" s="77" t="str">
        <f>IF(A154&lt;&gt;0,VLOOKUP(A154,合同台帐!$A$4:$D$893,4,1),"")</f>
        <v>（二、三期）水泥专项基金</v>
      </c>
      <c r="C154" s="78"/>
      <c r="D154" s="79"/>
      <c r="E154" s="80"/>
      <c r="F154" s="81">
        <f>IF(A154&lt;&gt;0,VLOOKUP(A154,合同台帐!$A$4:$J$893,6,1),"")</f>
        <v>52120.35</v>
      </c>
      <c r="G154" s="82" t="e">
        <f>F154/K3</f>
        <v>#VALUE!</v>
      </c>
      <c r="H154" s="80">
        <f ca="1">IF(A154&lt;&gt;0,IF($H$2="元",VLOOKUP(A154,合同台帐!$A$4:$K$1093,11,1),VLOOKUP(A154,合同台帐!$A$4:$K$1093,11,1)),0)</f>
        <v>52120.35</v>
      </c>
      <c r="I154" s="107"/>
      <c r="J154" s="117"/>
      <c r="K154" s="122"/>
    </row>
    <row r="155" spans="1:11" s="51" customFormat="1" ht="12.75" outlineLevel="3">
      <c r="A155" s="83"/>
      <c r="B155" s="84"/>
      <c r="C155" s="85"/>
      <c r="D155" s="86"/>
      <c r="E155" s="87"/>
      <c r="F155" s="88"/>
      <c r="G155" s="89"/>
      <c r="H155" s="87"/>
      <c r="I155" s="107"/>
      <c r="J155" s="119"/>
      <c r="K155" s="114"/>
    </row>
    <row r="156" spans="1:11" s="51" customFormat="1" ht="12.75" outlineLevel="2">
      <c r="A156" s="99"/>
      <c r="B156" s="84" t="s">
        <v>1621</v>
      </c>
      <c r="C156" s="85"/>
      <c r="D156" s="86">
        <f>E156/K$2*10000</f>
        <v>2.9247042149572691</v>
      </c>
      <c r="E156" s="87">
        <v>34.032800000000002</v>
      </c>
      <c r="F156" s="88">
        <f>SUM(F157:F158)</f>
        <v>339000</v>
      </c>
      <c r="G156" s="88">
        <f t="shared" ref="G156:H156" si="69">SUM(G157:G158)</f>
        <v>2.9132916741217714</v>
      </c>
      <c r="H156" s="88">
        <f t="shared" ca="1" si="69"/>
        <v>339000</v>
      </c>
      <c r="I156" s="107"/>
      <c r="J156" s="119"/>
      <c r="K156" s="114"/>
    </row>
    <row r="157" spans="1:11" s="52" customFormat="1" ht="12.75" outlineLevel="3">
      <c r="A157" s="76" t="s">
        <v>182</v>
      </c>
      <c r="B157" s="77" t="str">
        <f>IF(A157&lt;&gt;0,VLOOKUP(A157,合同台帐!$A$4:$D$893,4,1),"")</f>
        <v>人防易地建设费</v>
      </c>
      <c r="C157" s="78"/>
      <c r="D157" s="79"/>
      <c r="E157" s="80"/>
      <c r="F157" s="81">
        <f>IF(A157&lt;&gt;0,VLOOKUP(A157,合同台帐!$A$4:$J$893,6,1),"")</f>
        <v>339000</v>
      </c>
      <c r="G157" s="82">
        <f>F157/K2</f>
        <v>2.9132916741217714</v>
      </c>
      <c r="H157" s="80">
        <f ca="1">IF(A157&lt;&gt;0,IF($H$2="元",VLOOKUP(A157,合同台帐!$A$4:$K$1093,11,1),VLOOKUP(A157,合同台帐!$A$4:$K$1093,11,1)),0)</f>
        <v>339000</v>
      </c>
      <c r="I157" s="107"/>
      <c r="J157" s="117"/>
      <c r="K157" s="122"/>
    </row>
    <row r="158" spans="1:11" s="51" customFormat="1" ht="12.75" outlineLevel="3">
      <c r="A158" s="99"/>
      <c r="B158" s="84"/>
      <c r="C158" s="85"/>
      <c r="D158" s="86"/>
      <c r="E158" s="87"/>
      <c r="F158" s="88"/>
      <c r="G158" s="89"/>
      <c r="H158" s="87"/>
      <c r="I158" s="107"/>
      <c r="J158" s="119"/>
      <c r="K158" s="114"/>
    </row>
    <row r="159" spans="1:11" s="51" customFormat="1" ht="12.75" outlineLevel="2">
      <c r="A159" s="99"/>
      <c r="B159" s="84" t="s">
        <v>1622</v>
      </c>
      <c r="C159" s="85"/>
      <c r="D159" s="86">
        <f>E159/K$2*10000</f>
        <v>0.69999781717968967</v>
      </c>
      <c r="E159" s="87">
        <v>8.1454000000000004</v>
      </c>
      <c r="F159" s="88">
        <f>SUM(F160:F161)</f>
        <v>83164.149999999994</v>
      </c>
      <c r="G159" s="88">
        <f t="shared" ref="G159:H159" si="70">SUM(G160:G161)</f>
        <v>0.71469447132865516</v>
      </c>
      <c r="H159" s="88">
        <f t="shared" ca="1" si="70"/>
        <v>83164.149999999994</v>
      </c>
      <c r="I159" s="107"/>
      <c r="J159" s="119"/>
      <c r="K159" s="114"/>
    </row>
    <row r="160" spans="1:11" s="52" customFormat="1" ht="12.75" outlineLevel="3">
      <c r="A160" s="76" t="s">
        <v>187</v>
      </c>
      <c r="B160" s="77" t="str">
        <f>IF(A160&lt;&gt;0,VLOOKUP(A160,合同台帐!$A$4:$D$893,4,1),"")</f>
        <v>地名标志费及地名公告费</v>
      </c>
      <c r="C160" s="78"/>
      <c r="D160" s="79"/>
      <c r="E160" s="80"/>
      <c r="F160" s="81">
        <f>IF(A160&lt;&gt;0,VLOOKUP(A160,合同台帐!$A$4:$J$893,6,1),"")</f>
        <v>83164.149999999994</v>
      </c>
      <c r="G160" s="82">
        <f>F160/K2</f>
        <v>0.71469447132865516</v>
      </c>
      <c r="H160" s="80">
        <f ca="1">IF(A160&lt;&gt;0,IF($H$2="元",VLOOKUP(A160,合同台帐!$A$4:$K$1093,11,1),VLOOKUP(A160,合同台帐!$A$4:$K$1093,11,1)),0)</f>
        <v>83164.149999999994</v>
      </c>
      <c r="I160" s="107"/>
      <c r="J160" s="117"/>
      <c r="K160" s="122"/>
    </row>
    <row r="161" spans="1:11" s="51" customFormat="1" ht="12.75" outlineLevel="3">
      <c r="A161" s="83"/>
      <c r="B161" s="84"/>
      <c r="C161" s="85"/>
      <c r="D161" s="86"/>
      <c r="E161" s="87"/>
      <c r="F161" s="88"/>
      <c r="G161" s="89"/>
      <c r="H161" s="87"/>
      <c r="I161" s="107"/>
      <c r="J161" s="119"/>
      <c r="K161" s="114"/>
    </row>
    <row r="162" spans="1:11" s="51" customFormat="1" ht="12.75" outlineLevel="2">
      <c r="A162" s="99"/>
      <c r="B162" s="84" t="s">
        <v>1623</v>
      </c>
      <c r="C162" s="85"/>
      <c r="D162" s="86">
        <f>E162/K$2*10000</f>
        <v>3.4375122998486982E-2</v>
      </c>
      <c r="E162" s="87">
        <v>0.4</v>
      </c>
      <c r="F162" s="88">
        <f>SUM(F163:F164)</f>
        <v>0</v>
      </c>
      <c r="G162" s="88">
        <f t="shared" ref="G162:H162" si="71">SUM(G163:G164)</f>
        <v>0</v>
      </c>
      <c r="H162" s="88">
        <f t="shared" si="71"/>
        <v>0</v>
      </c>
      <c r="I162" s="107"/>
      <c r="J162" s="119"/>
      <c r="K162" s="114"/>
    </row>
    <row r="163" spans="1:11" s="51" customFormat="1" ht="12.75" outlineLevel="3">
      <c r="A163" s="83"/>
      <c r="B163" s="84"/>
      <c r="C163" s="85"/>
      <c r="D163" s="86"/>
      <c r="E163" s="87"/>
      <c r="F163" s="88"/>
      <c r="G163" s="89"/>
      <c r="H163" s="87"/>
      <c r="I163" s="107"/>
      <c r="J163" s="119"/>
      <c r="K163" s="114"/>
    </row>
    <row r="164" spans="1:11" s="51" customFormat="1" ht="12.75" outlineLevel="3">
      <c r="A164" s="83"/>
      <c r="B164" s="84"/>
      <c r="C164" s="85"/>
      <c r="D164" s="86"/>
      <c r="E164" s="87"/>
      <c r="F164" s="88"/>
      <c r="G164" s="89"/>
      <c r="H164" s="87"/>
      <c r="I164" s="107"/>
      <c r="J164" s="119"/>
      <c r="K164" s="114"/>
    </row>
    <row r="165" spans="1:11" s="51" customFormat="1" ht="12.75" outlineLevel="2">
      <c r="A165" s="99"/>
      <c r="B165" s="84" t="s">
        <v>1624</v>
      </c>
      <c r="C165" s="85"/>
      <c r="D165" s="86">
        <f>E165/K$2*10000</f>
        <v>0.50000335157449238</v>
      </c>
      <c r="E165" s="87">
        <v>5.8182</v>
      </c>
      <c r="F165" s="88">
        <f>SUM(F166:F167)</f>
        <v>0</v>
      </c>
      <c r="G165" s="88">
        <f t="shared" ref="G165:H165" si="72">SUM(G166:G167)</f>
        <v>0</v>
      </c>
      <c r="H165" s="88">
        <f t="shared" si="72"/>
        <v>0</v>
      </c>
      <c r="I165" s="107"/>
      <c r="J165" s="119"/>
      <c r="K165" s="114"/>
    </row>
    <row r="166" spans="1:11" s="51" customFormat="1" ht="12.75" outlineLevel="3">
      <c r="A166" s="83"/>
      <c r="B166" s="84"/>
      <c r="C166" s="85"/>
      <c r="D166" s="86"/>
      <c r="E166" s="87"/>
      <c r="F166" s="88"/>
      <c r="G166" s="89"/>
      <c r="H166" s="87"/>
      <c r="I166" s="107"/>
      <c r="J166" s="119"/>
      <c r="K166" s="114"/>
    </row>
    <row r="167" spans="1:11" s="51" customFormat="1" ht="12.75" outlineLevel="3">
      <c r="A167" s="83"/>
      <c r="B167" s="84"/>
      <c r="C167" s="85"/>
      <c r="D167" s="86"/>
      <c r="E167" s="87"/>
      <c r="F167" s="88"/>
      <c r="G167" s="89"/>
      <c r="H167" s="87"/>
      <c r="I167" s="107"/>
      <c r="J167" s="119"/>
      <c r="K167" s="114"/>
    </row>
    <row r="168" spans="1:11" ht="12" customHeight="1" outlineLevel="1">
      <c r="A168" s="72"/>
      <c r="B168" s="73" t="s">
        <v>1625</v>
      </c>
      <c r="C168" s="74" t="s">
        <v>1608</v>
      </c>
      <c r="D168" s="92">
        <f t="shared" ref="D168:H168" si="73">D169+D172+D175+D178+D181+D184</f>
        <v>4.3486507162658432</v>
      </c>
      <c r="E168" s="92">
        <f t="shared" si="73"/>
        <v>50.6023</v>
      </c>
      <c r="F168" s="92">
        <f t="shared" si="73"/>
        <v>21981</v>
      </c>
      <c r="G168" s="92" t="e">
        <f t="shared" si="73"/>
        <v>#DIV/0!</v>
      </c>
      <c r="H168" s="92">
        <f t="shared" ca="1" si="73"/>
        <v>21981</v>
      </c>
      <c r="I168" s="115">
        <f>F168-E168*10000</f>
        <v>-484042</v>
      </c>
      <c r="J168" s="116" t="e">
        <f>G168-D168</f>
        <v>#DIV/0!</v>
      </c>
      <c r="K168" s="114"/>
    </row>
    <row r="169" spans="1:11" s="51" customFormat="1" ht="12.75" outlineLevel="2">
      <c r="A169" s="99"/>
      <c r="B169" s="84" t="s">
        <v>1626</v>
      </c>
      <c r="C169" s="85"/>
      <c r="D169" s="86">
        <f>E169/K$2*10000</f>
        <v>0.89313444574668854</v>
      </c>
      <c r="E169" s="87">
        <v>10.392799999999999</v>
      </c>
      <c r="F169" s="88">
        <f>SUM(F170:F171)</f>
        <v>0</v>
      </c>
      <c r="G169" s="88">
        <f t="shared" ref="G169:H169" si="74">SUM(G170:G171)</f>
        <v>0</v>
      </c>
      <c r="H169" s="88">
        <f t="shared" si="74"/>
        <v>0</v>
      </c>
      <c r="I169" s="107"/>
      <c r="J169" s="119"/>
      <c r="K169" s="114"/>
    </row>
    <row r="170" spans="1:11" s="51" customFormat="1" ht="12" customHeight="1" outlineLevel="1">
      <c r="A170" s="95"/>
      <c r="B170" s="96"/>
      <c r="C170" s="85"/>
      <c r="D170" s="86"/>
      <c r="E170" s="87"/>
      <c r="F170" s="88"/>
      <c r="G170" s="120"/>
      <c r="H170" s="127"/>
      <c r="I170" s="121"/>
      <c r="J170" s="119"/>
      <c r="K170" s="123"/>
    </row>
    <row r="171" spans="1:11" s="51" customFormat="1" ht="12.75" outlineLevel="3">
      <c r="A171" s="99"/>
      <c r="B171" s="84"/>
      <c r="C171" s="85"/>
      <c r="D171" s="86"/>
      <c r="E171" s="87"/>
      <c r="F171" s="88"/>
      <c r="G171" s="89"/>
      <c r="H171" s="87"/>
      <c r="I171" s="107"/>
      <c r="J171" s="119"/>
      <c r="K171" s="114"/>
    </row>
    <row r="172" spans="1:11" s="51" customFormat="1" ht="12.75" outlineLevel="2">
      <c r="A172" s="99"/>
      <c r="B172" s="84" t="s">
        <v>1627</v>
      </c>
      <c r="C172" s="85"/>
      <c r="D172" s="86">
        <f>E172/K$2*10000</f>
        <v>0.50000335157449238</v>
      </c>
      <c r="E172" s="87">
        <v>5.8182</v>
      </c>
      <c r="F172" s="88">
        <f>SUM(F173:F174)</f>
        <v>0</v>
      </c>
      <c r="G172" s="88">
        <f t="shared" ref="G172:H172" si="75">SUM(G173:G174)</f>
        <v>0</v>
      </c>
      <c r="H172" s="88">
        <f t="shared" si="75"/>
        <v>0</v>
      </c>
      <c r="I172" s="107"/>
      <c r="J172" s="119"/>
      <c r="K172" s="114"/>
    </row>
    <row r="173" spans="1:11" s="51" customFormat="1" ht="12.75" outlineLevel="3">
      <c r="A173" s="99"/>
      <c r="B173" s="84"/>
      <c r="C173" s="85"/>
      <c r="D173" s="86"/>
      <c r="E173" s="87"/>
      <c r="F173" s="88"/>
      <c r="G173" s="89"/>
      <c r="H173" s="87"/>
      <c r="I173" s="107"/>
      <c r="J173" s="119"/>
      <c r="K173" s="114"/>
    </row>
    <row r="174" spans="1:11" s="51" customFormat="1" ht="12.75" outlineLevel="3">
      <c r="A174" s="99"/>
      <c r="B174" s="84"/>
      <c r="C174" s="85"/>
      <c r="D174" s="86"/>
      <c r="E174" s="87"/>
      <c r="F174" s="88"/>
      <c r="G174" s="89"/>
      <c r="H174" s="87"/>
      <c r="I174" s="107"/>
      <c r="J174" s="119"/>
      <c r="K174" s="114"/>
    </row>
    <row r="175" spans="1:11" s="51" customFormat="1" ht="12.75" outlineLevel="2">
      <c r="A175" s="99"/>
      <c r="B175" s="84" t="s">
        <v>1628</v>
      </c>
      <c r="C175" s="85"/>
      <c r="D175" s="86">
        <f>E175/K$2*10000</f>
        <v>0.89313444574668854</v>
      </c>
      <c r="E175" s="87">
        <v>10.392799999999999</v>
      </c>
      <c r="F175" s="88">
        <f>SUM(F176:F177)</f>
        <v>0</v>
      </c>
      <c r="G175" s="88">
        <f t="shared" ref="G175:H175" si="76">SUM(G176:G177)</f>
        <v>0</v>
      </c>
      <c r="H175" s="88">
        <f t="shared" si="76"/>
        <v>0</v>
      </c>
      <c r="I175" s="107"/>
      <c r="J175" s="119"/>
      <c r="K175" s="114"/>
    </row>
    <row r="176" spans="1:11" s="51" customFormat="1" ht="12.75" outlineLevel="3">
      <c r="A176" s="99"/>
      <c r="B176" s="84"/>
      <c r="C176" s="85"/>
      <c r="D176" s="86"/>
      <c r="E176" s="87"/>
      <c r="F176" s="88"/>
      <c r="G176" s="89"/>
      <c r="H176" s="87"/>
      <c r="I176" s="107"/>
      <c r="J176" s="119"/>
      <c r="K176" s="114"/>
    </row>
    <row r="177" spans="1:11" s="51" customFormat="1" ht="12.75" outlineLevel="3">
      <c r="A177" s="99"/>
      <c r="B177" s="84"/>
      <c r="C177" s="85"/>
      <c r="D177" s="86"/>
      <c r="E177" s="87"/>
      <c r="F177" s="88"/>
      <c r="G177" s="89"/>
      <c r="H177" s="87"/>
      <c r="I177" s="107"/>
      <c r="J177" s="119"/>
      <c r="K177" s="114"/>
    </row>
    <row r="178" spans="1:11" s="51" customFormat="1" ht="12.75" outlineLevel="2">
      <c r="A178" s="99"/>
      <c r="B178" s="84" t="s">
        <v>1629</v>
      </c>
      <c r="C178" s="85"/>
      <c r="D178" s="86">
        <f>E178/K$2*10000</f>
        <v>1.2000011687541818</v>
      </c>
      <c r="E178" s="87">
        <v>13.9636</v>
      </c>
      <c r="F178" s="88">
        <f>SUM(F179:F180)</f>
        <v>0</v>
      </c>
      <c r="G178" s="88">
        <f t="shared" ref="G178:H178" si="77">SUM(G179:G180)</f>
        <v>0</v>
      </c>
      <c r="H178" s="88">
        <f t="shared" si="77"/>
        <v>0</v>
      </c>
      <c r="I178" s="88">
        <f t="shared" ref="I178:J178" si="78">SUM(I179:I180)</f>
        <v>0</v>
      </c>
      <c r="J178" s="88">
        <f t="shared" si="78"/>
        <v>0</v>
      </c>
      <c r="K178" s="114"/>
    </row>
    <row r="179" spans="1:11" s="51" customFormat="1" ht="12.75" outlineLevel="3">
      <c r="A179" s="99"/>
      <c r="B179" s="84"/>
      <c r="C179" s="85"/>
      <c r="D179" s="86"/>
      <c r="E179" s="87"/>
      <c r="F179" s="88"/>
      <c r="G179" s="89"/>
      <c r="H179" s="87"/>
      <c r="I179" s="107"/>
      <c r="J179" s="119"/>
      <c r="K179" s="114"/>
    </row>
    <row r="180" spans="1:11" s="51" customFormat="1" ht="12.75" outlineLevel="3">
      <c r="A180" s="99"/>
      <c r="B180" s="84"/>
      <c r="C180" s="85"/>
      <c r="D180" s="86"/>
      <c r="E180" s="87"/>
      <c r="F180" s="88"/>
      <c r="G180" s="89"/>
      <c r="H180" s="87"/>
      <c r="I180" s="107"/>
      <c r="J180" s="119"/>
      <c r="K180" s="114"/>
    </row>
    <row r="181" spans="1:11" s="51" customFormat="1" ht="12.75" outlineLevel="2">
      <c r="A181" s="99"/>
      <c r="B181" s="84" t="s">
        <v>1630</v>
      </c>
      <c r="C181" s="85"/>
      <c r="D181" s="86">
        <f>E181/K$2*10000</f>
        <v>0.66601800809568523</v>
      </c>
      <c r="E181" s="87">
        <v>7.75</v>
      </c>
      <c r="F181" s="88">
        <f>SUM(F182:F183)</f>
        <v>19645</v>
      </c>
      <c r="G181" s="88">
        <f t="shared" ref="G181:H181" si="79">SUM(G182:G183)</f>
        <v>0.16882482282631917</v>
      </c>
      <c r="H181" s="88">
        <f t="shared" ca="1" si="79"/>
        <v>19645</v>
      </c>
      <c r="I181" s="107"/>
      <c r="J181" s="119"/>
      <c r="K181" s="114"/>
    </row>
    <row r="182" spans="1:11" s="52" customFormat="1" ht="12.75" outlineLevel="3">
      <c r="A182" s="76" t="s">
        <v>189</v>
      </c>
      <c r="B182" s="77" t="str">
        <f>IF(A182&lt;&gt;0,VLOOKUP(A182,合同台帐!$A$4:$D$893,4,1),"")</f>
        <v>人防工程资料编制费</v>
      </c>
      <c r="C182" s="78"/>
      <c r="D182" s="79"/>
      <c r="E182" s="80"/>
      <c r="F182" s="81">
        <f>IF(A182&lt;&gt;0,VLOOKUP(A182,合同台帐!$A$4:$J$893,6,1),"")</f>
        <v>19645</v>
      </c>
      <c r="G182" s="82">
        <f>F182/K2</f>
        <v>0.16882482282631917</v>
      </c>
      <c r="H182" s="80">
        <f ca="1">IF(A182&lt;&gt;0,IF($H$2="元",VLOOKUP(A182,合同台帐!$A$4:$K$1093,11,1),VLOOKUP(A182,合同台帐!$A$4:$K$1093,11,1)),0)</f>
        <v>19645</v>
      </c>
      <c r="I182" s="107"/>
      <c r="J182" s="117"/>
      <c r="K182" s="122"/>
    </row>
    <row r="183" spans="1:11" s="51" customFormat="1" ht="12.75" outlineLevel="3">
      <c r="A183" s="99"/>
      <c r="B183" s="84"/>
      <c r="C183" s="85"/>
      <c r="D183" s="86"/>
      <c r="E183" s="87"/>
      <c r="F183" s="88"/>
      <c r="G183" s="89"/>
      <c r="H183" s="87"/>
      <c r="I183" s="107"/>
      <c r="J183" s="119"/>
      <c r="K183" s="114"/>
    </row>
    <row r="184" spans="1:11" s="51" customFormat="1" ht="12.75" outlineLevel="2">
      <c r="A184" s="99"/>
      <c r="B184" s="84" t="s">
        <v>1631</v>
      </c>
      <c r="C184" s="85"/>
      <c r="D184" s="86">
        <f>E184/K$2*10000</f>
        <v>0.19635929634810725</v>
      </c>
      <c r="E184" s="87">
        <v>2.2848999999999999</v>
      </c>
      <c r="F184" s="88">
        <f>SUM(F185:F186)</f>
        <v>2336</v>
      </c>
      <c r="G184" s="88" t="e">
        <f t="shared" ref="G184:H184" si="80">SUM(G185:G186)</f>
        <v>#DIV/0!</v>
      </c>
      <c r="H184" s="88">
        <f t="shared" ca="1" si="80"/>
        <v>2336</v>
      </c>
      <c r="I184" s="107"/>
      <c r="J184" s="119"/>
      <c r="K184" s="114"/>
    </row>
    <row r="185" spans="1:11" s="52" customFormat="1" ht="12.75" outlineLevel="3">
      <c r="A185" s="76" t="s">
        <v>325</v>
      </c>
      <c r="B185" s="77" t="str">
        <f>IF(A185&lt;&gt;0,VLOOKUP(A185,合同台帐!$A$4:$D$893,4,1),"")</f>
        <v>二期消防缩微费</v>
      </c>
      <c r="C185" s="78"/>
      <c r="D185" s="79"/>
      <c r="E185" s="80"/>
      <c r="F185" s="81">
        <f>IF(A185&lt;&gt;0,VLOOKUP(A185,合同台帐!$A$4:$J$893,6,1),"")</f>
        <v>2336</v>
      </c>
      <c r="G185" s="82" t="e">
        <f>F185/K5</f>
        <v>#DIV/0!</v>
      </c>
      <c r="H185" s="80">
        <f ca="1">IF(A185&lt;&gt;0,IF($H$2="元",VLOOKUP(A185,合同台帐!$A$4:$K$1093,11,1),VLOOKUP(A185,合同台帐!$A$4:$K$1093,11,1)),0)</f>
        <v>2336</v>
      </c>
      <c r="I185" s="107"/>
      <c r="J185" s="117"/>
      <c r="K185" s="122"/>
    </row>
    <row r="186" spans="1:11" s="51" customFormat="1" ht="12.75" outlineLevel="3">
      <c r="A186" s="83"/>
      <c r="B186" s="84"/>
      <c r="C186" s="85"/>
      <c r="D186" s="86"/>
      <c r="E186" s="87"/>
      <c r="F186" s="88"/>
      <c r="G186" s="89"/>
      <c r="H186" s="87"/>
      <c r="I186" s="107"/>
      <c r="J186" s="119"/>
      <c r="K186" s="114"/>
    </row>
    <row r="187" spans="1:11" ht="12" customHeight="1" outlineLevel="1">
      <c r="A187" s="72"/>
      <c r="B187" s="73" t="s">
        <v>1632</v>
      </c>
      <c r="C187" s="74" t="s">
        <v>1608</v>
      </c>
      <c r="D187" s="92">
        <f t="shared" ref="D187:F187" si="81">D188+D193+D198+D203+D206+D209+D213</f>
        <v>5.6058263083472593</v>
      </c>
      <c r="E187" s="92">
        <f t="shared" si="81"/>
        <v>65.231200000000001</v>
      </c>
      <c r="F187" s="92">
        <f t="shared" si="81"/>
        <v>276430.3</v>
      </c>
      <c r="G187" s="92">
        <f t="shared" ref="G187:H187" si="82">G188+G193+G198+G203+G206+G209+G213</f>
        <v>2.3755813907521639</v>
      </c>
      <c r="H187" s="92">
        <f t="shared" ca="1" si="82"/>
        <v>198410.91999999998</v>
      </c>
      <c r="I187" s="92">
        <f t="shared" ref="I187:J187" si="83">I188+I193+I198+I203+I206+I209+I213</f>
        <v>0</v>
      </c>
      <c r="J187" s="92">
        <f t="shared" si="83"/>
        <v>0</v>
      </c>
      <c r="K187" s="114"/>
    </row>
    <row r="188" spans="1:11" s="51" customFormat="1" ht="12.75" outlineLevel="2">
      <c r="A188" s="99"/>
      <c r="B188" s="84" t="s">
        <v>1633</v>
      </c>
      <c r="C188" s="85"/>
      <c r="D188" s="86">
        <f>E188/K$2*10000</f>
        <v>0.50000335157449238</v>
      </c>
      <c r="E188" s="87">
        <v>5.8182</v>
      </c>
      <c r="F188" s="88">
        <f t="shared" ref="F188:H188" si="84">SUM(F189:F192)</f>
        <v>16128.76</v>
      </c>
      <c r="G188" s="88">
        <f t="shared" si="84"/>
        <v>0.13860702720326923</v>
      </c>
      <c r="H188" s="88">
        <f t="shared" ca="1" si="84"/>
        <v>16128.76</v>
      </c>
      <c r="I188" s="107"/>
      <c r="J188" s="119"/>
      <c r="K188" s="114"/>
    </row>
    <row r="189" spans="1:11" s="52" customFormat="1" ht="12.75" outlineLevel="3">
      <c r="A189" s="103" t="s">
        <v>103</v>
      </c>
      <c r="B189" s="77" t="str">
        <f>IF(A189&lt;&gt;0,VLOOKUP(A189,合同台帐!$A$4:$D$195,4,1),"")</f>
        <v>南郡蓝山核定用地图合同</v>
      </c>
      <c r="C189" s="78"/>
      <c r="D189" s="79"/>
      <c r="E189" s="80"/>
      <c r="F189" s="81">
        <f>IF(A189&lt;&gt;0,IF(VLOOKUP(A189,合同台帐!$A$4:$G$195,7,1),IF($H$2="元",VLOOKUP(A189,合同台帐!$A$4:$G$195,7,1),VLOOKUP(A189,合同台帐!$A$4:$G$195,7,1)),IF($H$2="元",VLOOKUP(A189,合同台帐!$A$4:$F$195,6,1),VLOOKUP(A189,合同台帐!$A$4:$F$195,6,1))),0)</f>
        <v>12055.17</v>
      </c>
      <c r="G189" s="82">
        <f t="shared" ref="G189" si="85">F189/K$2</f>
        <v>0.10359948787941757</v>
      </c>
      <c r="H189" s="80">
        <f ca="1">IF(A189&lt;&gt;0,IF($H$2="元",VLOOKUP(A189,合同台帐!$A$4:$K$1093,11,1),VLOOKUP(A189,合同台帐!$A$4:$K$1093,11,1)),0)</f>
        <v>12055.17</v>
      </c>
      <c r="I189" s="107"/>
      <c r="J189" s="117"/>
      <c r="K189" s="114"/>
    </row>
    <row r="190" spans="1:11" s="52" customFormat="1" ht="12.75" outlineLevel="3">
      <c r="A190" s="104" t="s">
        <v>892</v>
      </c>
      <c r="B190" s="77" t="str">
        <f>IF(A190&lt;&gt;0,VLOOKUP(A190,合同台帐!$A$4:$D$195,4,1),"")</f>
        <v>地形图测绘费（一期）</v>
      </c>
      <c r="C190" s="78"/>
      <c r="D190" s="79"/>
      <c r="E190" s="80"/>
      <c r="F190" s="81">
        <f>IF(A190&lt;&gt;0,IF(VLOOKUP(A190,合同台帐!$A$4:$G$195,7,1),IF($H$2="元",VLOOKUP(A190,合同台帐!$A$4:$G$195,7,1),VLOOKUP(A190,合同台帐!$A$4:$G$195,7,1)),IF($H$2="元",VLOOKUP(A190,合同台帐!$A$4:$F$195,6,1),VLOOKUP(A190,合同台帐!$A$4:$F$195,6,1))),0)</f>
        <v>4073.59</v>
      </c>
      <c r="G190" s="82">
        <f t="shared" ref="G190" si="86">F190/K$2</f>
        <v>3.5007539323851644E-2</v>
      </c>
      <c r="H190" s="80">
        <f ca="1">IF(A190&lt;&gt;0,IF($H$2="元",VLOOKUP(A190,合同台帐!$A$4:$K$1093,11,1),VLOOKUP(A190,合同台帐!$A$4:$K$1093,11,1)),0)</f>
        <v>4073.59</v>
      </c>
      <c r="I190" s="107"/>
      <c r="J190" s="117"/>
      <c r="K190" s="114"/>
    </row>
    <row r="191" spans="1:11" s="52" customFormat="1" ht="12.75" outlineLevel="3">
      <c r="A191" s="105"/>
      <c r="B191" s="77"/>
      <c r="C191" s="78"/>
      <c r="D191" s="79"/>
      <c r="E191" s="80"/>
      <c r="F191" s="81"/>
      <c r="G191" s="82"/>
      <c r="H191" s="80"/>
      <c r="I191" s="107"/>
      <c r="J191" s="117"/>
      <c r="K191" s="114"/>
    </row>
    <row r="192" spans="1:11" s="52" customFormat="1" ht="12.75" outlineLevel="3">
      <c r="A192" s="105"/>
      <c r="B192" s="77"/>
      <c r="C192" s="78"/>
      <c r="D192" s="79"/>
      <c r="E192" s="80"/>
      <c r="F192" s="81"/>
      <c r="G192" s="82"/>
      <c r="H192" s="80"/>
      <c r="I192" s="107"/>
      <c r="J192" s="117"/>
      <c r="K192" s="114"/>
    </row>
    <row r="193" spans="1:11" s="51" customFormat="1" ht="12.75" outlineLevel="2">
      <c r="A193" s="99"/>
      <c r="B193" s="84" t="s">
        <v>1634</v>
      </c>
      <c r="C193" s="85"/>
      <c r="D193" s="86">
        <f>E193/K$2*10000</f>
        <v>0.25781342248865236</v>
      </c>
      <c r="E193" s="87">
        <v>3</v>
      </c>
      <c r="F193" s="88">
        <f>SUM(F194:F197)</f>
        <v>24000</v>
      </c>
      <c r="G193" s="88">
        <f t="shared" ref="G193:H193" si="87">SUM(G194:G197)</f>
        <v>0.20625073799092186</v>
      </c>
      <c r="H193" s="88">
        <f t="shared" ca="1" si="87"/>
        <v>6000</v>
      </c>
      <c r="I193" s="107"/>
      <c r="J193" s="119"/>
      <c r="K193" s="114"/>
    </row>
    <row r="194" spans="1:11" s="52" customFormat="1" ht="12.75" outlineLevel="3">
      <c r="A194" s="103" t="s">
        <v>304</v>
      </c>
      <c r="B194" s="77" t="str">
        <f>IF(A194&lt;&gt;0,VLOOKUP(A194,合同台帐!$A$4:$D$195,4,1),"")</f>
        <v>销许公告费（一期22个楼的）</v>
      </c>
      <c r="C194" s="78"/>
      <c r="D194" s="79"/>
      <c r="E194" s="80"/>
      <c r="F194" s="81">
        <f>IF(A194&lt;&gt;0,IF(VLOOKUP(A194,合同台帐!$A$4:$G$195,7,1),IF($H$2="元",VLOOKUP(A194,合同台帐!$A$4:$G$195,7,1),VLOOKUP(A194,合同台帐!$A$4:$G$195,7,1)),IF($H$2="元",VLOOKUP(A194,合同台帐!$A$4:$F$195,6,1),VLOOKUP(A194,合同台帐!$A$4:$F$195,6,1))),0)</f>
        <v>6000</v>
      </c>
      <c r="G194" s="82">
        <f t="shared" ref="G194" si="88">F194/K$2</f>
        <v>5.1562684497730465E-2</v>
      </c>
      <c r="H194" s="80">
        <f ca="1">IF(A194&lt;&gt;0,IF($H$2="元",VLOOKUP(A194,合同台帐!$A$4:$K$1093,11,1),VLOOKUP(A194,合同台帐!$A$4:$K$1093,11,1)),0)</f>
        <v>6000</v>
      </c>
      <c r="I194" s="107"/>
      <c r="J194" s="117"/>
      <c r="K194" s="114"/>
    </row>
    <row r="195" spans="1:11" s="52" customFormat="1" ht="12.75" outlineLevel="3">
      <c r="A195" s="103" t="s">
        <v>837</v>
      </c>
      <c r="B195" s="77" t="str">
        <f>IF(A195&lt;&gt;0,VLOOKUP(A195,合同台帐!$A$4:$D$195,4,1),"")</f>
        <v>销许公告费（一期6个楼的）</v>
      </c>
      <c r="C195" s="78"/>
      <c r="D195" s="79"/>
      <c r="E195" s="80"/>
      <c r="F195" s="81">
        <f>IF(A195&lt;&gt;0,IF(VLOOKUP(A195,合同台帐!$A$4:$G$195,7,1),IF($H$2="元",VLOOKUP(A195,合同台帐!$A$4:$G$195,7,1),VLOOKUP(A195,合同台帐!$A$4:$G$195,7,1)),IF($H$2="元",VLOOKUP(A195,合同台帐!$A$4:$F$195,6,1),VLOOKUP(A195,合同台帐!$A$4:$F$195,6,1))),0)</f>
        <v>6000</v>
      </c>
      <c r="G195" s="82">
        <f t="shared" ref="G195" si="89">F195/K$2</f>
        <v>5.1562684497730465E-2</v>
      </c>
      <c r="H195" s="80">
        <f ca="1">IF(A195&lt;&gt;0,IF($H$2="元",VLOOKUP(A195,合同台帐!$A$4:$K$1093,11,1),VLOOKUP(A195,合同台帐!$A$4:$K$1093,11,1)),0)</f>
        <v>0</v>
      </c>
      <c r="I195" s="107"/>
      <c r="J195" s="117"/>
      <c r="K195" s="114"/>
    </row>
    <row r="196" spans="1:11" s="52" customFormat="1" ht="12.75" outlineLevel="3">
      <c r="A196" s="104" t="s">
        <v>887</v>
      </c>
      <c r="B196" s="77" t="str">
        <f>IF(A196&lt;&gt;0,VLOOKUP(A196,合同台帐!$A$4:$D$195,4,1),"")</f>
        <v>销许公告费（一期2个证、10个楼）</v>
      </c>
      <c r="C196" s="78"/>
      <c r="D196" s="79"/>
      <c r="E196" s="80"/>
      <c r="F196" s="81">
        <f>IF(A196&lt;&gt;0,IF(VLOOKUP(A196,合同台帐!$A$4:$G$195,7,1),IF($H$2="元",VLOOKUP(A196,合同台帐!$A$4:$G$195,7,1),VLOOKUP(A196,合同台帐!$A$4:$G$195,7,1)),IF($H$2="元",VLOOKUP(A196,合同台帐!$A$4:$F$195,6,1),VLOOKUP(A196,合同台帐!$A$4:$F$195,6,1))),0)</f>
        <v>12000</v>
      </c>
      <c r="G196" s="82">
        <f t="shared" ref="G196" si="90">F196/K$2</f>
        <v>0.10312536899546093</v>
      </c>
      <c r="H196" s="80">
        <f ca="1">IF(A196&lt;&gt;0,IF($H$2="元",VLOOKUP(A196,合同台帐!$A$4:$K$1093,11,1),VLOOKUP(A196,合同台帐!$A$4:$K$1093,11,1)),0)</f>
        <v>0</v>
      </c>
      <c r="I196" s="107"/>
      <c r="J196" s="117"/>
      <c r="K196" s="114"/>
    </row>
    <row r="197" spans="1:11" s="51" customFormat="1" ht="12.75" outlineLevel="3">
      <c r="A197" s="83"/>
      <c r="B197" s="84"/>
      <c r="C197" s="85"/>
      <c r="D197" s="86"/>
      <c r="E197" s="87"/>
      <c r="F197" s="88"/>
      <c r="G197" s="89"/>
      <c r="H197" s="87"/>
      <c r="I197" s="107"/>
      <c r="J197" s="119"/>
      <c r="K197" s="114"/>
    </row>
    <row r="198" spans="1:11" s="51" customFormat="1" ht="12.75" outlineLevel="2">
      <c r="A198" s="99"/>
      <c r="B198" s="84" t="s">
        <v>1635</v>
      </c>
      <c r="C198" s="85"/>
      <c r="D198" s="86">
        <f>E198/K$2*10000</f>
        <v>0.47643920475902951</v>
      </c>
      <c r="E198" s="87">
        <v>5.5439999999999996</v>
      </c>
      <c r="F198" s="88">
        <f>SUM(F199:F202)</f>
        <v>25680</v>
      </c>
      <c r="G198" s="88">
        <f t="shared" ref="G198:H198" si="91">SUM(G199:G202)</f>
        <v>0.22068828965028642</v>
      </c>
      <c r="H198" s="88">
        <f t="shared" ca="1" si="91"/>
        <v>17200</v>
      </c>
      <c r="I198" s="107"/>
      <c r="J198" s="119"/>
      <c r="K198" s="114"/>
    </row>
    <row r="199" spans="1:11" s="52" customFormat="1" ht="12.75" outlineLevel="3">
      <c r="A199" s="103" t="s">
        <v>303</v>
      </c>
      <c r="B199" s="77" t="str">
        <f>IF(A199&lt;&gt;0,VLOOKUP(A199,合同台帐!$A$4:$D$195,4,1),"")</f>
        <v>商品房预售登记费（一期143套）</v>
      </c>
      <c r="C199" s="78"/>
      <c r="D199" s="79"/>
      <c r="E199" s="80"/>
      <c r="F199" s="81">
        <f>IF(A199&lt;&gt;0,IF(VLOOKUP(A199,合同台帐!$A$4:$G$195,7,1),IF($H$2="元",VLOOKUP(A199,合同台帐!$A$4:$G$195,7,1),VLOOKUP(A199,合同台帐!$A$4:$G$195,7,1)),IF($H$2="元",VLOOKUP(A199,合同台帐!$A$4:$F$195,6,1),VLOOKUP(A199,合同台帐!$A$4:$F$195,6,1))),0)</f>
        <v>11440</v>
      </c>
      <c r="G199" s="82">
        <f t="shared" ref="G199" si="92">F199/K$2</f>
        <v>9.8312851775672755E-2</v>
      </c>
      <c r="H199" s="80">
        <f ca="1">IF(A199&lt;&gt;0,IF($H$2="元",VLOOKUP(A199,合同台帐!$A$4:$K$1093,11,1),VLOOKUP(A199,合同台帐!$A$4:$K$1093,11,1)),0)</f>
        <v>11440</v>
      </c>
      <c r="I199" s="107"/>
      <c r="J199" s="117"/>
      <c r="K199" s="114"/>
    </row>
    <row r="200" spans="1:11" s="52" customFormat="1" ht="12.75" outlineLevel="3">
      <c r="A200" s="103" t="s">
        <v>333</v>
      </c>
      <c r="B200" s="77" t="str">
        <f>IF(A200&lt;&gt;0,VLOOKUP(A200,合同台帐!$A$4:$D$195,4,1),"")</f>
        <v>预售登记费(一期72套）</v>
      </c>
      <c r="C200" s="78"/>
      <c r="D200" s="79"/>
      <c r="E200" s="80"/>
      <c r="F200" s="81">
        <f>IF(A200&lt;&gt;0,IF(VLOOKUP(A200,合同台帐!$A$4:$G$195,7,1),IF($H$2="元",VLOOKUP(A200,合同台帐!$A$4:$G$195,7,1),VLOOKUP(A200,合同台帐!$A$4:$G$195,7,1)),IF($H$2="元",VLOOKUP(A200,合同台帐!$A$4:$F$195,6,1),VLOOKUP(A200,合同台帐!$A$4:$F$195,6,1))),0)</f>
        <v>5760</v>
      </c>
      <c r="G200" s="82">
        <f t="shared" ref="G200" si="93">F200/K$2</f>
        <v>4.9500177117821252E-2</v>
      </c>
      <c r="H200" s="80">
        <f ca="1">IF(A200&lt;&gt;0,IF($H$2="元",VLOOKUP(A200,合同台帐!$A$4:$K$1093,11,1),VLOOKUP(A200,合同台帐!$A$4:$K$1093,11,1)),0)</f>
        <v>5760</v>
      </c>
      <c r="I200" s="107"/>
      <c r="J200" s="117"/>
      <c r="K200" s="114"/>
    </row>
    <row r="201" spans="1:11" s="52" customFormat="1" ht="12.75" outlineLevel="3">
      <c r="A201" s="105" t="s">
        <v>890</v>
      </c>
      <c r="B201" s="77" t="str">
        <f>IF(A201&lt;&gt;0,VLOOKUP(A201,合同台帐!$A$4:$D$195,4,1),"")</f>
        <v>商品房预售登记费（一期106套）</v>
      </c>
      <c r="C201" s="78"/>
      <c r="D201" s="79"/>
      <c r="E201" s="80"/>
      <c r="F201" s="81">
        <f>IF(A201&lt;&gt;0,IF(VLOOKUP(A201,合同台帐!$A$4:$G$195,7,1),IF($H$2="元",VLOOKUP(A201,合同台帐!$A$4:$G$195,7,1),VLOOKUP(A201,合同台帐!$A$4:$G$195,7,1)),IF($H$2="元",VLOOKUP(A201,合同台帐!$A$4:$F$195,6,1),VLOOKUP(A201,合同台帐!$A$4:$F$195,6,1))),0)</f>
        <v>8480</v>
      </c>
      <c r="G201" s="82">
        <f t="shared" ref="G201" si="94">F201/K$2</f>
        <v>7.287526075679239E-2</v>
      </c>
      <c r="H201" s="80">
        <f ca="1">IF(A201&lt;&gt;0,IF($H$2="元",VLOOKUP(A201,合同台帐!$A$4:$K$1093,11,1),VLOOKUP(A201,合同台帐!$A$4:$K$1093,11,1)),0)</f>
        <v>0</v>
      </c>
      <c r="I201" s="107"/>
      <c r="J201" s="117"/>
      <c r="K201" s="114"/>
    </row>
    <row r="202" spans="1:11" s="51" customFormat="1" ht="12.75" outlineLevel="3">
      <c r="A202" s="83"/>
      <c r="B202" s="84"/>
      <c r="C202" s="85"/>
      <c r="D202" s="86"/>
      <c r="E202" s="87"/>
      <c r="F202" s="88"/>
      <c r="G202" s="89"/>
      <c r="H202" s="87"/>
      <c r="I202" s="107"/>
      <c r="J202" s="119"/>
      <c r="K202" s="114"/>
    </row>
    <row r="203" spans="1:11" s="51" customFormat="1" ht="12.75" outlineLevel="2">
      <c r="A203" s="99"/>
      <c r="B203" s="84" t="s">
        <v>1636</v>
      </c>
      <c r="C203" s="85"/>
      <c r="D203" s="86">
        <f>E203/K$2*10000</f>
        <v>0</v>
      </c>
      <c r="E203" s="87">
        <v>0</v>
      </c>
      <c r="F203" s="88">
        <f>SUM(F204:F205)</f>
        <v>0</v>
      </c>
      <c r="G203" s="88">
        <f t="shared" ref="G203:H203" si="95">SUM(G204:G205)</f>
        <v>0</v>
      </c>
      <c r="H203" s="88">
        <f t="shared" si="95"/>
        <v>0</v>
      </c>
      <c r="I203" s="88">
        <f t="shared" ref="I203:J203" si="96">SUM(I204:I205)</f>
        <v>0</v>
      </c>
      <c r="J203" s="88">
        <f t="shared" si="96"/>
        <v>0</v>
      </c>
      <c r="K203" s="114"/>
    </row>
    <row r="204" spans="1:11" s="51" customFormat="1" ht="12.75" outlineLevel="3">
      <c r="A204" s="83"/>
      <c r="B204" s="84"/>
      <c r="C204" s="85"/>
      <c r="D204" s="86"/>
      <c r="E204" s="87"/>
      <c r="F204" s="88"/>
      <c r="G204" s="89"/>
      <c r="H204" s="87"/>
      <c r="I204" s="120"/>
      <c r="J204" s="119"/>
      <c r="K204" s="114"/>
    </row>
    <row r="205" spans="1:11" s="51" customFormat="1" ht="12.75" outlineLevel="3">
      <c r="A205" s="83"/>
      <c r="B205" s="84"/>
      <c r="C205" s="85"/>
      <c r="D205" s="86"/>
      <c r="E205" s="87"/>
      <c r="F205" s="88"/>
      <c r="G205" s="89"/>
      <c r="H205" s="87"/>
      <c r="I205" s="120"/>
      <c r="J205" s="119"/>
      <c r="K205" s="114"/>
    </row>
    <row r="206" spans="1:11" s="51" customFormat="1" ht="12.75" outlineLevel="2">
      <c r="A206" s="99"/>
      <c r="B206" s="84" t="s">
        <v>1637</v>
      </c>
      <c r="C206" s="85"/>
      <c r="D206" s="86">
        <f>E206/K$2*10000</f>
        <v>2.7500098398789582E-2</v>
      </c>
      <c r="E206" s="87">
        <v>0.32</v>
      </c>
      <c r="F206" s="88">
        <f>SUM(F207:F208)</f>
        <v>0</v>
      </c>
      <c r="G206" s="88">
        <f t="shared" ref="G206:H206" si="97">SUM(G207:G208)</f>
        <v>0</v>
      </c>
      <c r="H206" s="88">
        <f t="shared" si="97"/>
        <v>0</v>
      </c>
      <c r="I206" s="107"/>
      <c r="J206" s="119"/>
      <c r="K206" s="114"/>
    </row>
    <row r="207" spans="1:11" s="51" customFormat="1" ht="12.75" outlineLevel="3">
      <c r="A207" s="83"/>
      <c r="B207" s="84"/>
      <c r="C207" s="85"/>
      <c r="D207" s="86"/>
      <c r="E207" s="87"/>
      <c r="F207" s="88"/>
      <c r="G207" s="89"/>
      <c r="H207" s="87"/>
      <c r="I207" s="120"/>
      <c r="J207" s="119"/>
      <c r="K207" s="114"/>
    </row>
    <row r="208" spans="1:11" s="51" customFormat="1" ht="12.75" outlineLevel="3">
      <c r="A208" s="83"/>
      <c r="B208" s="84"/>
      <c r="C208" s="85"/>
      <c r="D208" s="86"/>
      <c r="E208" s="87"/>
      <c r="F208" s="88"/>
      <c r="G208" s="89"/>
      <c r="H208" s="87"/>
      <c r="I208" s="120"/>
      <c r="J208" s="119"/>
      <c r="K208" s="114"/>
    </row>
    <row r="209" spans="1:11" s="51" customFormat="1" ht="24" outlineLevel="2">
      <c r="A209" s="99"/>
      <c r="B209" s="84" t="s">
        <v>1638</v>
      </c>
      <c r="C209" s="85"/>
      <c r="D209" s="86">
        <f>E209/K$2*10000</f>
        <v>1.4856670346523584</v>
      </c>
      <c r="E209" s="87">
        <v>17.287700000000001</v>
      </c>
      <c r="F209" s="88">
        <f>SUM(F210:F212)</f>
        <v>81518.990000000005</v>
      </c>
      <c r="G209" s="88">
        <f t="shared" ref="G209:H209" si="98">SUM(G210:G212)</f>
        <v>0.70055632699060755</v>
      </c>
      <c r="H209" s="88">
        <f t="shared" ca="1" si="98"/>
        <v>81518.990000000005</v>
      </c>
      <c r="I209" s="107"/>
      <c r="J209" s="119"/>
      <c r="K209" s="114"/>
    </row>
    <row r="210" spans="1:11" s="52" customFormat="1" ht="12.75" outlineLevel="3">
      <c r="A210" s="103" t="s">
        <v>230</v>
      </c>
      <c r="B210" s="77" t="str">
        <f>IF(A210&lt;&gt;0,VLOOKUP(A210,合同台帐!$A$4:$D$195,4,1),"")</f>
        <v>前置面积测量（一期）</v>
      </c>
      <c r="C210" s="78"/>
      <c r="D210" s="79"/>
      <c r="E210" s="80"/>
      <c r="F210" s="81">
        <f>IF(A210&lt;&gt;0,IF(VLOOKUP(A210,合同台帐!$A$4:$G$195,7,1),IF($H$2="元",VLOOKUP(A210,合同台帐!$A$4:$G$195,7,1),VLOOKUP(A210,合同台帐!$A$4:$G$195,7,1)),IF($H$2="元",VLOOKUP(A210,合同台帐!$A$4:$F$195,6,1),VLOOKUP(A210,合同台帐!$A$4:$F$195,6,1))),0)</f>
        <v>80518.990000000005</v>
      </c>
      <c r="G210" s="82">
        <f t="shared" ref="G210" si="99">F210/K$2</f>
        <v>0.69196254624098585</v>
      </c>
      <c r="H210" s="80">
        <f ca="1">IF(A210&lt;&gt;0,IF($H$2="元",VLOOKUP(A210,合同台帐!$A$4:$K$1093,11,1),VLOOKUP(A210,合同台帐!$A$4:$K$1093,11,1)),0)</f>
        <v>80518.990000000005</v>
      </c>
      <c r="I210" s="107"/>
      <c r="J210" s="117"/>
      <c r="K210" s="122"/>
    </row>
    <row r="211" spans="1:11" s="52" customFormat="1" ht="12.75" outlineLevel="3">
      <c r="A211" s="103" t="s">
        <v>293</v>
      </c>
      <c r="B211" s="77" t="str">
        <f>IF(A211&lt;&gt;0,VLOOKUP(A211,合同台帐!$A$4:$D$195,4,1),"")</f>
        <v>前置测量购买本册费（一期）</v>
      </c>
      <c r="C211" s="78"/>
      <c r="D211" s="79"/>
      <c r="E211" s="80"/>
      <c r="F211" s="81">
        <f>IF(A211&lt;&gt;0,IF(VLOOKUP(A211,合同台帐!$A$4:$G$195,7,1),IF($H$2="元",VLOOKUP(A211,合同台帐!$A$4:$G$195,7,1),VLOOKUP(A211,合同台帐!$A$4:$G$195,7,1)),IF($H$2="元",VLOOKUP(A211,合同台帐!$A$4:$F$195,6,1),VLOOKUP(A211,合同台帐!$A$4:$F$195,6,1))),0)</f>
        <v>1000</v>
      </c>
      <c r="G211" s="82">
        <f t="shared" ref="G211" si="100">F211/K$2</f>
        <v>8.5937807496217454E-3</v>
      </c>
      <c r="H211" s="80">
        <f ca="1">IF(A211&lt;&gt;0,IF($H$2="元",VLOOKUP(A211,合同台帐!$A$4:$K$1093,11,1),VLOOKUP(A211,合同台帐!$A$4:$K$1093,11,1)),0)</f>
        <v>1000</v>
      </c>
      <c r="I211" s="107"/>
      <c r="J211" s="117"/>
      <c r="K211" s="122"/>
    </row>
    <row r="212" spans="1:11" s="51" customFormat="1" ht="12.75" outlineLevel="3">
      <c r="A212" s="83"/>
      <c r="B212" s="84"/>
      <c r="C212" s="85"/>
      <c r="D212" s="86"/>
      <c r="E212" s="87"/>
      <c r="F212" s="88"/>
      <c r="G212" s="89"/>
      <c r="H212" s="87"/>
      <c r="I212" s="120"/>
      <c r="J212" s="119"/>
      <c r="K212" s="114"/>
    </row>
    <row r="213" spans="1:11" s="51" customFormat="1" ht="12.75" outlineLevel="2">
      <c r="A213" s="99"/>
      <c r="B213" s="84" t="s">
        <v>1639</v>
      </c>
      <c r="C213" s="85"/>
      <c r="D213" s="86">
        <f>E213/K$2*10000</f>
        <v>2.8584031964739371</v>
      </c>
      <c r="E213" s="87">
        <v>33.261299999999999</v>
      </c>
      <c r="F213" s="88">
        <f>SUM(F214:F217)</f>
        <v>129102.55</v>
      </c>
      <c r="G213" s="88">
        <f t="shared" ref="G213:H213" si="101">SUM(G214:G217)</f>
        <v>1.109479008917079</v>
      </c>
      <c r="H213" s="88">
        <f t="shared" ca="1" si="101"/>
        <v>77563.17</v>
      </c>
      <c r="I213" s="107"/>
      <c r="J213" s="119"/>
      <c r="K213" s="114"/>
    </row>
    <row r="214" spans="1:11" s="52" customFormat="1" ht="24" outlineLevel="3">
      <c r="A214" s="103" t="s">
        <v>313</v>
      </c>
      <c r="B214" s="77" t="str">
        <f>IF(A214&lt;&gt;0,VLOOKUP(A214,合同台帐!$A$4:$D$195,4,1),"")</f>
        <v>房屋转让手续费（一期22个楼）产权登记</v>
      </c>
      <c r="C214" s="78"/>
      <c r="D214" s="79"/>
      <c r="E214" s="80"/>
      <c r="F214" s="81">
        <f>IF(A214&lt;&gt;0,IF(VLOOKUP(A214,合同台帐!$A$4:$G$195,7,1),IF($H$2="元",VLOOKUP(A214,合同台帐!$A$4:$G$195,7,1),VLOOKUP(A214,合同台帐!$A$4:$G$195,7,1)),IF($H$2="元",VLOOKUP(A214,合同台帐!$A$4:$F$195,6,1),VLOOKUP(A214,合同台帐!$A$4:$F$195,6,1))),0)</f>
        <v>77563.17</v>
      </c>
      <c r="G214" s="82">
        <f t="shared" ref="G214" si="102">F214/K$2</f>
        <v>0.66656087722563884</v>
      </c>
      <c r="H214" s="80">
        <f ca="1">IF(A214&lt;&gt;0,IF($H$2="元",VLOOKUP(A214,合同台帐!$A$4:$K$1093,11,1),VLOOKUP(A214,合同台帐!$A$4:$K$1093,11,1)),0)</f>
        <v>77563.17</v>
      </c>
      <c r="I214" s="107"/>
      <c r="J214" s="117"/>
      <c r="K214" s="122"/>
    </row>
    <row r="215" spans="1:11" s="52" customFormat="1" ht="24" outlineLevel="3">
      <c r="A215" s="105" t="s">
        <v>885</v>
      </c>
      <c r="B215" s="77" t="str">
        <f>IF(A215&lt;&gt;0,VLOOKUP(A215,合同台帐!$A$4:$D$195,4,1),"")</f>
        <v>房屋转让手续费（一期6个楼）产权登记</v>
      </c>
      <c r="C215" s="78"/>
      <c r="D215" s="79"/>
      <c r="E215" s="80"/>
      <c r="F215" s="81">
        <f>IF(A215&lt;&gt;0,IF(VLOOKUP(A215,合同台帐!$A$4:$G$195,7,1),IF($H$2="元",VLOOKUP(A215,合同台帐!$A$4:$G$195,7,1),VLOOKUP(A215,合同台帐!$A$4:$G$195,7,1)),IF($H$2="元",VLOOKUP(A215,合同台帐!$A$4:$F$195,6,1),VLOOKUP(A215,合同台帐!$A$4:$F$195,6,1))),0)</f>
        <v>20569.8</v>
      </c>
      <c r="G215" s="82">
        <f t="shared" ref="G215" si="103">F215/K$2</f>
        <v>0.17677235126356936</v>
      </c>
      <c r="H215" s="80">
        <f ca="1">IF(A215&lt;&gt;0,IF($H$2="元",VLOOKUP(A215,合同台帐!$A$4:$K$1093,11,1),VLOOKUP(A215,合同台帐!$A$4:$K$1093,11,1)),0)</f>
        <v>0</v>
      </c>
      <c r="I215" s="107"/>
      <c r="J215" s="117"/>
      <c r="K215" s="122"/>
    </row>
    <row r="216" spans="1:11" s="52" customFormat="1" ht="12.75" outlineLevel="3">
      <c r="A216" s="104" t="s">
        <v>907</v>
      </c>
      <c r="B216" s="77" t="str">
        <f>IF(A216&lt;&gt;0,VLOOKUP(A216,合同台帐!$A$4:$D$195,4,1),"")</f>
        <v>房屋转让手续费（一期10个楼）</v>
      </c>
      <c r="C216" s="78"/>
      <c r="D216" s="79"/>
      <c r="E216" s="80"/>
      <c r="F216" s="81">
        <f>IF(A216&lt;&gt;0,IF(VLOOKUP(A216,合同台帐!$A$4:$G$195,7,1),IF($H$2="元",VLOOKUP(A216,合同台帐!$A$4:$G$195,7,1),VLOOKUP(A216,合同台帐!$A$4:$G$195,7,1)),IF($H$2="元",VLOOKUP(A216,合同台帐!$A$4:$F$195,6,1),VLOOKUP(A216,合同台帐!$A$4:$F$195,6,1))),0)</f>
        <v>30969.58</v>
      </c>
      <c r="G216" s="82">
        <f t="shared" ref="G216" si="104">F216/K$2</f>
        <v>0.26614578042787063</v>
      </c>
      <c r="H216" s="80">
        <f ca="1">IF(A216&lt;&gt;0,IF($H$2="元",VLOOKUP(A216,合同台帐!$A$4:$K$1093,11,1),VLOOKUP(A216,合同台帐!$A$4:$K$1093,11,1)),0)</f>
        <v>0</v>
      </c>
      <c r="I216" s="107"/>
      <c r="J216" s="117"/>
      <c r="K216" s="122"/>
    </row>
    <row r="217" spans="1:11" s="51" customFormat="1" ht="12.75" outlineLevel="3">
      <c r="A217" s="83"/>
      <c r="B217" s="84"/>
      <c r="C217" s="85"/>
      <c r="D217" s="86"/>
      <c r="E217" s="87"/>
      <c r="F217" s="88"/>
      <c r="G217" s="89"/>
      <c r="H217" s="87"/>
      <c r="I217" s="120"/>
      <c r="J217" s="119"/>
      <c r="K217" s="114"/>
    </row>
    <row r="218" spans="1:11" ht="12.75" outlineLevel="1">
      <c r="A218" s="72"/>
      <c r="B218" s="73" t="s">
        <v>1640</v>
      </c>
      <c r="C218" s="74" t="s">
        <v>1608</v>
      </c>
      <c r="D218" s="90"/>
      <c r="E218" s="91">
        <v>0</v>
      </c>
      <c r="F218" s="92">
        <f t="shared" ref="F218:K218" si="105">SUM(F219:F226)</f>
        <v>1520</v>
      </c>
      <c r="G218" s="92">
        <f t="shared" si="105"/>
        <v>1.306254673942505E-2</v>
      </c>
      <c r="H218" s="92">
        <f t="shared" ca="1" si="105"/>
        <v>1520</v>
      </c>
      <c r="I218" s="92">
        <f t="shared" si="105"/>
        <v>0</v>
      </c>
      <c r="J218" s="92">
        <f t="shared" si="105"/>
        <v>0</v>
      </c>
      <c r="K218" s="92">
        <f t="shared" si="105"/>
        <v>0</v>
      </c>
    </row>
    <row r="219" spans="1:11" s="52" customFormat="1" ht="12.75" outlineLevel="3">
      <c r="A219" s="103" t="s">
        <v>139</v>
      </c>
      <c r="B219" s="128" t="str">
        <f>IF(A219&lt;&gt;0,VLOOKUP(A219,合同台帐!$A$4:$D$195,4,1),"")</f>
        <v>技术服务费《2014年造价信息参考》</v>
      </c>
      <c r="C219" s="78"/>
      <c r="D219" s="79"/>
      <c r="E219" s="80"/>
      <c r="F219" s="81">
        <f>IF(A219&lt;&gt;0,IF(VLOOKUP(A219,合同台帐!$A$4:$G$195,7,1),IF($H$2="元",VLOOKUP(A219,合同台帐!$A$4:$G$195,7,1),VLOOKUP(A219,合同台帐!$A$4:$G$195,7,1)),IF($H$2="元",VLOOKUP(A219,合同台帐!$A$4:$F$195,6,1),VLOOKUP(A219,合同台帐!$A$4:$F$195,6,1))),0)</f>
        <v>320</v>
      </c>
      <c r="G219" s="82">
        <f t="shared" ref="G219:G220" si="106">F219/K$2</f>
        <v>2.7500098398789584E-3</v>
      </c>
      <c r="H219" s="80">
        <f ca="1">IF(A219&lt;&gt;0,IF($H$2="元",VLOOKUP(A219,合同台帐!$A$4:$K$1093,11,1),VLOOKUP(A219,合同台帐!$A$4:$K$1093,11,1)),0)</f>
        <v>320</v>
      </c>
      <c r="I219" s="107"/>
      <c r="J219" s="117"/>
      <c r="K219" s="122"/>
    </row>
    <row r="220" spans="1:11" s="52" customFormat="1" ht="12.75" outlineLevel="3">
      <c r="A220" s="103" t="s">
        <v>141</v>
      </c>
      <c r="B220" s="128" t="str">
        <f>IF(A220&lt;&gt;0,VLOOKUP(A220,合同台帐!$A$4:$D$195,4,1),"")</f>
        <v>技术咨询费《2014年工程造价信息》</v>
      </c>
      <c r="C220" s="78"/>
      <c r="D220" s="79"/>
      <c r="E220" s="80"/>
      <c r="F220" s="81">
        <f>IF(A220&lt;&gt;0,IF(VLOOKUP(A220,合同台帐!$A$4:$G$195,7,1),IF($H$2="元",VLOOKUP(A220,合同台帐!$A$4:$G$195,7,1),VLOOKUP(A220,合同台帐!$A$4:$G$195,7,1)),IF($H$2="元",VLOOKUP(A220,合同台帐!$A$4:$F$195,6,1),VLOOKUP(A220,合同台帐!$A$4:$F$195,6,1))),0)</f>
        <v>840</v>
      </c>
      <c r="G220" s="82">
        <f t="shared" si="106"/>
        <v>7.2187758296822658E-3</v>
      </c>
      <c r="H220" s="80">
        <f ca="1">IF(A220&lt;&gt;0,IF($H$2="元",VLOOKUP(A220,合同台帐!$A$4:$K$1093,11,1),VLOOKUP(A220,合同台帐!$A$4:$K$1093,11,1)),0)</f>
        <v>840</v>
      </c>
      <c r="I220" s="107"/>
      <c r="J220" s="117"/>
      <c r="K220" s="122"/>
    </row>
    <row r="221" spans="1:11" s="52" customFormat="1" ht="12.75" outlineLevel="3">
      <c r="A221" s="103" t="s">
        <v>250</v>
      </c>
      <c r="B221" s="128" t="str">
        <f>IF(A221&lt;&gt;0,VLOOKUP(A221,合同台帐!$A$4:$D$195,4,1),"")</f>
        <v>图纸复印费</v>
      </c>
      <c r="C221" s="78"/>
      <c r="D221" s="79"/>
      <c r="E221" s="80"/>
      <c r="F221" s="81">
        <f>IF(A221&lt;&gt;0,IF(VLOOKUP(A221,合同台帐!$A$4:$G$195,7,1),IF($H$2="元",VLOOKUP(A221,合同台帐!$A$4:$G$195,7,1),VLOOKUP(A221,合同台帐!$A$4:$G$195,7,1)),IF($H$2="元",VLOOKUP(A221,合同台帐!$A$4:$F$195,6,1),VLOOKUP(A221,合同台帐!$A$4:$F$195,6,1))),0)</f>
        <v>240</v>
      </c>
      <c r="G221" s="82">
        <f t="shared" ref="G221:G222" si="107">F221/K$2</f>
        <v>2.0625073799092185E-3</v>
      </c>
      <c r="H221" s="80">
        <f ca="1">IF(A221&lt;&gt;0,IF($H$2="元",VLOOKUP(A221,合同台帐!$A$4:$K$1093,11,1),VLOOKUP(A221,合同台帐!$A$4:$K$1093,11,1)),0)</f>
        <v>240</v>
      </c>
      <c r="I221" s="107"/>
      <c r="J221" s="117"/>
      <c r="K221" s="122"/>
    </row>
    <row r="222" spans="1:11" s="52" customFormat="1" ht="12.75" outlineLevel="3">
      <c r="A222" s="103" t="s">
        <v>1641</v>
      </c>
      <c r="B222" s="128" t="str">
        <f>IF(A222&lt;&gt;0,VLOOKUP(A222,合同台帐!$A$4:$D$195,4,1),"")</f>
        <v>图纸打印费</v>
      </c>
      <c r="C222" s="78"/>
      <c r="D222" s="79"/>
      <c r="E222" s="80"/>
      <c r="F222" s="81">
        <f>IF(A222&lt;&gt;0,IF(VLOOKUP(A222,合同台帐!$A$4:$G$195,7,1),IF($H$2="元",VLOOKUP(A222,合同台帐!$A$4:$G$195,7,1),VLOOKUP(A222,合同台帐!$A$4:$G$195,7,1)),IF($H$2="元",VLOOKUP(A222,合同台帐!$A$4:$F$195,6,1),VLOOKUP(A222,合同台帐!$A$4:$F$195,6,1))),0)</f>
        <v>120</v>
      </c>
      <c r="G222" s="82">
        <f t="shared" si="107"/>
        <v>1.0312536899546093E-3</v>
      </c>
      <c r="H222" s="80">
        <f ca="1">IF(A222&lt;&gt;0,IF($H$2="元",VLOOKUP(A222,合同台帐!$A$4:$K$1093,11,1),VLOOKUP(A222,合同台帐!$A$4:$K$1093,11,1)),0)</f>
        <v>120</v>
      </c>
      <c r="I222" s="107"/>
      <c r="J222" s="117"/>
      <c r="K222" s="122"/>
    </row>
    <row r="223" spans="1:11" s="52" customFormat="1" ht="12.75" outlineLevel="2">
      <c r="A223" s="105"/>
      <c r="B223" s="77" t="str">
        <f>IF(A223&lt;&gt;0,VLOOKUP(A223,合同台帐!$A$4:$D$195,4,1),"")</f>
        <v/>
      </c>
      <c r="C223" s="78"/>
      <c r="D223" s="79"/>
      <c r="E223" s="80"/>
      <c r="F223" s="81">
        <f>IF(A223&lt;&gt;0,IF(VLOOKUP(A223,合同台帐!$A$4:$G$195,7,1),IF($H$2="元",VLOOKUP(A223,合同台帐!$A$4:$G$195,7,1),VLOOKUP(A223,合同台帐!$A$4:$G$195,7,1)),IF($H$2="元",VLOOKUP(A223,合同台帐!$A$4:$F$195,6,1),VLOOKUP(A223,合同台帐!$A$4:$F$195,6,1))),0)</f>
        <v>0</v>
      </c>
      <c r="G223" s="82">
        <f t="shared" ref="G223:G226" si="108">F223/K$2</f>
        <v>0</v>
      </c>
      <c r="H223" s="80">
        <f>IF(A223&lt;&gt;0,IF($H$2="元",VLOOKUP(A223,合同台帐!$A$4:$K$1093,11,1),VLOOKUP(A223,合同台帐!$A$4:$K$1093,11,1)),0)</f>
        <v>0</v>
      </c>
      <c r="I223" s="107"/>
      <c r="J223" s="117"/>
      <c r="K223" s="122"/>
    </row>
    <row r="224" spans="1:11" s="52" customFormat="1" ht="12.75" outlineLevel="2">
      <c r="A224" s="105"/>
      <c r="B224" s="77" t="str">
        <f>IF(A224&lt;&gt;0,VLOOKUP(A224,合同台帐!$A$4:$D$195,4,1),"")</f>
        <v/>
      </c>
      <c r="C224" s="78"/>
      <c r="D224" s="79"/>
      <c r="E224" s="80"/>
      <c r="F224" s="81">
        <f>IF(A224&lt;&gt;0,IF(VLOOKUP(A224,合同台帐!$A$4:$G$195,7,1),IF($H$2="元",VLOOKUP(A224,合同台帐!$A$4:$G$195,7,1),VLOOKUP(A224,合同台帐!$A$4:$G$195,7,1)),IF($H$2="元",VLOOKUP(A224,合同台帐!$A$4:$F$195,6,1),VLOOKUP(A224,合同台帐!$A$4:$F$195,6,1))),0)</f>
        <v>0</v>
      </c>
      <c r="G224" s="82">
        <f t="shared" si="108"/>
        <v>0</v>
      </c>
      <c r="H224" s="80">
        <f>IF(A224&lt;&gt;0,IF($H$2="元",VLOOKUP(A224,合同台帐!$A$4:$K$1093,11,1),VLOOKUP(A224,合同台帐!$A$4:$K$1093,11,1)),0)</f>
        <v>0</v>
      </c>
      <c r="I224" s="107"/>
      <c r="J224" s="117"/>
      <c r="K224" s="122"/>
    </row>
    <row r="225" spans="1:11" s="52" customFormat="1" ht="12.75" outlineLevel="2">
      <c r="A225" s="105"/>
      <c r="B225" s="77" t="str">
        <f>IF(A225&lt;&gt;0,VLOOKUP(A225,合同台帐!$A$4:$D$195,4,1),"")</f>
        <v/>
      </c>
      <c r="C225" s="78"/>
      <c r="D225" s="79"/>
      <c r="E225" s="80"/>
      <c r="F225" s="81">
        <f>IF(A225&lt;&gt;0,IF(VLOOKUP(A225,合同台帐!$A$4:$G$195,7,1),IF($H$2="元",VLOOKUP(A225,合同台帐!$A$4:$G$195,7,1),VLOOKUP(A225,合同台帐!$A$4:$G$195,7,1)),IF($H$2="元",VLOOKUP(A225,合同台帐!$A$4:$F$195,6,1),VLOOKUP(A225,合同台帐!$A$4:$F$195,6,1))),0)</f>
        <v>0</v>
      </c>
      <c r="G225" s="82">
        <f t="shared" si="108"/>
        <v>0</v>
      </c>
      <c r="H225" s="80">
        <f>IF(A225&lt;&gt;0,IF($H$2="元",VLOOKUP(A225,合同台帐!$A$4:$K$1093,11,1),VLOOKUP(A225,合同台帐!$A$4:$K$1093,11,1)),0)</f>
        <v>0</v>
      </c>
      <c r="I225" s="107"/>
      <c r="J225" s="117"/>
      <c r="K225" s="122"/>
    </row>
    <row r="226" spans="1:11" s="52" customFormat="1" ht="12.75" outlineLevel="2">
      <c r="A226" s="105"/>
      <c r="B226" s="77" t="str">
        <f>IF(A226&lt;&gt;0,VLOOKUP(A226,合同台帐!$A$4:$D$195,4,1),"")</f>
        <v/>
      </c>
      <c r="C226" s="78"/>
      <c r="D226" s="79"/>
      <c r="E226" s="80"/>
      <c r="F226" s="81">
        <f>IF(A226&lt;&gt;0,IF(VLOOKUP(A226,合同台帐!$A$4:$G$195,7,1),IF($H$2="元",VLOOKUP(A226,合同台帐!$A$4:$G$195,7,1),VLOOKUP(A226,合同台帐!$A$4:$G$195,7,1)),IF($H$2="元",VLOOKUP(A226,合同台帐!$A$4:$F$195,6,1),VLOOKUP(A226,合同台帐!$A$4:$F$195,6,1))),0)</f>
        <v>0</v>
      </c>
      <c r="G226" s="82">
        <f t="shared" si="108"/>
        <v>0</v>
      </c>
      <c r="H226" s="80">
        <f>IF(A226&lt;&gt;0,IF($H$2="元",VLOOKUP(A226,合同台帐!$A$4:$K$1093,11,1),VLOOKUP(A226,合同台帐!$A$4:$K$1093,11,1)),0)</f>
        <v>0</v>
      </c>
      <c r="I226" s="107"/>
      <c r="J226" s="117"/>
      <c r="K226" s="122"/>
    </row>
    <row r="227" spans="1:11" s="50" customFormat="1" ht="12.75">
      <c r="A227" s="68"/>
      <c r="B227" s="69" t="s">
        <v>1642</v>
      </c>
      <c r="C227" s="70" t="s">
        <v>1643</v>
      </c>
      <c r="D227" s="113">
        <f t="shared" ref="D227:H227" si="109">D228+D257+D297+D322+D337+D344+D347</f>
        <v>3348.4060942968063</v>
      </c>
      <c r="E227" s="113">
        <f t="shared" si="109"/>
        <v>38963.131499999996</v>
      </c>
      <c r="F227" s="113">
        <f t="shared" si="109"/>
        <v>333158322</v>
      </c>
      <c r="G227" s="113">
        <f t="shared" si="109"/>
        <v>2863.0895741798822</v>
      </c>
      <c r="H227" s="113">
        <f t="shared" ca="1" si="109"/>
        <v>65824962.5</v>
      </c>
      <c r="I227" s="130">
        <f>F227-E227*10000</f>
        <v>-56472992.99999994</v>
      </c>
      <c r="J227" s="71">
        <f>G227-D227</f>
        <v>-485.31652011692404</v>
      </c>
      <c r="K227" s="114"/>
    </row>
    <row r="228" spans="1:11" ht="12.75" outlineLevel="1">
      <c r="A228" s="72"/>
      <c r="B228" s="73" t="s">
        <v>1644</v>
      </c>
      <c r="C228" s="74" t="s">
        <v>1645</v>
      </c>
      <c r="D228" s="92">
        <f t="shared" ref="D228:H228" si="110">D229+D232+D236+D239+D245+D248+D252</f>
        <v>101.4815849887963</v>
      </c>
      <c r="E228" s="92">
        <f t="shared" si="110"/>
        <v>1180.8724</v>
      </c>
      <c r="F228" s="92">
        <f t="shared" si="110"/>
        <v>8362141</v>
      </c>
      <c r="G228" s="92">
        <f t="shared" si="110"/>
        <v>71.86240635142272</v>
      </c>
      <c r="H228" s="92">
        <f t="shared" ca="1" si="110"/>
        <v>1899260</v>
      </c>
      <c r="I228" s="115">
        <f>F228-E228*10000</f>
        <v>-3446583</v>
      </c>
      <c r="J228" s="116">
        <f>G228-D228</f>
        <v>-29.619178637373579</v>
      </c>
      <c r="K228" s="114"/>
    </row>
    <row r="229" spans="1:11" ht="12.75" outlineLevel="2">
      <c r="A229" s="99"/>
      <c r="B229" s="84" t="s">
        <v>1646</v>
      </c>
      <c r="C229" s="85"/>
      <c r="D229" s="86">
        <f>E229/K$2*10000</f>
        <v>8.9313702388091354</v>
      </c>
      <c r="E229" s="87">
        <v>103.92829999999999</v>
      </c>
      <c r="F229" s="88">
        <f t="shared" ref="F229:H229" si="111">SUM(F230:F231)</f>
        <v>5764660</v>
      </c>
      <c r="G229" s="88">
        <f t="shared" si="111"/>
        <v>49.540224136114489</v>
      </c>
      <c r="H229" s="88">
        <f t="shared" ca="1" si="111"/>
        <v>0</v>
      </c>
      <c r="I229" s="107"/>
      <c r="J229" s="119"/>
      <c r="K229" s="114"/>
    </row>
    <row r="230" spans="1:11" s="52" customFormat="1" ht="12.75" outlineLevel="3">
      <c r="A230" s="105" t="s">
        <v>854</v>
      </c>
      <c r="B230" s="77" t="str">
        <f>IF(A230&lt;&gt;0,VLOOKUP(A230,合同台帐!$A$4:$D$195,4,1),"")</f>
        <v>三期桩基工程</v>
      </c>
      <c r="C230" s="78"/>
      <c r="D230" s="79"/>
      <c r="E230" s="80"/>
      <c r="F230" s="81">
        <f>IF(A230&lt;&gt;0,IF(VLOOKUP(A230,合同台帐!$A$4:$G$195,7,1),IF($H$2="元",VLOOKUP(A230,合同台帐!$A$4:$G$195,7,1),VLOOKUP(A230,合同台帐!$A$4:$G$195,7,1)),IF($H$2="元",VLOOKUP(A230,合同台帐!$A$4:$F$195,6,1),VLOOKUP(A230,合同台帐!$A$4:$F$195,6,1))),0)</f>
        <v>5764660</v>
      </c>
      <c r="G230" s="82">
        <f>F230/K$2</f>
        <v>49.540224136114489</v>
      </c>
      <c r="H230" s="80">
        <f ca="1">IF(A230&lt;&gt;0,IF($H$2="元",VLOOKUP(A230,合同台帐!$A$4:$K$1093,11,1),VLOOKUP(A230,合同台帐!$A$4:$K$1093,11,1)),0)</f>
        <v>0</v>
      </c>
      <c r="I230" s="107"/>
      <c r="J230" s="117"/>
      <c r="K230" s="122"/>
    </row>
    <row r="231" spans="1:11" s="51" customFormat="1" ht="12.75" outlineLevel="3">
      <c r="A231" s="83"/>
      <c r="B231" s="84"/>
      <c r="C231" s="85"/>
      <c r="D231" s="86"/>
      <c r="E231" s="87"/>
      <c r="F231" s="88"/>
      <c r="G231" s="89"/>
      <c r="H231" s="87">
        <f>IF(A231&lt;&gt;0,IF($H$2="元",VLOOKUP(A231,合同台帐!$A$4:$K$1093,11,1),VLOOKUP(A231,合同台帐!$A$4:$K$1093,11,1)),0)</f>
        <v>0</v>
      </c>
      <c r="I231" s="120"/>
      <c r="J231" s="119"/>
      <c r="K231" s="114"/>
    </row>
    <row r="232" spans="1:11" ht="12.75" outlineLevel="2">
      <c r="A232" s="99"/>
      <c r="B232" s="84" t="s">
        <v>1647</v>
      </c>
      <c r="C232" s="85"/>
      <c r="D232" s="86">
        <f>E232/K$2*10000</f>
        <v>0.534318318107732</v>
      </c>
      <c r="E232" s="87">
        <v>6.2175000000000002</v>
      </c>
      <c r="F232" s="88">
        <f>SUM(F233:F235)</f>
        <v>184940</v>
      </c>
      <c r="G232" s="88">
        <f t="shared" ref="G232:H232" si="112">SUM(G233:G235)</f>
        <v>1.5893338118350455</v>
      </c>
      <c r="H232" s="88">
        <f t="shared" ca="1" si="112"/>
        <v>0</v>
      </c>
      <c r="I232" s="107"/>
      <c r="J232" s="119"/>
      <c r="K232" s="114"/>
    </row>
    <row r="233" spans="1:11" s="52" customFormat="1" ht="12.75" outlineLevel="3">
      <c r="A233" s="104" t="s">
        <v>895</v>
      </c>
      <c r="B233" s="77" t="str">
        <f>IF(A233&lt;&gt;0,VLOOKUP(A233,合同台帐!$A$4:$D$195,4,1),"")</f>
        <v>三期桩基检测</v>
      </c>
      <c r="C233" s="78"/>
      <c r="D233" s="79"/>
      <c r="E233" s="80"/>
      <c r="F233" s="81">
        <f>IF(A233&lt;&gt;0,IF(VLOOKUP(A233,合同台帐!$A$4:$G$195,7,1),IF($H$2="元",VLOOKUP(A233,合同台帐!$A$4:$G$195,7,1),VLOOKUP(A233,合同台帐!$A$4:$G$195,7,1)),IF($H$2="元",VLOOKUP(A233,合同台帐!$A$4:$F$195,6,1),VLOOKUP(A233,合同台帐!$A$4:$F$195,6,1))),0)</f>
        <v>184940</v>
      </c>
      <c r="G233" s="82">
        <f>F233/K$2</f>
        <v>1.5893338118350455</v>
      </c>
      <c r="H233" s="80">
        <f ca="1">IF(A233&lt;&gt;0,IF($H$2="元",VLOOKUP(A233,合同台帐!$A$4:$K$1093,11,1),VLOOKUP(A233,合同台帐!$A$4:$K$1093,11,1)),0)</f>
        <v>0</v>
      </c>
      <c r="I233" s="107"/>
      <c r="J233" s="117"/>
      <c r="K233" s="122"/>
    </row>
    <row r="234" spans="1:11" ht="12.75" outlineLevel="3">
      <c r="A234" s="83"/>
      <c r="B234" s="84"/>
      <c r="C234" s="85"/>
      <c r="D234" s="86"/>
      <c r="E234" s="87"/>
      <c r="F234" s="88"/>
      <c r="G234" s="89"/>
      <c r="H234" s="87">
        <f>IF(A234&lt;&gt;0,IF($H$2="元",VLOOKUP(A234,合同台帐!$A$4:$K$1093,11,1),VLOOKUP(A234,合同台帐!$A$4:$K$1093,11,1)),0)</f>
        <v>0</v>
      </c>
      <c r="I234" s="120"/>
      <c r="J234" s="119"/>
      <c r="K234" s="114"/>
    </row>
    <row r="235" spans="1:11" ht="12.75" outlineLevel="3">
      <c r="A235" s="83"/>
      <c r="B235" s="84"/>
      <c r="C235" s="85"/>
      <c r="D235" s="86"/>
      <c r="E235" s="87"/>
      <c r="F235" s="88"/>
      <c r="G235" s="89"/>
      <c r="H235" s="87">
        <f>IF(A235&lt;&gt;0,IF($H$2="元",VLOOKUP(A235,合同台帐!$A$4:$K$1093,11,1),VLOOKUP(A235,合同台帐!$A$4:$K$1093,11,1)),0)</f>
        <v>0</v>
      </c>
      <c r="I235" s="120"/>
      <c r="J235" s="119"/>
      <c r="K235" s="114"/>
    </row>
    <row r="236" spans="1:11" ht="12.75" outlineLevel="2">
      <c r="A236" s="99"/>
      <c r="B236" s="84" t="s">
        <v>1648</v>
      </c>
      <c r="C236" s="85"/>
      <c r="D236" s="86">
        <f>E236/K$2*10000</f>
        <v>19.999996562487702</v>
      </c>
      <c r="E236" s="87">
        <v>232.72640000000001</v>
      </c>
      <c r="F236" s="88">
        <f>SUM(F237:F238)</f>
        <v>0</v>
      </c>
      <c r="G236" s="88">
        <f t="shared" ref="G236:H236" si="113">SUM(G237:G238)</f>
        <v>0</v>
      </c>
      <c r="H236" s="88">
        <f t="shared" si="113"/>
        <v>0</v>
      </c>
      <c r="I236" s="107"/>
      <c r="J236" s="119"/>
      <c r="K236" s="114"/>
    </row>
    <row r="237" spans="1:11" s="51" customFormat="1" ht="16.5" customHeight="1" outlineLevel="3">
      <c r="A237" s="102"/>
      <c r="B237" s="84" t="str">
        <f>IF(A237&lt;&gt;0,VLOOKUP(A237,合同台帐!$A$4:$D$893,4,1),"")</f>
        <v/>
      </c>
      <c r="C237" s="85"/>
      <c r="D237" s="86"/>
      <c r="E237" s="87"/>
      <c r="F237" s="88" t="str">
        <f>IF(A237&lt;&gt;0,VLOOKUP(A237,合同台帐!$A$4:$J$893,6,1),"")</f>
        <v/>
      </c>
      <c r="G237" s="89"/>
      <c r="H237" s="87">
        <f>IF(A237&lt;&gt;0,IF($H$2="元",VLOOKUP(A237,合同台帐!$A$4:$K$1093,11,1),VLOOKUP(A237,合同台帐!$A$4:$K$1093,11,1)),0)</f>
        <v>0</v>
      </c>
      <c r="I237" s="88"/>
      <c r="J237" s="119"/>
      <c r="K237" s="114"/>
    </row>
    <row r="238" spans="1:11" s="51" customFormat="1" ht="16.5" customHeight="1" outlineLevel="3">
      <c r="A238" s="102"/>
      <c r="B238" s="84"/>
      <c r="C238" s="85"/>
      <c r="D238" s="86"/>
      <c r="E238" s="87"/>
      <c r="F238" s="88"/>
      <c r="G238" s="89"/>
      <c r="H238" s="87"/>
      <c r="I238" s="120"/>
      <c r="J238" s="119"/>
      <c r="K238" s="114"/>
    </row>
    <row r="239" spans="1:11" ht="12.75" outlineLevel="2">
      <c r="A239" s="99"/>
      <c r="B239" s="84" t="s">
        <v>1649</v>
      </c>
      <c r="C239" s="85"/>
      <c r="D239" s="86">
        <f>E239/K$2*10000</f>
        <v>25.000004296890374</v>
      </c>
      <c r="E239" s="87">
        <v>290.90809999999999</v>
      </c>
      <c r="F239" s="88">
        <f>SUM(F240:F244)</f>
        <v>1916178</v>
      </c>
      <c r="G239" s="88">
        <f t="shared" ref="G239:H239" si="114">SUM(G240:G244)</f>
        <v>16.467213609248695</v>
      </c>
      <c r="H239" s="88">
        <f t="shared" ca="1" si="114"/>
        <v>1486000</v>
      </c>
      <c r="I239" s="107"/>
      <c r="J239" s="119"/>
      <c r="K239" s="114"/>
    </row>
    <row r="240" spans="1:11" s="52" customFormat="1" ht="12.75" outlineLevel="3">
      <c r="A240" s="103" t="s">
        <v>254</v>
      </c>
      <c r="B240" s="77" t="str">
        <f>IF(A240&lt;&gt;0,VLOOKUP(A240,合同台帐!$A$4:$D$195,4,1),"")</f>
        <v>示范区强夯工程合同</v>
      </c>
      <c r="C240" s="78"/>
      <c r="D240" s="79"/>
      <c r="E240" s="80"/>
      <c r="F240" s="81">
        <f>IF(A240&lt;&gt;0,IF(VLOOKUP(A240,合同台帐!$A$4:$G$195,7,1),IF($H$2="元",VLOOKUP(A240,合同台帐!$A$4:$G$195,7,1),VLOOKUP(A240,合同台帐!$A$4:$G$195,7,1)),IF($H$2="元",VLOOKUP(A240,合同台帐!$A$4:$F$195,6,1),VLOOKUP(A240,合同台帐!$A$4:$F$195,6,1))),0)</f>
        <v>748148</v>
      </c>
      <c r="G240" s="82">
        <f t="shared" ref="G240" si="115">F240/K$2</f>
        <v>6.4294198802680089</v>
      </c>
      <c r="H240" s="80">
        <f ca="1">IF(A240&lt;&gt;0,IF($H$2="元",VLOOKUP(A240,合同台帐!$A$4:$K$1093,11,1),VLOOKUP(A240,合同台帐!$A$4:$K$1093,11,1)),0)</f>
        <v>678130</v>
      </c>
      <c r="I240" s="107"/>
      <c r="J240" s="117"/>
      <c r="K240" s="122"/>
    </row>
    <row r="241" spans="1:11" s="52" customFormat="1" ht="12.75" outlineLevel="3">
      <c r="A241" s="103" t="s">
        <v>1650</v>
      </c>
      <c r="B241" s="77" t="str">
        <f>IF(A241&lt;&gt;0,VLOOKUP(A241,合同台帐!$A$4:$D$195,4,1),"")</f>
        <v>一期强夯工程补充合同</v>
      </c>
      <c r="C241" s="78"/>
      <c r="D241" s="79"/>
      <c r="E241" s="80"/>
      <c r="F241" s="81">
        <f>IF(A241&lt;&gt;0,IF(VLOOKUP(A241,合同台帐!$A$4:$G$195,7,1),IF($H$2="元",VLOOKUP(A241,合同台帐!$A$4:$G$195,7,1),VLOOKUP(A241,合同台帐!$A$4:$G$195,7,1)),IF($H$2="元",VLOOKUP(A241,合同台帐!$A$4:$F$195,6,1),VLOOKUP(A241,合同台帐!$A$4:$F$195,6,1))),0)</f>
        <v>967950</v>
      </c>
      <c r="G241" s="82">
        <f t="shared" ref="G241" si="116">F241/K$2</f>
        <v>8.3183500765963672</v>
      </c>
      <c r="H241" s="80">
        <f ca="1">IF(A241&lt;&gt;0,IF($H$2="元",VLOOKUP(A241,合同台帐!$A$4:$K$1093,11,1),VLOOKUP(A241,合同台帐!$A$4:$K$1093,11,1)),0)</f>
        <v>807870</v>
      </c>
      <c r="I241" s="107"/>
      <c r="J241" s="117"/>
      <c r="K241" s="122"/>
    </row>
    <row r="242" spans="1:11" s="52" customFormat="1" ht="12.75" outlineLevel="3">
      <c r="A242" s="103" t="s">
        <v>686</v>
      </c>
      <c r="B242" s="77" t="str">
        <f>IF(A242&lt;&gt;0,VLOOKUP(A242,合同台帐!$A$4:$D$195,4,1),"")</f>
        <v>一期工程强夯检测（一期）</v>
      </c>
      <c r="C242" s="78"/>
      <c r="D242" s="79"/>
      <c r="E242" s="80"/>
      <c r="F242" s="81">
        <f>IF(A242&lt;&gt;0,IF(VLOOKUP(A242,合同台帐!$A$4:$G$195,7,1),IF($H$2="元",VLOOKUP(A242,合同台帐!$A$4:$G$195,7,1),VLOOKUP(A242,合同台帐!$A$4:$G$195,7,1)),IF($H$2="元",VLOOKUP(A242,合同台帐!$A$4:$F$195,6,1),VLOOKUP(A242,合同台帐!$A$4:$F$195,6,1))),0)</f>
        <v>150000</v>
      </c>
      <c r="G242" s="82">
        <f t="shared" ref="G242" si="117">F242/K$2</f>
        <v>1.2890671124432618</v>
      </c>
      <c r="H242" s="80">
        <f ca="1">IF(A242&lt;&gt;0,IF($H$2="元",VLOOKUP(A242,合同台帐!$A$4:$K$1093,11,1),VLOOKUP(A242,合同台帐!$A$4:$K$1093,11,1)),0)</f>
        <v>0</v>
      </c>
      <c r="I242" s="107"/>
      <c r="J242" s="117"/>
      <c r="K242" s="122"/>
    </row>
    <row r="243" spans="1:11" s="52" customFormat="1" ht="12.75" outlineLevel="3">
      <c r="A243" s="103" t="s">
        <v>899</v>
      </c>
      <c r="B243" s="77" t="str">
        <f>IF(A243&lt;&gt;0,VLOOKUP(A243,合同台帐!$A$4:$D$195,4,1),"")</f>
        <v>二期强夯检测</v>
      </c>
      <c r="C243" s="78"/>
      <c r="D243" s="79"/>
      <c r="E243" s="80"/>
      <c r="F243" s="81">
        <f>IF(A243&lt;&gt;0,IF(VLOOKUP(A243,合同台帐!$A$4:$G$195,7,1),IF($H$2="元",VLOOKUP(A243,合同台帐!$A$4:$G$195,7,1),VLOOKUP(A243,合同台帐!$A$4:$G$195,7,1)),IF($H$2="元",VLOOKUP(A243,合同台帐!$A$4:$F$195,6,1),VLOOKUP(A243,合同台帐!$A$4:$F$195,6,1))),0)</f>
        <v>50080</v>
      </c>
      <c r="G243" s="82">
        <f t="shared" ref="G243" si="118">F243/K$2</f>
        <v>0.43037653994105696</v>
      </c>
      <c r="H243" s="80">
        <f ca="1">IF(A243&lt;&gt;0,IF($H$2="元",VLOOKUP(A243,合同台帐!$A$4:$K$1093,11,1),VLOOKUP(A243,合同台帐!$A$4:$K$1093,11,1)),0)</f>
        <v>0</v>
      </c>
      <c r="I243" s="107"/>
      <c r="J243" s="117"/>
      <c r="K243" s="122"/>
    </row>
    <row r="244" spans="1:11" s="52" customFormat="1" ht="12.75" outlineLevel="3">
      <c r="A244" s="105"/>
      <c r="B244" s="77"/>
      <c r="C244" s="78"/>
      <c r="D244" s="79"/>
      <c r="E244" s="80"/>
      <c r="F244" s="81"/>
      <c r="G244" s="82"/>
      <c r="H244" s="124"/>
      <c r="I244" s="107"/>
      <c r="J244" s="117"/>
      <c r="K244" s="122"/>
    </row>
    <row r="245" spans="1:11" ht="12.75" outlineLevel="2">
      <c r="A245" s="99"/>
      <c r="B245" s="84" t="s">
        <v>1651</v>
      </c>
      <c r="C245" s="85"/>
      <c r="D245" s="86">
        <f>E245/K$2*10000</f>
        <v>43.499999398435349</v>
      </c>
      <c r="E245" s="87">
        <v>506.18</v>
      </c>
      <c r="F245" s="88">
        <f>SUM(F246:F247)</f>
        <v>0</v>
      </c>
      <c r="G245" s="88">
        <f t="shared" ref="G245:H245" si="119">SUM(G246:G247)</f>
        <v>0</v>
      </c>
      <c r="H245" s="88">
        <f t="shared" si="119"/>
        <v>0</v>
      </c>
      <c r="I245" s="107"/>
      <c r="J245" s="119"/>
      <c r="K245" s="114"/>
    </row>
    <row r="246" spans="1:11" s="51" customFormat="1" ht="16.5" customHeight="1" outlineLevel="3">
      <c r="A246" s="102"/>
      <c r="B246" s="84" t="str">
        <f>IF(A246&lt;&gt;0,VLOOKUP(A246,合同台帐!$A$4:$D$893,4,1),"")</f>
        <v/>
      </c>
      <c r="C246" s="85"/>
      <c r="D246" s="86"/>
      <c r="E246" s="87"/>
      <c r="F246" s="88" t="str">
        <f>IF(A246&lt;&gt;0,VLOOKUP(A246,合同台帐!$A$4:$J$893,6,1),"")</f>
        <v/>
      </c>
      <c r="G246" s="89"/>
      <c r="H246" s="87">
        <f>IF(A246&lt;&gt;0,IF($H$2="元",VLOOKUP(A246,合同台帐!$A$4:$K$1093,11,1),VLOOKUP(A246,合同台帐!$A$4:$K$1093,11,1)),0)</f>
        <v>0</v>
      </c>
      <c r="I246" s="88"/>
      <c r="J246" s="119"/>
      <c r="K246" s="114"/>
    </row>
    <row r="247" spans="1:11" s="51" customFormat="1" ht="12.75" outlineLevel="3">
      <c r="A247" s="83"/>
      <c r="B247" s="84"/>
      <c r="C247" s="85"/>
      <c r="D247" s="86"/>
      <c r="E247" s="87"/>
      <c r="F247" s="88"/>
      <c r="G247" s="89"/>
      <c r="H247" s="87">
        <f>IF(A247&lt;&gt;0,IF($H$2="元",VLOOKUP(A247,合同台帐!$A$4:$K$1093,11,1),VLOOKUP(A247,合同台帐!$A$4:$K$1093,11,1)),0)</f>
        <v>0</v>
      </c>
      <c r="I247" s="120"/>
      <c r="J247" s="119"/>
      <c r="K247" s="114"/>
    </row>
    <row r="248" spans="1:11" ht="12.75" outlineLevel="2">
      <c r="A248" s="99"/>
      <c r="B248" s="84" t="s">
        <v>1652</v>
      </c>
      <c r="C248" s="85"/>
      <c r="D248" s="86">
        <f>E248/K$2*10000</f>
        <v>0.71589631156648981</v>
      </c>
      <c r="E248" s="87">
        <v>8.3303999999999991</v>
      </c>
      <c r="F248" s="88">
        <f>SUM(F249:F251)</f>
        <v>83103</v>
      </c>
      <c r="G248" s="88">
        <f t="shared" ref="G248:H248" si="120">SUM(G249:G251)</f>
        <v>0.71416896163581589</v>
      </c>
      <c r="H248" s="88">
        <f t="shared" ca="1" si="120"/>
        <v>0</v>
      </c>
      <c r="I248" s="107"/>
      <c r="J248" s="119"/>
      <c r="K248" s="114"/>
    </row>
    <row r="249" spans="1:11" s="52" customFormat="1" ht="12.75" outlineLevel="3">
      <c r="A249" s="103" t="s">
        <v>709</v>
      </c>
      <c r="B249" s="77" t="str">
        <f>IF(A249&lt;&gt;0,VLOOKUP(A249,合同台帐!$A$4:$D$195,4,1),"")</f>
        <v>沉降观测合同</v>
      </c>
      <c r="C249" s="78"/>
      <c r="D249" s="79"/>
      <c r="E249" s="80"/>
      <c r="F249" s="81">
        <f>IF(A249&lt;&gt;0,IF(VLOOKUP(A249,合同台帐!$A$4:$G$195,7,1),IF($H$2="元",VLOOKUP(A249,合同台帐!$A$4:$G$195,7,1),VLOOKUP(A249,合同台帐!$A$4:$G$195,7,1)),IF($H$2="元",VLOOKUP(A249,合同台帐!$A$4:$F$195,6,1),VLOOKUP(A249,合同台帐!$A$4:$F$195,6,1))),0)</f>
        <v>83103</v>
      </c>
      <c r="G249" s="82">
        <f t="shared" ref="G249" si="121">F249/K$2</f>
        <v>0.71416896163581589</v>
      </c>
      <c r="H249" s="80">
        <f ca="1">IF(A249&lt;&gt;0,IF($H$2="元",VLOOKUP(A249,合同台帐!$A$4:$K$1093,11,1),VLOOKUP(A249,合同台帐!$A$4:$K$1093,11,1)),0)</f>
        <v>0</v>
      </c>
      <c r="I249" s="107"/>
      <c r="J249" s="117"/>
      <c r="K249" s="122"/>
    </row>
    <row r="250" spans="1:11" ht="12.75" outlineLevel="2">
      <c r="A250" s="99"/>
      <c r="B250" s="84"/>
      <c r="C250" s="85"/>
      <c r="D250" s="86"/>
      <c r="E250" s="87"/>
      <c r="F250" s="88"/>
      <c r="G250" s="89"/>
      <c r="H250" s="129"/>
      <c r="I250" s="107"/>
      <c r="J250" s="119"/>
      <c r="K250" s="114"/>
    </row>
    <row r="251" spans="1:11" ht="12.75" outlineLevel="2">
      <c r="A251" s="99"/>
      <c r="B251" s="84"/>
      <c r="C251" s="85"/>
      <c r="D251" s="86"/>
      <c r="E251" s="87"/>
      <c r="F251" s="88"/>
      <c r="G251" s="89"/>
      <c r="H251" s="129"/>
      <c r="I251" s="107"/>
      <c r="J251" s="119"/>
      <c r="K251" s="114"/>
    </row>
    <row r="252" spans="1:11" ht="24" outlineLevel="2">
      <c r="A252" s="99"/>
      <c r="B252" s="84" t="s">
        <v>1653</v>
      </c>
      <c r="C252" s="85"/>
      <c r="D252" s="86">
        <f>E252/K$2*10000</f>
        <v>2.7999998624995075</v>
      </c>
      <c r="E252" s="87">
        <v>32.581699999999998</v>
      </c>
      <c r="F252" s="88">
        <f>SUM(F253:F256)</f>
        <v>413260</v>
      </c>
      <c r="G252" s="88">
        <f t="shared" ref="G252:H252" si="122">SUM(G253:G256)</f>
        <v>3.5514658325886823</v>
      </c>
      <c r="H252" s="88">
        <f t="shared" ca="1" si="122"/>
        <v>413260</v>
      </c>
      <c r="I252" s="107"/>
      <c r="J252" s="119"/>
      <c r="K252" s="114"/>
    </row>
    <row r="253" spans="1:11" s="52" customFormat="1" ht="12.75" outlineLevel="3">
      <c r="A253" s="103" t="s">
        <v>1654</v>
      </c>
      <c r="B253" s="77" t="str">
        <f>IF(A253&lt;&gt;0,VLOOKUP(A253,合同台帐!$A$4:$D$195,4,1),"")</f>
        <v>建筑物放线（一期楼座测绘）</v>
      </c>
      <c r="C253" s="78"/>
      <c r="D253" s="79"/>
      <c r="E253" s="80"/>
      <c r="F253" s="81">
        <f>IF(A253&lt;&gt;0,IF(VLOOKUP(A253,合同台帐!$A$4:$G$195,7,1),IF($H$2="元",VLOOKUP(A253,合同台帐!$A$4:$G$195,7,1),VLOOKUP(A253,合同台帐!$A$4:$G$195,7,1)),IF($H$2="元",VLOOKUP(A253,合同台帐!$A$4:$F$195,6,1),VLOOKUP(A253,合同台帐!$A$4:$F$195,6,1))),0)</f>
        <v>137711</v>
      </c>
      <c r="G253" s="82">
        <f t="shared" ref="G253" si="123">F253/K$2</f>
        <v>1.1834581408111602</v>
      </c>
      <c r="H253" s="80">
        <f ca="1">IF(A253&lt;&gt;0,IF($H$2="元",VLOOKUP(A253,合同台帐!$A$4:$K$1093,11,1),VLOOKUP(A253,合同台帐!$A$4:$K$1093,11,1)),0)</f>
        <v>137711</v>
      </c>
      <c r="I253" s="107"/>
      <c r="J253" s="117"/>
      <c r="K253" s="122"/>
    </row>
    <row r="254" spans="1:11" s="52" customFormat="1" ht="12.75" outlineLevel="3">
      <c r="A254" s="103" t="s">
        <v>1655</v>
      </c>
      <c r="B254" s="77" t="str">
        <f>IF(A254&lt;&gt;0,VLOOKUP(A254,合同台帐!$A$4:$D$195,4,1),"")</f>
        <v>二期放线、检线报告</v>
      </c>
      <c r="C254" s="78"/>
      <c r="D254" s="79"/>
      <c r="E254" s="80"/>
      <c r="F254" s="81">
        <f>IF(A254&lt;&gt;0,IF(VLOOKUP(A254,合同台帐!$A$4:$G$195,7,1),IF($H$2="元",VLOOKUP(A254,合同台帐!$A$4:$G$195,7,1),VLOOKUP(A254,合同台帐!$A$4:$G$195,7,1)),IF($H$2="元",VLOOKUP(A254,合同台帐!$A$4:$F$195,6,1),VLOOKUP(A254,合同台帐!$A$4:$F$195,6,1))),0)</f>
        <v>37738</v>
      </c>
      <c r="G254" s="82">
        <f t="shared" ref="G254" si="124">F254/K$2</f>
        <v>0.32431209792922538</v>
      </c>
      <c r="H254" s="80">
        <f ca="1">IF(A254&lt;&gt;0,IF($H$2="元",VLOOKUP(A254,合同台帐!$A$4:$K$1093,11,1),VLOOKUP(A254,合同台帐!$A$4:$K$1093,11,1)),0)</f>
        <v>37738</v>
      </c>
      <c r="I254" s="107"/>
      <c r="J254" s="117"/>
      <c r="K254" s="122"/>
    </row>
    <row r="255" spans="1:11" s="52" customFormat="1" ht="12.75" outlineLevel="3">
      <c r="A255" s="103" t="s">
        <v>1656</v>
      </c>
      <c r="B255" s="77" t="str">
        <f>IF(A255&lt;&gt;0,VLOOKUP(A255,合同台帐!$A$4:$D$195,4,1),"")</f>
        <v>三期放、验线报告</v>
      </c>
      <c r="C255" s="78"/>
      <c r="D255" s="79"/>
      <c r="E255" s="80"/>
      <c r="F255" s="81">
        <f>IF(A255&lt;&gt;0,IF(VLOOKUP(A255,合同台帐!$A$4:$G$195,7,1),IF($H$2="元",VLOOKUP(A255,合同台帐!$A$4:$G$195,7,1),VLOOKUP(A255,合同台帐!$A$4:$G$195,7,1)),IF($H$2="元",VLOOKUP(A255,合同台帐!$A$4:$F$195,6,1),VLOOKUP(A255,合同台帐!$A$4:$F$195,6,1))),0)</f>
        <v>237811</v>
      </c>
      <c r="G255" s="82">
        <f t="shared" ref="G255" si="125">F255/K$2</f>
        <v>2.0436955938482968</v>
      </c>
      <c r="H255" s="80">
        <f ca="1">IF(A255&lt;&gt;0,IF($H$2="元",VLOOKUP(A255,合同台帐!$A$4:$K$1093,11,1),VLOOKUP(A255,合同台帐!$A$4:$K$1093,11,1)),0)</f>
        <v>237811</v>
      </c>
      <c r="I255" s="107"/>
      <c r="J255" s="117"/>
      <c r="K255" s="122"/>
    </row>
    <row r="256" spans="1:11" ht="12.75" outlineLevel="2">
      <c r="A256" s="99"/>
      <c r="B256" s="84"/>
      <c r="C256" s="85"/>
      <c r="D256" s="86"/>
      <c r="E256" s="87"/>
      <c r="F256" s="88"/>
      <c r="G256" s="89"/>
      <c r="H256" s="129"/>
      <c r="I256" s="107"/>
      <c r="J256" s="119"/>
      <c r="K256" s="114"/>
    </row>
    <row r="257" spans="1:11" ht="12.75" outlineLevel="1">
      <c r="A257" s="72"/>
      <c r="B257" s="73" t="s">
        <v>1657</v>
      </c>
      <c r="C257" s="74" t="s">
        <v>1658</v>
      </c>
      <c r="D257" s="92">
        <f t="shared" ref="D257:H257" si="126">D258+D266+D270+D274+D279+D282+D285+D292</f>
        <v>2680.9616217220528</v>
      </c>
      <c r="E257" s="92">
        <f t="shared" si="126"/>
        <v>31196.5327</v>
      </c>
      <c r="F257" s="92">
        <f t="shared" si="126"/>
        <v>289611669</v>
      </c>
      <c r="G257" s="92">
        <f t="shared" si="126"/>
        <v>2488.8591859180242</v>
      </c>
      <c r="H257" s="92">
        <f t="shared" ca="1" si="126"/>
        <v>48110654</v>
      </c>
      <c r="I257" s="92" t="e">
        <f>I258+I266+I270+I274+#REF!+I279+#REF!+#REF!+I282+I285+I292+#REF!</f>
        <v>#REF!</v>
      </c>
      <c r="J257" s="92" t="e">
        <f>J258+J266+J270+J274+#REF!+J279+#REF!+#REF!+J282+J285+J292+#REF!</f>
        <v>#REF!</v>
      </c>
      <c r="K257" s="114"/>
    </row>
    <row r="258" spans="1:11" s="51" customFormat="1" ht="12.75" outlineLevel="2">
      <c r="A258" s="95"/>
      <c r="B258" s="84" t="s">
        <v>1659</v>
      </c>
      <c r="C258" s="85"/>
      <c r="D258" s="86">
        <f>E258/K$2*10000</f>
        <v>1917.3951614608122</v>
      </c>
      <c r="E258" s="87">
        <v>22311.427500000002</v>
      </c>
      <c r="F258" s="88">
        <f>SUM(F259:F265)</f>
        <v>239900072</v>
      </c>
      <c r="G258" s="88">
        <f t="shared" ref="G258:H258" si="127">SUM(G259:G265)</f>
        <v>2061.6486205864703</v>
      </c>
      <c r="H258" s="88">
        <f t="shared" ca="1" si="127"/>
        <v>34122692</v>
      </c>
      <c r="I258" s="115">
        <f>F258-E258*10000</f>
        <v>16785796.99999997</v>
      </c>
      <c r="J258" s="119"/>
      <c r="K258" s="114"/>
    </row>
    <row r="259" spans="1:11" s="52" customFormat="1" ht="12" customHeight="1" outlineLevel="3">
      <c r="A259" s="105" t="s">
        <v>247</v>
      </c>
      <c r="B259" s="77" t="str">
        <f>IF(A259&lt;&gt;0,VLOOKUP(A259,合同台帐!$A$4:$D$195,4,1),"")</f>
        <v>总包一期工程</v>
      </c>
      <c r="C259" s="78"/>
      <c r="D259" s="79"/>
      <c r="E259" s="80"/>
      <c r="F259" s="81">
        <f>IF(A259&lt;&gt;0,IF(VLOOKUP(A259,合同台帐!$A$4:$G$195,7,1),IF($H$2="元",VLOOKUP(A259,合同台帐!$A$4:$G$195,7,1),VLOOKUP(A259,合同台帐!$A$4:$G$195,7,1)),IF($H$2="元",VLOOKUP(A259,合同台帐!$A$4:$F$195,6,1),VLOOKUP(A259,合同台帐!$A$4:$F$195,6,1))),0)</f>
        <v>110000000</v>
      </c>
      <c r="G259" s="82">
        <f t="shared" ref="G259" si="128">F259/K$2</f>
        <v>945.31588245839191</v>
      </c>
      <c r="H259" s="80">
        <f ca="1">IF(A259&lt;&gt;0,IF($H$2="元",VLOOKUP(A259,合同台帐!$A$4:$K$1093,11,1),VLOOKUP(A259,合同台帐!$A$4:$K$1093,11,1)),0)</f>
        <v>33863610</v>
      </c>
      <c r="I259" s="107"/>
      <c r="J259" s="117"/>
      <c r="K259" s="122"/>
    </row>
    <row r="260" spans="1:11" s="52" customFormat="1" ht="12" customHeight="1" outlineLevel="3">
      <c r="A260" s="103" t="s">
        <v>1660</v>
      </c>
      <c r="B260" s="77" t="str">
        <f>IF(A260&lt;&gt;0,VLOOKUP(A260,合同台帐!$A$4:$D$195,4,1),"")</f>
        <v>清运拉圾（三期）</v>
      </c>
      <c r="C260" s="78"/>
      <c r="D260" s="79"/>
      <c r="E260" s="80"/>
      <c r="F260" s="81">
        <f>IF(A260&lt;&gt;0,IF(VLOOKUP(A260,合同台帐!$A$4:$G$195,7,1),IF($H$2="元",VLOOKUP(A260,合同台帐!$A$4:$G$195,7,1),VLOOKUP(A260,合同台帐!$A$4:$G$195,7,1)),IF($H$2="元",VLOOKUP(A260,合同台帐!$A$4:$F$195,6,1),VLOOKUP(A260,合同台帐!$A$4:$F$195,6,1))),0)</f>
        <v>135990</v>
      </c>
      <c r="G260" s="82">
        <f t="shared" ref="G260" si="129">F260/K$2</f>
        <v>1.168668244141061</v>
      </c>
      <c r="H260" s="80">
        <f ca="1">IF(A260&lt;&gt;0,IF($H$2="元",VLOOKUP(A260,合同台帐!$A$4:$K$1093,11,1),VLOOKUP(A260,合同台帐!$A$4:$K$1093,11,1)),0)</f>
        <v>95000</v>
      </c>
      <c r="I260" s="107"/>
      <c r="J260" s="117"/>
      <c r="K260" s="122"/>
    </row>
    <row r="261" spans="1:11" s="52" customFormat="1" ht="12" customHeight="1" outlineLevel="3">
      <c r="A261" s="103" t="s">
        <v>1661</v>
      </c>
      <c r="B261" s="77" t="str">
        <f>IF(A261&lt;&gt;0,VLOOKUP(A261,合同台帐!$A$4:$D$195,4,1),"")</f>
        <v>示范区现场垃圾清运（结签证）</v>
      </c>
      <c r="C261" s="78"/>
      <c r="D261" s="79"/>
      <c r="E261" s="80"/>
      <c r="F261" s="81">
        <f>IF(A261&lt;&gt;0,IF(VLOOKUP(A261,合同台帐!$A$4:$G$195,7,1),IF($H$2="元",VLOOKUP(A261,合同台帐!$A$4:$G$195,7,1),VLOOKUP(A261,合同台帐!$A$4:$G$195,7,1)),IF($H$2="元",VLOOKUP(A261,合同台帐!$A$4:$F$195,6,1),VLOOKUP(A261,合同台帐!$A$4:$F$195,6,1))),0)</f>
        <v>164082</v>
      </c>
      <c r="G261" s="82">
        <f t="shared" ref="G261:G262" si="130">F261/K$2</f>
        <v>1.410084732959435</v>
      </c>
      <c r="H261" s="80">
        <f ca="1">IF(A261&lt;&gt;0,IF($H$2="元",VLOOKUP(A261,合同台帐!$A$4:$K$1093,11,1),VLOOKUP(A261,合同台帐!$A$4:$K$1093,11,1)),0)</f>
        <v>164082</v>
      </c>
      <c r="I261" s="107"/>
      <c r="J261" s="117"/>
      <c r="K261" s="122"/>
    </row>
    <row r="262" spans="1:11" s="52" customFormat="1" ht="12" customHeight="1" outlineLevel="3">
      <c r="A262" s="105" t="s">
        <v>860</v>
      </c>
      <c r="B262" s="77" t="str">
        <f>IF(A262&lt;&gt;0,VLOOKUP(A262,合同台帐!$A$4:$D$195,4,1),"")</f>
        <v>东侧挡土墙</v>
      </c>
      <c r="C262" s="78"/>
      <c r="D262" s="79"/>
      <c r="E262" s="80"/>
      <c r="F262" s="81">
        <f>IF(A262&lt;&gt;0,IF(VLOOKUP(A262,合同台帐!$A$4:$G$195,7,1),IF($H$2="元",VLOOKUP(A262,合同台帐!$A$4:$G$195,7,1),VLOOKUP(A262,合同台帐!$A$4:$G$195,7,1)),IF($H$2="元",VLOOKUP(A262,合同台帐!$A$4:$F$195,6,1),VLOOKUP(A262,合同台帐!$A$4:$F$195,6,1))),0)</f>
        <v>4700000</v>
      </c>
      <c r="G262" s="82">
        <f t="shared" si="130"/>
        <v>40.390769523222197</v>
      </c>
      <c r="H262" s="80">
        <f ca="1">IF(A262&lt;&gt;0,IF($H$2="元",VLOOKUP(A262,合同台帐!$A$4:$K$1093,11,1),VLOOKUP(A262,合同台帐!$A$4:$K$1093,11,1)),0)</f>
        <v>0</v>
      </c>
      <c r="I262" s="107"/>
      <c r="J262" s="117"/>
      <c r="K262" s="122"/>
    </row>
    <row r="263" spans="1:11" s="52" customFormat="1" ht="12" customHeight="1" outlineLevel="3">
      <c r="A263" s="105" t="s">
        <v>864</v>
      </c>
      <c r="B263" s="77" t="str">
        <f>IF(A263&lt;&gt;0,VLOOKUP(A263,合同台帐!$A$4:$D$195,4,1),"")</f>
        <v>二期总包工程</v>
      </c>
      <c r="C263" s="78"/>
      <c r="D263" s="79"/>
      <c r="E263" s="80"/>
      <c r="F263" s="81">
        <f>IF(A263&lt;&gt;0,IF(VLOOKUP(A263,合同台帐!$A$4:$G$195,7,1),IF($H$2="元",VLOOKUP(A263,合同台帐!$A$4:$G$195,7,1),VLOOKUP(A263,合同台帐!$A$4:$G$195,7,1)),IF($H$2="元",VLOOKUP(A263,合同台帐!$A$4:$F$195,6,1),VLOOKUP(A263,合同台帐!$A$4:$F$195,6,1))),0)</f>
        <v>46454897</v>
      </c>
      <c r="G263" s="82">
        <f t="shared" ref="G263" si="131">F263/K$2</f>
        <v>399.22319956426094</v>
      </c>
      <c r="H263" s="80">
        <f ca="1">IF(A263&lt;&gt;0,IF($H$2="元",VLOOKUP(A263,合同台帐!$A$4:$K$1093,11,1),VLOOKUP(A263,合同台帐!$A$4:$K$1093,11,1)),0)</f>
        <v>0</v>
      </c>
      <c r="I263" s="107"/>
      <c r="J263" s="117"/>
      <c r="K263" s="122"/>
    </row>
    <row r="264" spans="1:11" s="52" customFormat="1" ht="12" customHeight="1" outlineLevel="3">
      <c r="A264" s="105" t="s">
        <v>869</v>
      </c>
      <c r="B264" s="77" t="str">
        <f>IF(A264&lt;&gt;0,VLOOKUP(A264,合同台帐!$A$4:$D$195,4,1),"")</f>
        <v>三期总包工程</v>
      </c>
      <c r="C264" s="78"/>
      <c r="D264" s="79"/>
      <c r="E264" s="80"/>
      <c r="F264" s="81">
        <f>IF(A264&lt;&gt;0,IF(VLOOKUP(A264,合同台帐!$A$4:$G$195,7,1),IF($H$2="元",VLOOKUP(A264,合同台帐!$A$4:$G$195,7,1),VLOOKUP(A264,合同台帐!$A$4:$G$195,7,1)),IF($H$2="元",VLOOKUP(A264,合同台帐!$A$4:$F$195,6,1),VLOOKUP(A264,合同台帐!$A$4:$F$195,6,1))),0)</f>
        <v>78445103</v>
      </c>
      <c r="G264" s="82">
        <f t="shared" ref="G264" si="132">F264/K$2</f>
        <v>674.14001606349495</v>
      </c>
      <c r="H264" s="80">
        <f ca="1">IF(A264&lt;&gt;0,IF($H$2="元",VLOOKUP(A264,合同台帐!$A$4:$K$1093,11,1),VLOOKUP(A264,合同台帐!$A$4:$K$1093,11,1)),0)</f>
        <v>0</v>
      </c>
      <c r="I264" s="107"/>
      <c r="J264" s="117"/>
      <c r="K264" s="122"/>
    </row>
    <row r="265" spans="1:11" s="51" customFormat="1" ht="12.75" outlineLevel="3">
      <c r="A265" s="99"/>
      <c r="B265" s="84"/>
      <c r="C265" s="85"/>
      <c r="D265" s="86"/>
      <c r="E265" s="87"/>
      <c r="F265" s="88"/>
      <c r="G265" s="89"/>
      <c r="H265" s="87">
        <f>IF(A265&lt;&gt;0,IF($H$2="元",VLOOKUP(A265,合同台帐!$A$4:$K$1093,11,1),VLOOKUP(A265,合同台帐!$A$4:$K$1093,11,1)),0)</f>
        <v>0</v>
      </c>
      <c r="I265" s="88"/>
      <c r="J265" s="119"/>
      <c r="K265" s="114"/>
    </row>
    <row r="266" spans="1:11" s="51" customFormat="1" ht="12.75" outlineLevel="2">
      <c r="A266" s="95"/>
      <c r="B266" s="84" t="s">
        <v>1662</v>
      </c>
      <c r="C266" s="85"/>
      <c r="D266" s="86">
        <f>E266/K$2*10000</f>
        <v>0</v>
      </c>
      <c r="E266" s="87">
        <v>0</v>
      </c>
      <c r="F266" s="88">
        <f>SUM(F267:F269)</f>
        <v>149014</v>
      </c>
      <c r="G266" s="88">
        <f t="shared" ref="G266:H266" si="133">SUM(G267:G269)</f>
        <v>1.2805936446241346</v>
      </c>
      <c r="H266" s="88">
        <f t="shared" ca="1" si="133"/>
        <v>124507</v>
      </c>
      <c r="I266" s="115">
        <f>F266-E266*10000</f>
        <v>149014</v>
      </c>
      <c r="J266" s="119"/>
      <c r="K266" s="114"/>
    </row>
    <row r="267" spans="1:11" s="52" customFormat="1" ht="12.75" outlineLevel="3">
      <c r="A267" s="103" t="s">
        <v>1663</v>
      </c>
      <c r="B267" s="77" t="str">
        <f>IF(A267&lt;&gt;0,VLOOKUP(A267,合同台帐!$A$4:$D$195,4,1),"")</f>
        <v>33#楼公共部位精装修、门卫精装修</v>
      </c>
      <c r="C267" s="78"/>
      <c r="D267" s="79"/>
      <c r="E267" s="80"/>
      <c r="F267" s="81">
        <f>IF(A267&lt;&gt;0,IF(VLOOKUP(A267,合同台帐!$A$4:$G$195,7,1),IF($H$2="元",VLOOKUP(A267,合同台帐!$A$4:$G$195,7,1),VLOOKUP(A267,合同台帐!$A$4:$G$195,7,1)),IF($H$2="元",VLOOKUP(A267,合同台帐!$A$4:$F$195,6,1),VLOOKUP(A267,合同台帐!$A$4:$F$195,6,1))),0)</f>
        <v>149014</v>
      </c>
      <c r="G267" s="82">
        <f>F267/K$2</f>
        <v>1.2805936446241346</v>
      </c>
      <c r="H267" s="80">
        <f ca="1">IF(A267&lt;&gt;0,IF($H$2="元",VLOOKUP(A267,合同台帐!$A$4:$K$1093,11,1),VLOOKUP(A267,合同台帐!$A$4:$K$1093,11,1)),0)</f>
        <v>124507</v>
      </c>
      <c r="I267" s="107"/>
      <c r="J267" s="117"/>
      <c r="K267" s="122"/>
    </row>
    <row r="268" spans="1:11" s="51" customFormat="1" ht="12.75" outlineLevel="3">
      <c r="A268" s="99"/>
      <c r="B268" s="84"/>
      <c r="C268" s="85"/>
      <c r="D268" s="86"/>
      <c r="E268" s="87"/>
      <c r="F268" s="88"/>
      <c r="G268" s="89"/>
      <c r="H268" s="87">
        <f>IF(A268&lt;&gt;0,IF($H$2="元",VLOOKUP(A268,合同台帐!$A$4:$K$1093,11,1),VLOOKUP(A268,合同台帐!$A$4:$K$1093,11,1)),0)</f>
        <v>0</v>
      </c>
      <c r="I268" s="119"/>
      <c r="J268" s="119"/>
      <c r="K268" s="114"/>
    </row>
    <row r="269" spans="1:11" s="51" customFormat="1" ht="12.75" outlineLevel="3">
      <c r="A269" s="95"/>
      <c r="B269" s="84"/>
      <c r="C269" s="85"/>
      <c r="D269" s="86"/>
      <c r="E269" s="87"/>
      <c r="F269" s="88"/>
      <c r="G269" s="89"/>
      <c r="H269" s="87">
        <f>IF(A269&lt;&gt;0,IF($H$2="元",VLOOKUP(A269,合同台帐!$A$4:$K$1093,11,1),VLOOKUP(A269,合同台帐!$A$4:$K$1093,11,1)),0)</f>
        <v>0</v>
      </c>
      <c r="I269" s="119"/>
      <c r="J269" s="119"/>
      <c r="K269" s="114"/>
    </row>
    <row r="270" spans="1:11" s="51" customFormat="1" ht="21.75" customHeight="1" outlineLevel="2">
      <c r="A270" s="95"/>
      <c r="B270" s="84" t="s">
        <v>1664</v>
      </c>
      <c r="C270" s="85"/>
      <c r="D270" s="86">
        <f>E270/K$2*10000</f>
        <v>35.329427975609477</v>
      </c>
      <c r="E270" s="87">
        <v>411.1046</v>
      </c>
      <c r="F270" s="88">
        <f t="shared" ref="F270:H270" si="134">SUM(F271:F273)</f>
        <v>4210474</v>
      </c>
      <c r="G270" s="88">
        <f t="shared" si="134"/>
        <v>36.183890407982865</v>
      </c>
      <c r="H270" s="88">
        <f t="shared" ca="1" si="134"/>
        <v>2480397</v>
      </c>
      <c r="I270" s="115">
        <f>F270-E270*10000</f>
        <v>99428</v>
      </c>
      <c r="J270" s="119"/>
      <c r="K270" s="114"/>
    </row>
    <row r="271" spans="1:11" s="52" customFormat="1" ht="12.75" outlineLevel="3">
      <c r="A271" s="103" t="s">
        <v>1665</v>
      </c>
      <c r="B271" s="77" t="str">
        <f>IF(A271&lt;&gt;0,VLOOKUP(A271,合同台帐!$A$4:$D$195,4,1),"")</f>
        <v>售楼处样板间精装修工程</v>
      </c>
      <c r="C271" s="78"/>
      <c r="D271" s="79"/>
      <c r="E271" s="80"/>
      <c r="F271" s="81">
        <f>IF(A271&lt;&gt;0,IF(VLOOKUP(A271,合同台帐!$A$4:$G$195,7,1),IF($H$2="元",VLOOKUP(A271,合同台帐!$A$4:$G$195,7,1),VLOOKUP(A271,合同台帐!$A$4:$G$195,7,1)),IF($H$2="元",VLOOKUP(A271,合同台帐!$A$4:$F$195,6,1),VLOOKUP(A271,合同台帐!$A$4:$F$195,6,1))),0)</f>
        <v>3760794</v>
      </c>
      <c r="G271" s="82">
        <f t="shared" ref="G271:G272" si="135">F271/K$2</f>
        <v>32.319439080492963</v>
      </c>
      <c r="H271" s="80">
        <f ca="1">IF(A271&lt;&gt;0,IF($H$2="元",VLOOKUP(A271,合同台帐!$A$4:$K$1093,11,1),VLOOKUP(A271,合同台帐!$A$4:$K$1093,11,1)),0)</f>
        <v>2130397</v>
      </c>
      <c r="I271" s="107"/>
      <c r="J271" s="117"/>
      <c r="K271" s="122"/>
    </row>
    <row r="272" spans="1:11" s="52" customFormat="1" ht="12.75" outlineLevel="3">
      <c r="A272" s="103" t="s">
        <v>1666</v>
      </c>
      <c r="B272" s="77" t="str">
        <f>IF(A272&lt;&gt;0,VLOOKUP(A272,合同台帐!$A$4:$D$195,4,1),"")</f>
        <v>售楼处、样板间钢结构工程</v>
      </c>
      <c r="C272" s="78"/>
      <c r="D272" s="79"/>
      <c r="E272" s="80"/>
      <c r="F272" s="81">
        <f>IF(A272&lt;&gt;0,IF(VLOOKUP(A272,合同台帐!$A$4:$G$195,7,1),IF($H$2="元",VLOOKUP(A272,合同台帐!$A$4:$G$195,7,1),VLOOKUP(A272,合同台帐!$A$4:$G$195,7,1)),IF($H$2="元",VLOOKUP(A272,合同台帐!$A$4:$F$195,6,1),VLOOKUP(A272,合同台帐!$A$4:$F$195,6,1))),0)</f>
        <v>349680</v>
      </c>
      <c r="G272" s="82">
        <f t="shared" si="135"/>
        <v>3.0050732525277315</v>
      </c>
      <c r="H272" s="80">
        <f ca="1">IF(A272&lt;&gt;0,IF($H$2="元",VLOOKUP(A272,合同台帐!$A$4:$K$1093,11,1),VLOOKUP(A272,合同台帐!$A$4:$K$1093,11,1)),0)</f>
        <v>250000</v>
      </c>
      <c r="I272" s="107"/>
      <c r="J272" s="117"/>
      <c r="K272" s="122"/>
    </row>
    <row r="273" spans="1:11" s="52" customFormat="1" ht="12.75" outlineLevel="3">
      <c r="A273" s="103" t="s">
        <v>1667</v>
      </c>
      <c r="B273" s="77" t="str">
        <f>IF(A273&lt;&gt;0,VLOOKUP(A273,合同台帐!$A$4:$D$195,4,1),"")</f>
        <v>维修改建工程（集团办公室精装）</v>
      </c>
      <c r="C273" s="78"/>
      <c r="D273" s="79"/>
      <c r="E273" s="80"/>
      <c r="F273" s="81">
        <f>IF(A273&lt;&gt;0,IF(VLOOKUP(A273,合同台帐!$A$4:$G$195,7,1),IF($H$2="元",VLOOKUP(A273,合同台帐!$A$4:$G$195,7,1),VLOOKUP(A273,合同台帐!$A$4:$G$195,7,1)),IF($H$2="元",VLOOKUP(A273,合同台帐!$A$4:$F$195,6,1),VLOOKUP(A273,合同台帐!$A$4:$F$195,6,1))),0)</f>
        <v>100000</v>
      </c>
      <c r="G273" s="82">
        <f t="shared" ref="G273" si="136">F273/K$2</f>
        <v>0.85937807496217444</v>
      </c>
      <c r="H273" s="80">
        <f ca="1">IF(A273&lt;&gt;0,IF($H$2="元",VLOOKUP(A273,合同台帐!$A$4:$K$1093,11,1),VLOOKUP(A273,合同台帐!$A$4:$K$1093,11,1)),0)</f>
        <v>100000</v>
      </c>
      <c r="I273" s="107"/>
      <c r="J273" s="117"/>
      <c r="K273" s="122"/>
    </row>
    <row r="274" spans="1:11" s="51" customFormat="1" ht="12.75" outlineLevel="2">
      <c r="A274" s="95"/>
      <c r="B274" s="84" t="s">
        <v>1668</v>
      </c>
      <c r="C274" s="85"/>
      <c r="D274" s="86">
        <f>E274/K$2*10000</f>
        <v>542.14585158437524</v>
      </c>
      <c r="E274" s="87">
        <v>6308.5837000000001</v>
      </c>
      <c r="F274" s="88">
        <f>F275+F276+F277+F278</f>
        <v>34438905</v>
      </c>
      <c r="G274" s="88">
        <f t="shared" ref="G274:H274" si="137">G275+G276+G277+G278</f>
        <v>295.96039882705207</v>
      </c>
      <c r="H274" s="88">
        <f t="shared" ca="1" si="137"/>
        <v>9635504</v>
      </c>
      <c r="I274" s="115">
        <f>F274-E274*10000</f>
        <v>-28646932</v>
      </c>
      <c r="J274" s="119"/>
      <c r="K274" s="114"/>
    </row>
    <row r="275" spans="1:11" s="52" customFormat="1" ht="12.75" outlineLevel="3">
      <c r="A275" s="103" t="s">
        <v>1669</v>
      </c>
      <c r="B275" s="77" t="str">
        <f>IF(A275&lt;&gt;0,VLOOKUP(A275,合同台帐!$A$4:$D$195,4,1),"")</f>
        <v>一期保温涂料线条线角</v>
      </c>
      <c r="C275" s="78"/>
      <c r="D275" s="79"/>
      <c r="E275" s="80"/>
      <c r="F275" s="81">
        <f>IF(A275&lt;&gt;0,IF(VLOOKUP(A275,合同台帐!$A$4:$G$195,7,1),IF($H$2="元",VLOOKUP(A275,合同台帐!$A$4:$G$195,7,1),VLOOKUP(A275,合同台帐!$A$4:$G$195,7,1)),IF($H$2="元",VLOOKUP(A275,合同台帐!$A$4:$F$195,6,1),VLOOKUP(A275,合同台帐!$A$4:$F$195,6,1))),0)</f>
        <v>22594696</v>
      </c>
      <c r="G275" s="82">
        <f t="shared" ref="G275" si="138">F275/K$2</f>
        <v>194.17386352835544</v>
      </c>
      <c r="H275" s="80">
        <f ca="1">IF(A275&lt;&gt;0,IF($H$2="元",VLOOKUP(A275,合同台帐!$A$4:$K$1093,11,1),VLOOKUP(A275,合同台帐!$A$4:$K$1093,11,1)),0)</f>
        <v>5505504</v>
      </c>
      <c r="I275" s="107"/>
      <c r="J275" s="117"/>
      <c r="K275" s="122"/>
    </row>
    <row r="276" spans="1:11" s="52" customFormat="1" ht="12.75" outlineLevel="3">
      <c r="A276" s="105" t="s">
        <v>1670</v>
      </c>
      <c r="B276" s="77" t="str">
        <f>IF(A276&lt;&gt;0,VLOOKUP(A276,合同台帐!$A$4:$D$195,4,1),"")</f>
        <v>外檐石材一体板及保温（一期）</v>
      </c>
      <c r="C276" s="78"/>
      <c r="D276" s="79"/>
      <c r="E276" s="80"/>
      <c r="F276" s="81">
        <f>IF(A276&lt;&gt;0,IF(VLOOKUP(A276,合同台帐!$A$4:$G$195,7,1),IF($H$2="元",VLOOKUP(A276,合同台帐!$A$4:$G$195,7,1),VLOOKUP(A276,合同台帐!$A$4:$G$195,7,1)),IF($H$2="元",VLOOKUP(A276,合同台帐!$A$4:$F$195,6,1),VLOOKUP(A276,合同台帐!$A$4:$F$195,6,1))),0)</f>
        <v>11284542</v>
      </c>
      <c r="G276" s="82">
        <f t="shared" ref="G276" si="139">F276/K$2</f>
        <v>96.976879807898058</v>
      </c>
      <c r="H276" s="80">
        <f ca="1">IF(A276&lt;&gt;0,IF($H$2="元",VLOOKUP(A276,合同台帐!$A$4:$K$1093,11,1),VLOOKUP(A276,合同台帐!$A$4:$K$1093,11,1)),0)</f>
        <v>3600000</v>
      </c>
      <c r="I276" s="107"/>
      <c r="J276" s="117"/>
      <c r="K276" s="122"/>
    </row>
    <row r="277" spans="1:11" s="52" customFormat="1" ht="12.75" outlineLevel="3">
      <c r="A277" s="103" t="s">
        <v>1671</v>
      </c>
      <c r="B277" s="77" t="str">
        <f>IF(A277&lt;&gt;0,VLOOKUP(A277,合同台帐!$A$4:$D$195,4,1),"")</f>
        <v>大门入口外檐装饰</v>
      </c>
      <c r="C277" s="78"/>
      <c r="D277" s="79"/>
      <c r="E277" s="80"/>
      <c r="F277" s="81">
        <f>IF(A277&lt;&gt;0,IF(VLOOKUP(A277,合同台帐!$A$4:$G$195,7,1),IF($H$2="元",VLOOKUP(A277,合同台帐!$A$4:$G$195,7,1),VLOOKUP(A277,合同台帐!$A$4:$G$195,7,1)),IF($H$2="元",VLOOKUP(A277,合同台帐!$A$4:$F$195,6,1),VLOOKUP(A277,合同台帐!$A$4:$F$195,6,1))),0)</f>
        <v>559667</v>
      </c>
      <c r="G277" s="82">
        <f t="shared" ref="G277" si="140">F277/K$2</f>
        <v>4.8096554907985531</v>
      </c>
      <c r="H277" s="80">
        <f ca="1">IF(A277&lt;&gt;0,IF($H$2="元",VLOOKUP(A277,合同台帐!$A$4:$K$1093,11,1),VLOOKUP(A277,合同台帐!$A$4:$K$1093,11,1)),0)</f>
        <v>530000</v>
      </c>
      <c r="I277" s="107"/>
      <c r="J277" s="117"/>
      <c r="K277" s="122"/>
    </row>
    <row r="278" spans="1:11" s="51" customFormat="1" ht="12.75" outlineLevel="3">
      <c r="A278" s="95"/>
      <c r="B278" s="84"/>
      <c r="C278" s="85"/>
      <c r="D278" s="86"/>
      <c r="E278" s="87"/>
      <c r="F278" s="88"/>
      <c r="G278" s="89"/>
      <c r="H278" s="87">
        <f>IF(A278&lt;&gt;0,IF($H$2="元",VLOOKUP(A278,合同台帐!$A$4:$K$1093,11,1),VLOOKUP(A278,合同台帐!$A$4:$K$1093,11,1)),0)</f>
        <v>0</v>
      </c>
      <c r="I278" s="119"/>
      <c r="J278" s="119"/>
      <c r="K278" s="114"/>
    </row>
    <row r="279" spans="1:11" s="51" customFormat="1" ht="12.75" outlineLevel="2">
      <c r="A279" s="95"/>
      <c r="B279" s="84" t="s">
        <v>1672</v>
      </c>
      <c r="C279" s="85"/>
      <c r="D279" s="86">
        <f>E279/K$2*10000</f>
        <v>108.58183539437975</v>
      </c>
      <c r="E279" s="87">
        <v>1263.4931999999999</v>
      </c>
      <c r="F279" s="88">
        <f>SUM(F280:F281)</f>
        <v>6801387</v>
      </c>
      <c r="G279" s="88">
        <f t="shared" ref="G279:H279" si="141">SUM(G280:G281)</f>
        <v>58.449628671327588</v>
      </c>
      <c r="H279" s="88">
        <f t="shared" ca="1" si="141"/>
        <v>1232374</v>
      </c>
      <c r="I279" s="115">
        <f>F279-E279*10000</f>
        <v>-5833544.9999999981</v>
      </c>
      <c r="J279" s="119"/>
      <c r="K279" s="114"/>
    </row>
    <row r="280" spans="1:11" s="52" customFormat="1" ht="12.75" outlineLevel="3">
      <c r="A280" s="103" t="s">
        <v>1673</v>
      </c>
      <c r="B280" s="77" t="str">
        <f>IF(A280&lt;&gt;0,VLOOKUP(A280,合同台帐!$A$4:$D$195,4,1),"")</f>
        <v>一期断桥铝合金门窗安装</v>
      </c>
      <c r="C280" s="78"/>
      <c r="D280" s="79"/>
      <c r="E280" s="80"/>
      <c r="F280" s="81">
        <f>IF(A280&lt;&gt;0,IF(VLOOKUP(A280,合同台帐!$A$4:$G$195,7,1),IF($H$2="元",VLOOKUP(A280,合同台帐!$A$4:$G$195,7,1),VLOOKUP(A280,合同台帐!$A$4:$G$195,7,1)),IF($H$2="元",VLOOKUP(A280,合同台帐!$A$4:$F$195,6,1),VLOOKUP(A280,合同台帐!$A$4:$F$195,6,1))),0)</f>
        <v>6801387</v>
      </c>
      <c r="G280" s="82">
        <f t="shared" ref="G280" si="142">F280/K$2</f>
        <v>58.449628671327588</v>
      </c>
      <c r="H280" s="80">
        <f ca="1">IF(A280&lt;&gt;0,IF($H$2="元",VLOOKUP(A280,合同台帐!$A$4:$K$1093,11,1),VLOOKUP(A280,合同台帐!$A$4:$K$1093,11,1)),0)</f>
        <v>1232374</v>
      </c>
      <c r="I280" s="107"/>
      <c r="J280" s="117"/>
      <c r="K280" s="122"/>
    </row>
    <row r="281" spans="1:11" s="51" customFormat="1" ht="12.75" outlineLevel="3">
      <c r="A281" s="95"/>
      <c r="B281" s="84"/>
      <c r="C281" s="85"/>
      <c r="D281" s="86"/>
      <c r="E281" s="87"/>
      <c r="F281" s="88"/>
      <c r="G281" s="89"/>
      <c r="H281" s="87">
        <f>IF(A281&lt;&gt;0,IF($H$2="元",VLOOKUP(A281,合同台帐!$A$4:$K$1093,11,1),VLOOKUP(A281,合同台帐!$A$4:$K$1093,11,1)),0)</f>
        <v>0</v>
      </c>
      <c r="I281" s="119"/>
      <c r="J281" s="119"/>
      <c r="K281" s="114"/>
    </row>
    <row r="282" spans="1:11" s="51" customFormat="1" ht="12.75" outlineLevel="2">
      <c r="A282" s="95"/>
      <c r="B282" s="84" t="s">
        <v>1674</v>
      </c>
      <c r="C282" s="85"/>
      <c r="D282" s="86">
        <f>E282/K$2*10000</f>
        <v>4.0279737875937087</v>
      </c>
      <c r="E282" s="87">
        <v>46.870800000000003</v>
      </c>
      <c r="F282" s="88">
        <f>SUM(F283:F284)</f>
        <v>12235</v>
      </c>
      <c r="G282" s="88">
        <f t="shared" ref="G282:H282" si="143">SUM(G283:G284)</f>
        <v>0.10514490747162204</v>
      </c>
      <c r="H282" s="88">
        <f t="shared" ca="1" si="143"/>
        <v>11623</v>
      </c>
      <c r="I282" s="115">
        <f>F282-E282*10000</f>
        <v>-456473</v>
      </c>
      <c r="J282" s="119"/>
      <c r="K282" s="114"/>
    </row>
    <row r="283" spans="1:11" s="52" customFormat="1" ht="12.75" outlineLevel="3">
      <c r="A283" s="103" t="s">
        <v>1675</v>
      </c>
      <c r="B283" s="77" t="str">
        <f>IF(A283&lt;&gt;0,VLOOKUP(A283,合同台帐!$A$4:$D$195,4,1),"")</f>
        <v>33#楼空调铁艺护栏</v>
      </c>
      <c r="C283" s="78"/>
      <c r="D283" s="79"/>
      <c r="E283" s="80"/>
      <c r="F283" s="81">
        <f>IF(A283&lt;&gt;0,IF(VLOOKUP(A283,合同台帐!$A$4:$G$195,7,1),IF($H$2="元",VLOOKUP(A283,合同台帐!$A$4:$G$195,7,1),VLOOKUP(A283,合同台帐!$A$4:$G$195,7,1)),IF($H$2="元",VLOOKUP(A283,合同台帐!$A$4:$F$195,6,1),VLOOKUP(A283,合同台帐!$A$4:$F$195,6,1))),0)</f>
        <v>12235</v>
      </c>
      <c r="G283" s="82">
        <f t="shared" ref="G283" si="144">F283/K$2</f>
        <v>0.10514490747162204</v>
      </c>
      <c r="H283" s="80">
        <f ca="1">IF(A283&lt;&gt;0,IF($H$2="元",VLOOKUP(A283,合同台帐!$A$4:$K$1093,11,1),VLOOKUP(A283,合同台帐!$A$4:$K$1093,11,1)),0)</f>
        <v>11623</v>
      </c>
      <c r="I283" s="107"/>
      <c r="J283" s="117"/>
      <c r="K283" s="122"/>
    </row>
    <row r="284" spans="1:11" s="51" customFormat="1" ht="12.75" outlineLevel="3">
      <c r="A284" s="95"/>
      <c r="B284" s="84"/>
      <c r="C284" s="85"/>
      <c r="D284" s="86"/>
      <c r="E284" s="87"/>
      <c r="F284" s="88"/>
      <c r="G284" s="89"/>
      <c r="H284" s="87">
        <f>IF(A284&lt;&gt;0,IF($H$2="元",VLOOKUP(A284,合同台帐!$A$4:$K$1093,11,1),VLOOKUP(A284,合同台帐!$A$4:$K$1093,11,1)),0)</f>
        <v>0</v>
      </c>
      <c r="I284" s="119"/>
      <c r="J284" s="119"/>
      <c r="K284" s="114"/>
    </row>
    <row r="285" spans="1:11" s="51" customFormat="1" ht="12.75" outlineLevel="2">
      <c r="A285" s="95"/>
      <c r="B285" s="84" t="s">
        <v>1676</v>
      </c>
      <c r="C285" s="85"/>
      <c r="D285" s="86">
        <f>E285/K$2*10000</f>
        <v>33.481369800526316</v>
      </c>
      <c r="E285" s="87">
        <v>389.6</v>
      </c>
      <c r="F285" s="88">
        <f>SUM(F286:F288)</f>
        <v>2049582</v>
      </c>
      <c r="G285" s="88">
        <f t="shared" ref="G285:H285" si="145">SUM(G286:G288)</f>
        <v>17.613658336371234</v>
      </c>
      <c r="H285" s="88">
        <f t="shared" ca="1" si="145"/>
        <v>103557</v>
      </c>
      <c r="I285" s="115">
        <f>F285-E285*10000</f>
        <v>-1846418</v>
      </c>
      <c r="J285" s="119"/>
      <c r="K285" s="114"/>
    </row>
    <row r="286" spans="1:11" s="52" customFormat="1" ht="12.75" outlineLevel="3">
      <c r="A286" s="103" t="s">
        <v>1677</v>
      </c>
      <c r="B286" s="77" t="str">
        <f>IF(A286&lt;&gt;0,VLOOKUP(A286,合同台帐!$A$4:$D$195,4,1),"")</f>
        <v>一期入户门感应密码锁采购安装</v>
      </c>
      <c r="C286" s="78"/>
      <c r="D286" s="79"/>
      <c r="E286" s="80"/>
      <c r="F286" s="81">
        <f>IF(A286&lt;&gt;0,IF(VLOOKUP(A286,合同台帐!$A$4:$G$195,7,1),IF($H$2="元",VLOOKUP(A286,合同台帐!$A$4:$G$195,7,1),VLOOKUP(A286,合同台帐!$A$4:$G$195,7,1)),IF($H$2="元",VLOOKUP(A286,合同台帐!$A$4:$F$195,6,1),VLOOKUP(A286,合同台帐!$A$4:$F$195,6,1))),0)</f>
        <v>250325</v>
      </c>
      <c r="G286" s="82">
        <f t="shared" ref="G286" si="146">F286/K$2</f>
        <v>2.1512381661490632</v>
      </c>
      <c r="H286" s="80">
        <f ca="1">IF(A286&lt;&gt;0,IF($H$2="元",VLOOKUP(A286,合同台帐!$A$4:$K$1093,11,1),VLOOKUP(A286,合同台帐!$A$4:$K$1093,11,1)),0)</f>
        <v>0</v>
      </c>
      <c r="I286" s="107"/>
      <c r="J286" s="117"/>
      <c r="K286" s="122"/>
    </row>
    <row r="287" spans="1:11" s="52" customFormat="1" ht="12.75" outlineLevel="3">
      <c r="A287" s="103" t="s">
        <v>1678</v>
      </c>
      <c r="B287" s="77" t="str">
        <f>IF(A287&lt;&gt;0,VLOOKUP(A287,合同台帐!$A$4:$D$195,4,1),"")</f>
        <v>一期入户门采购安装合同</v>
      </c>
      <c r="C287" s="78"/>
      <c r="D287" s="79"/>
      <c r="E287" s="80"/>
      <c r="F287" s="81">
        <f>IF(A287&lt;&gt;0,IF(VLOOKUP(A287,合同台帐!$A$4:$G$195,7,1),IF($H$2="元",VLOOKUP(A287,合同台帐!$A$4:$G$195,7,1),VLOOKUP(A287,合同台帐!$A$4:$G$195,7,1)),IF($H$2="元",VLOOKUP(A287,合同台帐!$A$4:$F$195,6,1),VLOOKUP(A287,合同台帐!$A$4:$F$195,6,1))),0)</f>
        <v>1774697</v>
      </c>
      <c r="G287" s="82">
        <f t="shared" ref="G287" si="147">F287/K$2</f>
        <v>15.251356915011462</v>
      </c>
      <c r="H287" s="80">
        <f ca="1">IF(A287&lt;&gt;0,IF($H$2="元",VLOOKUP(A287,合同台帐!$A$4:$K$1093,11,1),VLOOKUP(A287,合同台帐!$A$4:$K$1093,11,1)),0)</f>
        <v>80225</v>
      </c>
      <c r="I287" s="107"/>
      <c r="J287" s="117"/>
      <c r="K287" s="122"/>
    </row>
    <row r="288" spans="1:11" s="52" customFormat="1" ht="24" outlineLevel="3">
      <c r="A288" s="103" t="s">
        <v>1679</v>
      </c>
      <c r="B288" s="77" t="str">
        <f>IF(A288&lt;&gt;0,VLOOKUP(A288,合同台帐!$A$4:$D$195,4,1),"")</f>
        <v>33#楼宇门及样板单元首层楼梯间户门采购安装</v>
      </c>
      <c r="C288" s="78"/>
      <c r="D288" s="79"/>
      <c r="E288" s="80"/>
      <c r="F288" s="81">
        <f>IF(A288&lt;&gt;0,IF(VLOOKUP(A288,合同台帐!$A$4:$G$195,7,1),IF($H$2="元",VLOOKUP(A288,合同台帐!$A$4:$G$195,7,1),VLOOKUP(A288,合同台帐!$A$4:$G$195,7,1)),IF($H$2="元",VLOOKUP(A288,合同台帐!$A$4:$F$195,6,1),VLOOKUP(A288,合同台帐!$A$4:$F$195,6,1))),0)</f>
        <v>24560</v>
      </c>
      <c r="G288" s="82">
        <f t="shared" ref="G288" si="148">F288/K$2</f>
        <v>0.21106325521071004</v>
      </c>
      <c r="H288" s="80">
        <f ca="1">IF(A288&lt;&gt;0,IF($H$2="元",VLOOKUP(A288,合同台帐!$A$4:$K$1093,11,1),VLOOKUP(A288,合同台帐!$A$4:$K$1093,11,1)),0)</f>
        <v>23332</v>
      </c>
      <c r="I288" s="107"/>
      <c r="J288" s="117"/>
      <c r="K288" s="122"/>
    </row>
    <row r="289" spans="1:11" s="52" customFormat="1" ht="24" outlineLevel="3">
      <c r="A289" s="103" t="s">
        <v>1680</v>
      </c>
      <c r="B289" s="77" t="str">
        <f>IF(A289&lt;&gt;0,VLOOKUP(A289,合同台帐!$A$4:$D$195,4,1),"")</f>
        <v>一期（复式）钢质防盗门采购安装（不含33#楼6樘门）</v>
      </c>
      <c r="C289" s="78"/>
      <c r="D289" s="79"/>
      <c r="E289" s="80"/>
      <c r="F289" s="81">
        <f>IF(A289&lt;&gt;0,IF(VLOOKUP(A289,合同台帐!$A$4:$G$195,7,1),IF($H$2="元",VLOOKUP(A289,合同台帐!$A$4:$G$195,7,1),VLOOKUP(A289,合同台帐!$A$4:$G$195,7,1)),IF($H$2="元",VLOOKUP(A289,合同台帐!$A$4:$F$195,6,1),VLOOKUP(A289,合同台帐!$A$4:$F$195,6,1))),0)</f>
        <v>644860</v>
      </c>
      <c r="G289" s="82">
        <f t="shared" ref="G289" si="149">F289/K$2</f>
        <v>5.5417854542010785</v>
      </c>
      <c r="H289" s="80">
        <f ca="1">IF(A289&lt;&gt;0,IF($H$2="元",VLOOKUP(A289,合同台帐!$A$4:$K$1093,11,1),VLOOKUP(A289,合同台帐!$A$4:$K$1093,11,1)),0)</f>
        <v>0</v>
      </c>
      <c r="I289" s="107"/>
      <c r="J289" s="117"/>
      <c r="K289" s="122"/>
    </row>
    <row r="290" spans="1:11" s="51" customFormat="1" ht="12.75" outlineLevel="3">
      <c r="A290" s="99"/>
      <c r="B290" s="84"/>
      <c r="C290" s="85"/>
      <c r="D290" s="86"/>
      <c r="E290" s="87"/>
      <c r="F290" s="88"/>
      <c r="G290" s="89"/>
      <c r="H290" s="87"/>
      <c r="I290" s="119"/>
      <c r="J290" s="119"/>
      <c r="K290" s="114"/>
    </row>
    <row r="291" spans="1:11" s="51" customFormat="1" ht="12.75" outlineLevel="3">
      <c r="A291" s="99"/>
      <c r="B291" s="84"/>
      <c r="C291" s="85"/>
      <c r="D291" s="86"/>
      <c r="E291" s="87"/>
      <c r="F291" s="88"/>
      <c r="G291" s="89"/>
      <c r="H291" s="87">
        <f>IF(A291&lt;&gt;0,IF($H$2="元",VLOOKUP(A291,合同台帐!$A$4:$K$1093,11,1),VLOOKUP(A291,合同台帐!$A$4:$K$1093,11,1)),0)</f>
        <v>0</v>
      </c>
      <c r="I291" s="119"/>
      <c r="J291" s="119"/>
      <c r="K291" s="114"/>
    </row>
    <row r="292" spans="1:11" s="51" customFormat="1" ht="12.75" outlineLevel="2">
      <c r="A292" s="95"/>
      <c r="B292" s="84" t="s">
        <v>1681</v>
      </c>
      <c r="C292" s="85"/>
      <c r="D292" s="86">
        <f>E292/K$2*10000</f>
        <v>40.000001718756145</v>
      </c>
      <c r="E292" s="87">
        <v>465.4529</v>
      </c>
      <c r="F292" s="88">
        <f>SUM(F293:F296)</f>
        <v>2050000</v>
      </c>
      <c r="G292" s="88">
        <f t="shared" ref="G292:H292" si="150">SUM(G293:G296)</f>
        <v>17.617250536724576</v>
      </c>
      <c r="H292" s="88">
        <f t="shared" ca="1" si="150"/>
        <v>400000</v>
      </c>
      <c r="I292" s="115">
        <f>F292-E292*10000</f>
        <v>-2604529</v>
      </c>
      <c r="J292" s="119"/>
      <c r="K292" s="114"/>
    </row>
    <row r="293" spans="1:11" s="52" customFormat="1" ht="12.75" outlineLevel="3">
      <c r="A293" s="103" t="s">
        <v>1682</v>
      </c>
      <c r="B293" s="77" t="str">
        <f>IF(A293&lt;&gt;0,VLOOKUP(A293,合同台帐!$A$4:$D$195,4,1),"")</f>
        <v>一期配电箱采购合同（含电表箱）</v>
      </c>
      <c r="C293" s="78"/>
      <c r="D293" s="79"/>
      <c r="E293" s="80"/>
      <c r="F293" s="81">
        <f>IF(A293&lt;&gt;0,IF(VLOOKUP(A293,合同台帐!$A$4:$G$195,7,1),IF($H$2="元",VLOOKUP(A293,合同台帐!$A$4:$G$195,7,1),VLOOKUP(A293,合同台帐!$A$4:$G$195,7,1)),IF($H$2="元",VLOOKUP(A293,合同台帐!$A$4:$F$195,6,1),VLOOKUP(A293,合同台帐!$A$4:$F$195,6,1))),0)</f>
        <v>2050000</v>
      </c>
      <c r="G293" s="82">
        <f t="shared" ref="G293" si="151">F293/K$2</f>
        <v>17.617250536724576</v>
      </c>
      <c r="H293" s="80">
        <f ca="1">IF(A293&lt;&gt;0,IF($H$2="元",VLOOKUP(A293,合同台帐!$A$4:$K$1093,11,1),VLOOKUP(A293,合同台帐!$A$4:$K$1093,11,1)),0)</f>
        <v>400000</v>
      </c>
      <c r="I293" s="107"/>
      <c r="J293" s="117"/>
      <c r="K293" s="122"/>
    </row>
    <row r="294" spans="1:11" s="51" customFormat="1" ht="12.75" outlineLevel="3">
      <c r="A294" s="99"/>
      <c r="B294" s="84"/>
      <c r="C294" s="85"/>
      <c r="D294" s="86"/>
      <c r="E294" s="87"/>
      <c r="F294" s="88"/>
      <c r="G294" s="89"/>
      <c r="H294" s="87">
        <f>IF(A294&lt;&gt;0,IF($H$2="元",VLOOKUP(A294,合同台帐!$A$4:$K$1093,11,1),VLOOKUP(A294,合同台帐!$A$4:$K$1093,11,1)),0)</f>
        <v>0</v>
      </c>
      <c r="I294" s="119"/>
      <c r="J294" s="119"/>
      <c r="K294" s="114"/>
    </row>
    <row r="295" spans="1:11" s="51" customFormat="1" ht="12.75" outlineLevel="3">
      <c r="A295" s="99"/>
      <c r="B295" s="96"/>
      <c r="C295" s="85"/>
      <c r="D295" s="86"/>
      <c r="E295" s="87"/>
      <c r="F295" s="88"/>
      <c r="G295" s="89"/>
      <c r="H295" s="87"/>
      <c r="I295" s="119"/>
      <c r="J295" s="119"/>
      <c r="K295" s="114"/>
    </row>
    <row r="296" spans="1:11" s="51" customFormat="1" ht="12.75" outlineLevel="3">
      <c r="A296" s="99"/>
      <c r="B296" s="84"/>
      <c r="C296" s="85"/>
      <c r="D296" s="86"/>
      <c r="E296" s="87"/>
      <c r="F296" s="88"/>
      <c r="G296" s="89"/>
      <c r="H296" s="87">
        <f>IF(A296&lt;&gt;0,IF($H$2="元",VLOOKUP(A296,合同台帐!$A$4:$K$1093,11,1),VLOOKUP(A296,合同台帐!$A$4:$K$1093,11,1)),0)</f>
        <v>0</v>
      </c>
      <c r="I296" s="119"/>
      <c r="J296" s="119"/>
      <c r="K296" s="114"/>
    </row>
    <row r="297" spans="1:11" ht="12.75" outlineLevel="1">
      <c r="A297" s="72"/>
      <c r="B297" s="73" t="s">
        <v>1683</v>
      </c>
      <c r="C297" s="74" t="s">
        <v>1658</v>
      </c>
      <c r="D297" s="92">
        <f>D298+D301+D304+D307+D310+D313+D316+D319</f>
        <v>100.95151199837888</v>
      </c>
      <c r="E297" s="92">
        <f t="shared" ref="E297:H297" si="152">E298+E301+E304+E307+E310+E313+E316+E319</f>
        <v>1174.7043000000001</v>
      </c>
      <c r="F297" s="92">
        <f t="shared" si="152"/>
        <v>1043196</v>
      </c>
      <c r="G297" s="92">
        <f t="shared" si="152"/>
        <v>8.9649977028824068</v>
      </c>
      <c r="H297" s="92">
        <f t="shared" ca="1" si="152"/>
        <v>609915</v>
      </c>
      <c r="I297" s="115">
        <f t="shared" ref="I297:I301" si="153">F297-E297*10000</f>
        <v>-10703847.000000002</v>
      </c>
      <c r="J297" s="116">
        <f>G297-D297</f>
        <v>-91.986514295496477</v>
      </c>
      <c r="K297" s="114"/>
    </row>
    <row r="298" spans="1:11" s="51" customFormat="1" ht="12.75" outlineLevel="2">
      <c r="A298" s="95"/>
      <c r="B298" s="84" t="s">
        <v>1684</v>
      </c>
      <c r="C298" s="85"/>
      <c r="D298" s="86">
        <f>E298/K$2*10000</f>
        <v>2.320320802397871</v>
      </c>
      <c r="E298" s="87">
        <v>27</v>
      </c>
      <c r="F298" s="88">
        <f>SUM(F299:F300)</f>
        <v>0</v>
      </c>
      <c r="G298" s="88">
        <f t="shared" ref="G298:H298" si="154">SUM(G299:G300)</f>
        <v>0</v>
      </c>
      <c r="H298" s="88">
        <f t="shared" si="154"/>
        <v>0</v>
      </c>
      <c r="I298" s="115">
        <f t="shared" si="153"/>
        <v>-270000</v>
      </c>
      <c r="J298" s="119"/>
      <c r="K298" s="114"/>
    </row>
    <row r="299" spans="1:11" s="51" customFormat="1" ht="12.75" outlineLevel="3">
      <c r="A299" s="99"/>
      <c r="B299" s="84"/>
      <c r="C299" s="85"/>
      <c r="D299" s="86"/>
      <c r="E299" s="87"/>
      <c r="F299" s="88"/>
      <c r="G299" s="89"/>
      <c r="H299" s="87"/>
      <c r="I299" s="88"/>
      <c r="J299" s="119"/>
      <c r="K299" s="114"/>
    </row>
    <row r="300" spans="1:11" s="51" customFormat="1" ht="12.75" outlineLevel="3">
      <c r="A300" s="99"/>
      <c r="B300" s="84"/>
      <c r="C300" s="85"/>
      <c r="D300" s="86"/>
      <c r="E300" s="87"/>
      <c r="F300" s="88"/>
      <c r="G300" s="89"/>
      <c r="H300" s="87"/>
      <c r="I300" s="88"/>
      <c r="J300" s="119"/>
      <c r="K300" s="114"/>
    </row>
    <row r="301" spans="1:11" s="51" customFormat="1" ht="12.75" outlineLevel="2">
      <c r="A301" s="95"/>
      <c r="B301" s="84" t="s">
        <v>1685</v>
      </c>
      <c r="C301" s="85"/>
      <c r="D301" s="86">
        <f>E301/K$2*10000</f>
        <v>15.030522531088433</v>
      </c>
      <c r="E301" s="87">
        <v>174.9</v>
      </c>
      <c r="F301" s="88">
        <f>SUM(F302:F303)</f>
        <v>513000</v>
      </c>
      <c r="G301" s="88">
        <f t="shared" ref="G301:H301" si="155">SUM(G302:G303)</f>
        <v>4.4086095245559553</v>
      </c>
      <c r="H301" s="88">
        <f t="shared" ca="1" si="155"/>
        <v>150000</v>
      </c>
      <c r="I301" s="115">
        <f t="shared" si="153"/>
        <v>-1236000</v>
      </c>
      <c r="J301" s="119"/>
      <c r="K301" s="114"/>
    </row>
    <row r="302" spans="1:11" s="52" customFormat="1" ht="16.5" customHeight="1" outlineLevel="3">
      <c r="A302" s="76" t="s">
        <v>358</v>
      </c>
      <c r="B302" s="77" t="str">
        <f>IF(A302&lt;&gt;0,VLOOKUP(A302,合同台帐!$A$4:$D$893,4,1),"")</f>
        <v>示范区智能化工程</v>
      </c>
      <c r="C302" s="78"/>
      <c r="D302" s="79"/>
      <c r="E302" s="80"/>
      <c r="F302" s="81">
        <f>IF(A302&lt;&gt;0,VLOOKUP(A302,合同台帐!$A$4:$J$893,6,1),"")</f>
        <v>513000</v>
      </c>
      <c r="G302" s="82">
        <f>F302/K2</f>
        <v>4.4086095245559553</v>
      </c>
      <c r="H302" s="80">
        <f ca="1">IF(A302&lt;&gt;0,IF($H$2="元",VLOOKUP(A302,合同台帐!$A$4:$K$1093,11,1),VLOOKUP(A302,合同台帐!$A$4:$K$1093,11,1)),0)</f>
        <v>150000</v>
      </c>
      <c r="I302" s="81"/>
      <c r="J302" s="117"/>
      <c r="K302" s="118"/>
    </row>
    <row r="303" spans="1:11" s="51" customFormat="1" ht="12.75" outlineLevel="3">
      <c r="A303" s="95"/>
      <c r="B303" s="84"/>
      <c r="C303" s="85"/>
      <c r="D303" s="86"/>
      <c r="E303" s="87"/>
      <c r="F303" s="88"/>
      <c r="G303" s="89"/>
      <c r="H303" s="87"/>
      <c r="I303" s="119"/>
      <c r="J303" s="119"/>
      <c r="K303" s="114"/>
    </row>
    <row r="304" spans="1:11" s="51" customFormat="1" ht="12.75" outlineLevel="2">
      <c r="A304" s="95"/>
      <c r="B304" s="84" t="s">
        <v>1686</v>
      </c>
      <c r="C304" s="85"/>
      <c r="D304" s="86">
        <f>E304/K$2*10000</f>
        <v>21.773254469926151</v>
      </c>
      <c r="E304" s="87">
        <v>253.36060000000001</v>
      </c>
      <c r="F304" s="88">
        <f>SUM(F305:F306)</f>
        <v>0</v>
      </c>
      <c r="G304" s="88">
        <f t="shared" ref="G304:H304" si="156">SUM(G305:G306)</f>
        <v>0</v>
      </c>
      <c r="H304" s="88">
        <f t="shared" si="156"/>
        <v>0</v>
      </c>
      <c r="I304" s="115">
        <f>F304-E304*10000</f>
        <v>-2533606</v>
      </c>
      <c r="J304" s="119"/>
      <c r="K304" s="114"/>
    </row>
    <row r="305" spans="1:11" s="51" customFormat="1" ht="12.75" outlineLevel="3">
      <c r="A305" s="99"/>
      <c r="B305" s="84"/>
      <c r="C305" s="85"/>
      <c r="D305" s="86"/>
      <c r="E305" s="87"/>
      <c r="F305" s="88"/>
      <c r="G305" s="89"/>
      <c r="H305" s="87"/>
      <c r="I305" s="119"/>
      <c r="J305" s="119"/>
      <c r="K305" s="114"/>
    </row>
    <row r="306" spans="1:11" s="51" customFormat="1" ht="12.75" outlineLevel="3">
      <c r="A306" s="95"/>
      <c r="B306" s="84"/>
      <c r="C306" s="85"/>
      <c r="D306" s="86"/>
      <c r="E306" s="87"/>
      <c r="F306" s="88"/>
      <c r="G306" s="89"/>
      <c r="H306" s="87"/>
      <c r="I306" s="119"/>
      <c r="J306" s="119"/>
      <c r="K306" s="114"/>
    </row>
    <row r="307" spans="1:11" s="51" customFormat="1" ht="12.75" outlineLevel="2">
      <c r="A307" s="95"/>
      <c r="B307" s="84" t="s">
        <v>1687</v>
      </c>
      <c r="C307" s="85"/>
      <c r="D307" s="86">
        <f>E307/K$2*10000</f>
        <v>18.648504226679187</v>
      </c>
      <c r="E307" s="87">
        <v>217</v>
      </c>
      <c r="F307" s="88">
        <f>SUM(F308:F309)</f>
        <v>0</v>
      </c>
      <c r="G307" s="88">
        <f t="shared" ref="G307:H307" si="157">SUM(G308:G309)</f>
        <v>0</v>
      </c>
      <c r="H307" s="88">
        <f t="shared" si="157"/>
        <v>0</v>
      </c>
      <c r="I307" s="115">
        <f>F307-E307*10000</f>
        <v>-2170000</v>
      </c>
      <c r="J307" s="119"/>
      <c r="K307" s="114"/>
    </row>
    <row r="308" spans="1:11" s="51" customFormat="1" ht="12.75" outlineLevel="3">
      <c r="A308" s="99"/>
      <c r="B308" s="84"/>
      <c r="C308" s="85"/>
      <c r="D308" s="86"/>
      <c r="E308" s="87"/>
      <c r="F308" s="88"/>
      <c r="G308" s="89"/>
      <c r="H308" s="87"/>
      <c r="I308" s="88"/>
      <c r="J308" s="119"/>
      <c r="K308" s="114"/>
    </row>
    <row r="309" spans="1:11" s="51" customFormat="1" ht="12.75" outlineLevel="3">
      <c r="A309" s="99"/>
      <c r="B309" s="84"/>
      <c r="C309" s="85"/>
      <c r="D309" s="86"/>
      <c r="E309" s="87"/>
      <c r="F309" s="88"/>
      <c r="G309" s="89"/>
      <c r="H309" s="87"/>
      <c r="I309" s="88"/>
      <c r="J309" s="119"/>
      <c r="K309" s="114"/>
    </row>
    <row r="310" spans="1:11" s="51" customFormat="1" ht="12.75" outlineLevel="2">
      <c r="A310" s="95"/>
      <c r="B310" s="84" t="s">
        <v>1688</v>
      </c>
      <c r="C310" s="85"/>
      <c r="D310" s="86">
        <f>E310/K$2*10000</f>
        <v>4.5648788337070769</v>
      </c>
      <c r="E310" s="87">
        <v>53.118400000000001</v>
      </c>
      <c r="F310" s="88">
        <f>SUM(F311:F312)</f>
        <v>530196</v>
      </c>
      <c r="G310" s="88">
        <f t="shared" ref="G310:H310" si="158">SUM(G311:G312)</f>
        <v>4.5563881783264506</v>
      </c>
      <c r="H310" s="88">
        <f t="shared" ca="1" si="158"/>
        <v>459915</v>
      </c>
      <c r="I310" s="115">
        <f>F310-E310*10000</f>
        <v>-988</v>
      </c>
      <c r="J310" s="119"/>
      <c r="K310" s="114"/>
    </row>
    <row r="311" spans="1:11" s="52" customFormat="1" ht="16.5" customHeight="1" outlineLevel="3">
      <c r="A311" s="76" t="s">
        <v>299</v>
      </c>
      <c r="B311" s="77" t="str">
        <f>IF(A311&lt;&gt;0,VLOOKUP(A311,合同台帐!$A$4:$D$893,4,1),"")</f>
        <v>售楼处中央空调安装合同</v>
      </c>
      <c r="C311" s="78"/>
      <c r="D311" s="79"/>
      <c r="E311" s="80"/>
      <c r="F311" s="81">
        <f>IF(A311&lt;&gt;0,VLOOKUP(A311,合同台帐!$A$4:$J$893,6,1),"")</f>
        <v>450612</v>
      </c>
      <c r="G311" s="82">
        <f>F311/K2</f>
        <v>3.8724607311485535</v>
      </c>
      <c r="H311" s="80">
        <f ca="1">IF(A311&lt;&gt;0,IF($H$2="元",VLOOKUP(A311,合同台帐!$A$4:$K$1093,11,1),VLOOKUP(A311,合同台帐!$A$4:$K$1093,11,1)),0)</f>
        <v>428081</v>
      </c>
      <c r="I311" s="81"/>
      <c r="J311" s="117"/>
      <c r="K311" s="118"/>
    </row>
    <row r="312" spans="1:11" s="52" customFormat="1" ht="16.5" customHeight="1" outlineLevel="3">
      <c r="A312" s="76" t="s">
        <v>311</v>
      </c>
      <c r="B312" s="77" t="str">
        <f>IF(A312&lt;&gt;0,VLOOKUP(A312,合同台帐!$A$4:$D$893,4,1),"")</f>
        <v>联排样板间中央空调安装合同</v>
      </c>
      <c r="C312" s="78"/>
      <c r="D312" s="79"/>
      <c r="E312" s="80"/>
      <c r="F312" s="81">
        <f>IF(A312&lt;&gt;0,VLOOKUP(A312,合同台帐!$A$4:$J$893,6,1),"")</f>
        <v>79584</v>
      </c>
      <c r="G312" s="82">
        <f>F312/K2</f>
        <v>0.68392744717789689</v>
      </c>
      <c r="H312" s="80">
        <f ca="1">IF(A312&lt;&gt;0,IF($H$2="元",VLOOKUP(A312,合同台帐!$A$4:$K$1093,11,1),VLOOKUP(A312,合同台帐!$A$4:$K$1093,11,1)),0)</f>
        <v>31834</v>
      </c>
      <c r="I312" s="81"/>
      <c r="J312" s="117"/>
      <c r="K312" s="118"/>
    </row>
    <row r="313" spans="1:11" s="51" customFormat="1" ht="12.75" outlineLevel="2">
      <c r="A313" s="95"/>
      <c r="B313" s="84" t="s">
        <v>1689</v>
      </c>
      <c r="C313" s="85"/>
      <c r="D313" s="86">
        <f>E313/K$2*10000</f>
        <v>0</v>
      </c>
      <c r="E313" s="87">
        <v>0</v>
      </c>
      <c r="F313" s="88">
        <f>SUM(F314:F315)</f>
        <v>0</v>
      </c>
      <c r="G313" s="88">
        <f t="shared" ref="G313:H313" si="159">SUM(G314:G315)</f>
        <v>0</v>
      </c>
      <c r="H313" s="88">
        <f t="shared" si="159"/>
        <v>0</v>
      </c>
      <c r="I313" s="115">
        <f>F313-E313*10000</f>
        <v>0</v>
      </c>
      <c r="J313" s="119"/>
      <c r="K313" s="114"/>
    </row>
    <row r="314" spans="1:11" s="51" customFormat="1" ht="12.75" outlineLevel="3">
      <c r="A314" s="99"/>
      <c r="B314" s="84"/>
      <c r="C314" s="85"/>
      <c r="D314" s="86"/>
      <c r="E314" s="87"/>
      <c r="F314" s="88"/>
      <c r="G314" s="89"/>
      <c r="H314" s="87"/>
      <c r="I314" s="119"/>
      <c r="J314" s="119"/>
      <c r="K314" s="114"/>
    </row>
    <row r="315" spans="1:11" s="51" customFormat="1" ht="12.75" outlineLevel="3">
      <c r="A315" s="95"/>
      <c r="B315" s="84"/>
      <c r="C315" s="85"/>
      <c r="D315" s="86"/>
      <c r="E315" s="87"/>
      <c r="F315" s="88"/>
      <c r="G315" s="89"/>
      <c r="H315" s="87"/>
      <c r="I315" s="119"/>
      <c r="J315" s="119"/>
      <c r="K315" s="114"/>
    </row>
    <row r="316" spans="1:11" s="51" customFormat="1" ht="12.75" outlineLevel="2">
      <c r="A316" s="95"/>
      <c r="B316" s="84" t="s">
        <v>1690</v>
      </c>
      <c r="C316" s="85"/>
      <c r="D316" s="86">
        <f>E316/K$2*10000</f>
        <v>12.897546149032316</v>
      </c>
      <c r="E316" s="87">
        <v>150.08000000000001</v>
      </c>
      <c r="F316" s="88">
        <f>SUM(F317:F318)</f>
        <v>0</v>
      </c>
      <c r="G316" s="88">
        <f t="shared" ref="G316:H316" si="160">SUM(G317:G318)</f>
        <v>0</v>
      </c>
      <c r="H316" s="88">
        <f t="shared" si="160"/>
        <v>0</v>
      </c>
      <c r="I316" s="115">
        <f>F316-E316*10000</f>
        <v>-1500800.0000000002</v>
      </c>
      <c r="J316" s="119"/>
      <c r="K316" s="114"/>
    </row>
    <row r="317" spans="1:11" s="51" customFormat="1" ht="12.75" outlineLevel="3">
      <c r="A317" s="99"/>
      <c r="B317" s="84"/>
      <c r="C317" s="85"/>
      <c r="D317" s="86"/>
      <c r="E317" s="87"/>
      <c r="F317" s="88"/>
      <c r="G317" s="89"/>
      <c r="H317" s="87"/>
      <c r="I317" s="119"/>
      <c r="J317" s="119"/>
      <c r="K317" s="114"/>
    </row>
    <row r="318" spans="1:11" s="51" customFormat="1" ht="12.75" outlineLevel="3">
      <c r="A318" s="99"/>
      <c r="B318" s="84"/>
      <c r="C318" s="85"/>
      <c r="D318" s="86"/>
      <c r="E318" s="87"/>
      <c r="F318" s="88"/>
      <c r="G318" s="89"/>
      <c r="H318" s="87"/>
      <c r="I318" s="119"/>
      <c r="J318" s="119"/>
      <c r="K318" s="114"/>
    </row>
    <row r="319" spans="1:11" s="51" customFormat="1" ht="12.75" outlineLevel="2">
      <c r="A319" s="95"/>
      <c r="B319" s="84" t="s">
        <v>1691</v>
      </c>
      <c r="C319" s="85"/>
      <c r="D319" s="86">
        <f>E319/K$2*10000</f>
        <v>25.716484985547837</v>
      </c>
      <c r="E319" s="87">
        <v>299.24529999999999</v>
      </c>
      <c r="F319" s="88">
        <f>SUM(F320:F321)</f>
        <v>0</v>
      </c>
      <c r="G319" s="88">
        <f t="shared" ref="G319:H319" si="161">SUM(G320:G321)</f>
        <v>0</v>
      </c>
      <c r="H319" s="88">
        <f t="shared" si="161"/>
        <v>0</v>
      </c>
      <c r="I319" s="115">
        <f>F319-E319*10000</f>
        <v>-2992453</v>
      </c>
      <c r="J319" s="119"/>
      <c r="K319" s="114"/>
    </row>
    <row r="320" spans="1:11" s="51" customFormat="1" ht="12.75" outlineLevel="3">
      <c r="A320" s="99"/>
      <c r="B320" s="84"/>
      <c r="C320" s="85"/>
      <c r="D320" s="86"/>
      <c r="E320" s="87"/>
      <c r="F320" s="88"/>
      <c r="G320" s="89"/>
      <c r="H320" s="87"/>
      <c r="I320" s="119"/>
      <c r="J320" s="119"/>
      <c r="K320" s="114"/>
    </row>
    <row r="321" spans="1:11" s="51" customFormat="1" ht="12.75" outlineLevel="3">
      <c r="A321" s="99"/>
      <c r="B321" s="84"/>
      <c r="C321" s="85"/>
      <c r="D321" s="86"/>
      <c r="E321" s="87"/>
      <c r="F321" s="88"/>
      <c r="G321" s="89"/>
      <c r="H321" s="87"/>
      <c r="I321" s="119"/>
      <c r="J321" s="119"/>
      <c r="K321" s="114"/>
    </row>
    <row r="322" spans="1:11" s="51" customFormat="1" ht="12.75" outlineLevel="1">
      <c r="A322" s="131"/>
      <c r="B322" s="73" t="s">
        <v>1692</v>
      </c>
      <c r="C322" s="74"/>
      <c r="D322" s="92">
        <f t="shared" ref="D322:H322" si="162">D323+D328+D333</f>
        <v>431.5093635256913</v>
      </c>
      <c r="E322" s="92">
        <f t="shared" si="162"/>
        <v>5021.1818999999996</v>
      </c>
      <c r="F322" s="92">
        <f t="shared" si="162"/>
        <v>31570059</v>
      </c>
      <c r="G322" s="92">
        <f t="shared" si="162"/>
        <v>271.30616529862272</v>
      </c>
      <c r="H322" s="92">
        <f t="shared" ca="1" si="162"/>
        <v>14819445.800000001</v>
      </c>
      <c r="I322" s="115">
        <f>F322-E322*10000</f>
        <v>-18641759.999999993</v>
      </c>
      <c r="J322" s="116">
        <f>G322-D322</f>
        <v>-160.20319822706858</v>
      </c>
      <c r="K322" s="114"/>
    </row>
    <row r="323" spans="1:11" s="51" customFormat="1" ht="12.75" outlineLevel="2">
      <c r="A323" s="99"/>
      <c r="B323" s="84" t="s">
        <v>1693</v>
      </c>
      <c r="C323" s="85"/>
      <c r="D323" s="86">
        <f>E323/K$2*10000</f>
        <v>310.00166547470923</v>
      </c>
      <c r="E323" s="87">
        <v>3607.2791999999999</v>
      </c>
      <c r="F323" s="88">
        <f>SUM(F324:F327)</f>
        <v>19388094</v>
      </c>
      <c r="G323" s="88">
        <f t="shared" ref="G323:H323" si="163">SUM(G324:G327)</f>
        <v>166.61702898905685</v>
      </c>
      <c r="H323" s="88">
        <f t="shared" ca="1" si="163"/>
        <v>9592076.8000000007</v>
      </c>
      <c r="I323" s="120"/>
      <c r="J323" s="119"/>
      <c r="K323" s="114"/>
    </row>
    <row r="324" spans="1:11" s="52" customFormat="1" ht="16.5" customHeight="1" outlineLevel="3">
      <c r="A324" s="76" t="s">
        <v>131</v>
      </c>
      <c r="B324" s="77" t="str">
        <f>IF(A324&lt;&gt;0,VLOOKUP(A324,合同台帐!$A$4:$D$893,4,1),"")</f>
        <v>蓟县苗木采购与种植养护工程施工合同</v>
      </c>
      <c r="C324" s="78"/>
      <c r="D324" s="79"/>
      <c r="E324" s="80"/>
      <c r="F324" s="81">
        <f>IF(A324&lt;&gt;0,VLOOKUP(A324,合同台帐!$A$4:$J$893,6,1),"")</f>
        <v>8280192</v>
      </c>
      <c r="G324" s="82">
        <f>F324/K2</f>
        <v>71.158154612771966</v>
      </c>
      <c r="H324" s="80">
        <f ca="1">IF(A324&lt;&gt;0,IF($H$2="元",VLOOKUP(A324,合同台帐!$A$4:$K$1093,11,1),VLOOKUP(A324,合同台帐!$A$4:$K$1093,11,1)),0)</f>
        <v>3312076.7999999998</v>
      </c>
      <c r="I324" s="81"/>
      <c r="J324" s="117"/>
      <c r="K324" s="118"/>
    </row>
    <row r="325" spans="1:11" s="52" customFormat="1" ht="16.5" customHeight="1" outlineLevel="3">
      <c r="A325" s="76" t="s">
        <v>317</v>
      </c>
      <c r="B325" s="77" t="str">
        <f>IF(A325&lt;&gt;0,VLOOKUP(A325,合同台帐!$A$4:$D$893,4,1),"")</f>
        <v>苗木增补协议</v>
      </c>
      <c r="C325" s="78"/>
      <c r="D325" s="79"/>
      <c r="E325" s="80"/>
      <c r="F325" s="81">
        <f>IF(A325&lt;&gt;0,VLOOKUP(A325,合同台帐!$A$4:$J$893,6,1),"")</f>
        <v>477650</v>
      </c>
      <c r="G325" s="82">
        <f>F325/K2</f>
        <v>4.1048193750568265</v>
      </c>
      <c r="H325" s="80">
        <f ca="1">IF(A325&lt;&gt;0,IF($H$2="元",VLOOKUP(A325,合同台帐!$A$4:$K$1093,11,1),VLOOKUP(A325,合同台帐!$A$4:$K$1093,11,1)),0)</f>
        <v>280000</v>
      </c>
      <c r="I325" s="81"/>
      <c r="J325" s="117"/>
      <c r="K325" s="118"/>
    </row>
    <row r="326" spans="1:11" s="52" customFormat="1" ht="16.5" customHeight="1" outlineLevel="3">
      <c r="A326" s="76" t="s">
        <v>305</v>
      </c>
      <c r="B326" s="77" t="str">
        <f>IF(A326&lt;&gt;0,VLOOKUP(A326,合同台帐!$A$4:$D$893,4,1),"")</f>
        <v>示范区景观</v>
      </c>
      <c r="C326" s="78"/>
      <c r="D326" s="79"/>
      <c r="E326" s="80"/>
      <c r="F326" s="81">
        <f>IF(A326&lt;&gt;0,VLOOKUP(A326,合同台帐!$A$4:$J$893,6,1),"")</f>
        <v>9498614</v>
      </c>
      <c r="G326" s="82">
        <f>F326/K2</f>
        <v>81.629006141287604</v>
      </c>
      <c r="H326" s="80">
        <f ca="1">IF(A326&lt;&gt;0,IF($H$2="元",VLOOKUP(A326,合同台帐!$A$4:$K$1093,11,1),VLOOKUP(A326,合同台帐!$A$4:$K$1093,11,1)),0)</f>
        <v>6000000</v>
      </c>
      <c r="I326" s="81"/>
      <c r="J326" s="117"/>
      <c r="K326" s="118"/>
    </row>
    <row r="327" spans="1:11" s="52" customFormat="1" ht="16.5" customHeight="1" outlineLevel="3">
      <c r="A327" s="76" t="s">
        <v>785</v>
      </c>
      <c r="B327" s="77" t="str">
        <f>IF(A327&lt;&gt;0,VLOOKUP(A327,合同台帐!$A$4:$D$893,4,1),"")</f>
        <v>示范区围墙（示范区部分大区及小院围墙）</v>
      </c>
      <c r="C327" s="78"/>
      <c r="D327" s="79"/>
      <c r="E327" s="80"/>
      <c r="F327" s="81">
        <f>IF(A327&lt;&gt;0,VLOOKUP(A327,合同台帐!$A$4:$J$893,6,1),"")</f>
        <v>1131638</v>
      </c>
      <c r="G327" s="82">
        <f>F327/K2</f>
        <v>9.7250488599404523</v>
      </c>
      <c r="H327" s="80">
        <f ca="1">IF(A327&lt;&gt;0,IF($H$2="元",VLOOKUP(A327,合同台帐!$A$4:$K$1093,11,1),VLOOKUP(A327,合同台帐!$A$4:$K$1093,11,1)),0)</f>
        <v>0</v>
      </c>
      <c r="I327" s="81"/>
      <c r="J327" s="117"/>
      <c r="K327" s="118"/>
    </row>
    <row r="328" spans="1:11" s="51" customFormat="1" ht="12.75" outlineLevel="2">
      <c r="A328" s="99"/>
      <c r="B328" s="84" t="s">
        <v>1694</v>
      </c>
      <c r="C328" s="85"/>
      <c r="D328" s="86">
        <f>E328/K$2*10000</f>
        <v>93.899996923426485</v>
      </c>
      <c r="E328" s="87">
        <v>1092.6505999999999</v>
      </c>
      <c r="F328" s="88">
        <f>SUM(F329:F332)</f>
        <v>9081965</v>
      </c>
      <c r="G328" s="88">
        <f t="shared" ref="G328:H328" si="164">SUM(G329:G332)</f>
        <v>78.048415985738444</v>
      </c>
      <c r="H328" s="88">
        <f t="shared" ca="1" si="164"/>
        <v>3277369</v>
      </c>
      <c r="I328" s="120"/>
      <c r="J328" s="119"/>
      <c r="K328" s="114"/>
    </row>
    <row r="329" spans="1:11" s="52" customFormat="1" ht="12.75" outlineLevel="3">
      <c r="A329" s="76" t="s">
        <v>184</v>
      </c>
      <c r="B329" s="77" t="str">
        <f>IF(A329&lt;&gt;0,VLOOKUP(A329,合同台帐!$A$4:$D$195,4,1),"")</f>
        <v>挡土墙施工合同（西侧、南侧）</v>
      </c>
      <c r="C329" s="78"/>
      <c r="D329" s="79"/>
      <c r="E329" s="80"/>
      <c r="F329" s="81">
        <f>IF(A329&lt;&gt;0,IF(VLOOKUP(A329,合同台帐!$A$4:$G$195,7,1),IF($H$2="元",VLOOKUP(A329,合同台帐!$A$4:$G$195,7,1),VLOOKUP(A329,合同台帐!$A$4:$G$195,7,1)),IF($H$2="元",VLOOKUP(A329,合同台帐!$A$4:$F$195,6,1),VLOOKUP(A329,合同台帐!$A$4:$F$195,6,1))),0)</f>
        <v>1243479</v>
      </c>
      <c r="G329" s="82">
        <f>F329/K$2</f>
        <v>10.686185892758898</v>
      </c>
      <c r="H329" s="80">
        <f ca="1">IF(A329&lt;&gt;0,IF($H$2="元",VLOOKUP(A329,合同台帐!$A$4:$K$1093,11,1),VLOOKUP(A329,合同台帐!$A$4:$K$1093,11,1)),0)</f>
        <v>1243479</v>
      </c>
      <c r="I329" s="107"/>
      <c r="J329" s="117"/>
      <c r="K329" s="122"/>
    </row>
    <row r="330" spans="1:11" s="52" customFormat="1" ht="12.75" outlineLevel="3">
      <c r="A330" s="76" t="s">
        <v>261</v>
      </c>
      <c r="B330" s="77" t="str">
        <f>IF(A330&lt;&gt;0,VLOOKUP(A330,合同台帐!$A$4:$D$195,4,1),"")</f>
        <v>挡土墙施工合同（重签）</v>
      </c>
      <c r="C330" s="78"/>
      <c r="D330" s="79"/>
      <c r="E330" s="80"/>
      <c r="F330" s="81">
        <f>IF(A330&lt;&gt;0,IF(VLOOKUP(A330,合同台帐!$A$4:$G$195,7,1),IF($H$2="元",VLOOKUP(A330,合同台帐!$A$4:$G$195,7,1),VLOOKUP(A330,合同台帐!$A$4:$G$195,7,1)),IF($H$2="元",VLOOKUP(A330,合同台帐!$A$4:$F$195,6,1),VLOOKUP(A330,合同台帐!$A$4:$F$195,6,1))),0)</f>
        <v>3138486</v>
      </c>
      <c r="G330" s="82">
        <f>F330/K$2</f>
        <v>26.971460569757351</v>
      </c>
      <c r="H330" s="80">
        <f ca="1">IF(A330&lt;&gt;0,IF($H$2="元",VLOOKUP(A330,合同台帐!$A$4:$K$1093,11,1),VLOOKUP(A330,合同台帐!$A$4:$K$1093,11,1)),0)</f>
        <v>2033890</v>
      </c>
      <c r="I330" s="107"/>
      <c r="J330" s="117"/>
      <c r="K330" s="122"/>
    </row>
    <row r="331" spans="1:11" s="52" customFormat="1" ht="12.75" outlineLevel="3">
      <c r="A331" s="76" t="s">
        <v>860</v>
      </c>
      <c r="B331" s="77" t="str">
        <f>IF(A331&lt;&gt;0,VLOOKUP(A331,合同台帐!$A$4:$D$195,4,1),"")</f>
        <v>东侧挡土墙</v>
      </c>
      <c r="C331" s="78"/>
      <c r="D331" s="79"/>
      <c r="E331" s="80"/>
      <c r="F331" s="81">
        <f>IF(A331&lt;&gt;0,IF(VLOOKUP(A331,合同台帐!$A$4:$G$195,7,1),IF($H$2="元",VLOOKUP(A331,合同台帐!$A$4:$G$195,7,1),VLOOKUP(A331,合同台帐!$A$4:$G$195,7,1)),IF($H$2="元",VLOOKUP(A331,合同台帐!$A$4:$F$195,6,1),VLOOKUP(A331,合同台帐!$A$4:$F$195,6,1))),0)</f>
        <v>4700000</v>
      </c>
      <c r="G331" s="82">
        <f>F331/K$2</f>
        <v>40.390769523222197</v>
      </c>
      <c r="H331" s="80">
        <f ca="1">IF(A331&lt;&gt;0,IF($H$2="元",VLOOKUP(A331,合同台帐!$A$4:$K$1093,11,1),VLOOKUP(A331,合同台帐!$A$4:$K$1093,11,1)),0)</f>
        <v>0</v>
      </c>
      <c r="I331" s="107"/>
      <c r="J331" s="117"/>
      <c r="K331" s="122"/>
    </row>
    <row r="332" spans="1:11" s="52" customFormat="1" ht="12.75" outlineLevel="3">
      <c r="A332" s="108"/>
      <c r="B332" s="77"/>
      <c r="C332" s="78"/>
      <c r="D332" s="79"/>
      <c r="E332" s="80"/>
      <c r="F332" s="81"/>
      <c r="G332" s="82"/>
      <c r="H332" s="80"/>
      <c r="I332" s="107"/>
      <c r="J332" s="117"/>
      <c r="K332" s="122"/>
    </row>
    <row r="333" spans="1:11" s="51" customFormat="1" ht="12.75" outlineLevel="2">
      <c r="A333" s="99"/>
      <c r="B333" s="84" t="s">
        <v>1695</v>
      </c>
      <c r="C333" s="85"/>
      <c r="D333" s="86">
        <f>E333/K$2*10000</f>
        <v>27.607701127555597</v>
      </c>
      <c r="E333" s="87">
        <v>321.25209999999998</v>
      </c>
      <c r="F333" s="88">
        <f>SUM(F334:F336)</f>
        <v>3100000</v>
      </c>
      <c r="G333" s="88">
        <f t="shared" ref="G333:H333" si="165">SUM(G334:G336)</f>
        <v>26.640720323827409</v>
      </c>
      <c r="H333" s="88">
        <f t="shared" ca="1" si="165"/>
        <v>1950000</v>
      </c>
      <c r="I333" s="120"/>
      <c r="J333" s="119"/>
      <c r="K333" s="114"/>
    </row>
    <row r="334" spans="1:11" s="52" customFormat="1" ht="12.75" outlineLevel="3">
      <c r="A334" s="76" t="s">
        <v>259</v>
      </c>
      <c r="B334" s="77" t="str">
        <f>IF(A334&lt;&gt;0,VLOOKUP(A334,合同台帐!$A$4:$D$195,4,1),"")</f>
        <v>界外地景观</v>
      </c>
      <c r="C334" s="78"/>
      <c r="D334" s="79"/>
      <c r="E334" s="80"/>
      <c r="F334" s="81">
        <f>IF(A334&lt;&gt;0,IF(VLOOKUP(A334,合同台帐!$A$4:$G$195,7,1),IF($H$2="元",VLOOKUP(A334,合同台帐!$A$4:$G$195,7,1),VLOOKUP(A334,合同台帐!$A$4:$G$195,7,1)),IF($H$2="元",VLOOKUP(A334,合同台帐!$A$4:$F$195,6,1),VLOOKUP(A334,合同台帐!$A$4:$F$195,6,1))),0)</f>
        <v>3100000</v>
      </c>
      <c r="G334" s="82">
        <f>F334/K$2</f>
        <v>26.640720323827409</v>
      </c>
      <c r="H334" s="80">
        <f ca="1">IF(A334&lt;&gt;0,IF($H$2="元",VLOOKUP(A334,合同台帐!$A$4:$K$1093,11,1),VLOOKUP(A334,合同台帐!$A$4:$K$1093,11,1)),0)</f>
        <v>1950000</v>
      </c>
      <c r="I334" s="107"/>
      <c r="J334" s="117"/>
      <c r="K334" s="122"/>
    </row>
    <row r="335" spans="1:11" s="52" customFormat="1" ht="12.75" outlineLevel="3">
      <c r="A335" s="108"/>
      <c r="B335" s="77"/>
      <c r="C335" s="78"/>
      <c r="D335" s="79"/>
      <c r="E335" s="80"/>
      <c r="F335" s="81"/>
      <c r="G335" s="82"/>
      <c r="H335" s="80"/>
      <c r="I335" s="107"/>
      <c r="J335" s="117"/>
      <c r="K335" s="122"/>
    </row>
    <row r="336" spans="1:11" s="51" customFormat="1" ht="12.75" outlineLevel="3">
      <c r="A336" s="99"/>
      <c r="B336" s="84"/>
      <c r="C336" s="85"/>
      <c r="D336" s="86"/>
      <c r="E336" s="87"/>
      <c r="F336" s="88"/>
      <c r="G336" s="89"/>
      <c r="H336" s="87"/>
      <c r="I336" s="120"/>
      <c r="J336" s="119"/>
      <c r="K336" s="114"/>
    </row>
    <row r="337" spans="1:12" ht="23.25" customHeight="1" outlineLevel="1">
      <c r="A337" s="72"/>
      <c r="B337" s="73" t="s">
        <v>1696</v>
      </c>
      <c r="C337" s="74" t="s">
        <v>1697</v>
      </c>
      <c r="D337" s="91">
        <f>E337/K2*10000</f>
        <v>23.725615361967463</v>
      </c>
      <c r="E337" s="91">
        <f>E338+E340</f>
        <v>276.07889999999998</v>
      </c>
      <c r="F337" s="91">
        <f t="shared" ref="F337:H337" si="166">F338+F340</f>
        <v>2571257</v>
      </c>
      <c r="G337" s="91">
        <f t="shared" si="166"/>
        <v>22.096818908930157</v>
      </c>
      <c r="H337" s="91">
        <f t="shared" ca="1" si="166"/>
        <v>385687.7</v>
      </c>
      <c r="I337" s="92" t="e">
        <f>SUM(#REF!)</f>
        <v>#REF!</v>
      </c>
      <c r="J337" s="92" t="e">
        <f>SUM(#REF!)</f>
        <v>#REF!</v>
      </c>
      <c r="K337" s="114"/>
    </row>
    <row r="338" spans="1:12" s="51" customFormat="1" ht="12.75" outlineLevel="2">
      <c r="A338" s="99"/>
      <c r="B338" s="84" t="s">
        <v>1698</v>
      </c>
      <c r="C338" s="85"/>
      <c r="D338" s="86">
        <f>E338/K$2*10000</f>
        <v>22.178734827035552</v>
      </c>
      <c r="E338" s="87">
        <v>258.07889999999998</v>
      </c>
      <c r="F338" s="88">
        <f>F339</f>
        <v>2571257</v>
      </c>
      <c r="G338" s="88">
        <f t="shared" ref="G338:H338" si="167">G339</f>
        <v>22.096818908930157</v>
      </c>
      <c r="H338" s="88">
        <f t="shared" ca="1" si="167"/>
        <v>385687.7</v>
      </c>
      <c r="I338" s="120"/>
      <c r="J338" s="119"/>
      <c r="K338" s="114"/>
    </row>
    <row r="339" spans="1:12" s="52" customFormat="1" ht="23.25" customHeight="1" outlineLevel="3">
      <c r="A339" s="76" t="s">
        <v>246</v>
      </c>
      <c r="B339" s="77" t="str">
        <f>IF(A339&lt;&gt;0,VLOOKUP(A339,合同台帐!$A$4:$D$893,4,1),"")</f>
        <v>监理工程</v>
      </c>
      <c r="C339" s="78"/>
      <c r="D339" s="79"/>
      <c r="E339" s="80"/>
      <c r="F339" s="81">
        <f>IF(A339&lt;&gt;0,VLOOKUP(A339,合同台帐!$A$4:$J$893,6,1),"")</f>
        <v>2571257</v>
      </c>
      <c r="G339" s="82">
        <f>F339/K$2</f>
        <v>22.096818908930157</v>
      </c>
      <c r="H339" s="80">
        <f ca="1">IF(A339&lt;&gt;0,IF($H$2="元",VLOOKUP(A339,合同台帐!$A$4:$K$1093,11,1),VLOOKUP(A339,合同台帐!$A$4:$K$1093,11,1)),0)</f>
        <v>385687.7</v>
      </c>
      <c r="I339" s="81"/>
      <c r="J339" s="117"/>
      <c r="K339" s="118"/>
    </row>
    <row r="340" spans="1:12" s="51" customFormat="1" ht="12.75" outlineLevel="2">
      <c r="A340" s="99"/>
      <c r="B340" s="84" t="s">
        <v>1699</v>
      </c>
      <c r="C340" s="85"/>
      <c r="D340" s="86">
        <f>E340/K$2*10000</f>
        <v>1.5468805349319139</v>
      </c>
      <c r="E340" s="87">
        <v>18</v>
      </c>
      <c r="F340" s="88">
        <f>F341+F342+F343</f>
        <v>0</v>
      </c>
      <c r="G340" s="88">
        <f t="shared" ref="G340:H340" si="168">G341+G342+G343</f>
        <v>0</v>
      </c>
      <c r="H340" s="88">
        <f t="shared" si="168"/>
        <v>0</v>
      </c>
      <c r="I340" s="120"/>
      <c r="J340" s="119"/>
      <c r="K340" s="114"/>
    </row>
    <row r="341" spans="1:12" s="52" customFormat="1" ht="12.75" outlineLevel="3">
      <c r="A341" s="108"/>
      <c r="B341" s="77" t="str">
        <f>IF(A341&lt;&gt;0,VLOOKUP(A341,合同台帐!$A$4:$D$195,4,1),"")</f>
        <v/>
      </c>
      <c r="C341" s="78"/>
      <c r="D341" s="79"/>
      <c r="E341" s="80"/>
      <c r="F341" s="81">
        <f>IF(A341&lt;&gt;0,IF(VLOOKUP(A341,合同台帐!$A$4:$G$195,7,1),IF($H$2="元",VLOOKUP(A341,合同台帐!$A$4:$G$195,7,1),VLOOKUP(A341,合同台帐!$A$4:$G$195,7,1)),IF($H$2="元",VLOOKUP(A341,合同台帐!$A$4:$F$195,6,1),VLOOKUP(A341,合同台帐!$A$4:$F$195,6,1))),0)</f>
        <v>0</v>
      </c>
      <c r="G341" s="82">
        <f>F341/K$2</f>
        <v>0</v>
      </c>
      <c r="H341" s="80">
        <f>IF(A341&lt;&gt;0,IF($H$2="元",VLOOKUP(A341,合同台帐!$A$4:$K$1093,11,1),VLOOKUP(A341,合同台帐!$A$4:$K$1093,11,1)),0)</f>
        <v>0</v>
      </c>
      <c r="I341" s="107"/>
      <c r="J341" s="117"/>
      <c r="K341" s="122"/>
    </row>
    <row r="342" spans="1:12" s="52" customFormat="1" ht="12.75" outlineLevel="3">
      <c r="A342" s="108"/>
      <c r="B342" s="77"/>
      <c r="C342" s="78"/>
      <c r="D342" s="79"/>
      <c r="E342" s="80"/>
      <c r="F342" s="81"/>
      <c r="G342" s="82"/>
      <c r="H342" s="80"/>
      <c r="I342" s="107"/>
      <c r="J342" s="117"/>
      <c r="K342" s="122"/>
    </row>
    <row r="343" spans="1:12" s="51" customFormat="1" ht="12.75" outlineLevel="3">
      <c r="A343" s="99"/>
      <c r="B343" s="84"/>
      <c r="C343" s="85"/>
      <c r="D343" s="86"/>
      <c r="E343" s="87"/>
      <c r="F343" s="88"/>
      <c r="G343" s="89"/>
      <c r="H343" s="87"/>
      <c r="I343" s="120"/>
      <c r="J343" s="119"/>
      <c r="K343" s="114"/>
    </row>
    <row r="344" spans="1:12" s="51" customFormat="1" ht="12.75" outlineLevel="1">
      <c r="A344" s="131"/>
      <c r="B344" s="73" t="s">
        <v>1700</v>
      </c>
      <c r="C344" s="74"/>
      <c r="D344" s="91">
        <f>E344/K2*10000</f>
        <v>9.7763966999194434</v>
      </c>
      <c r="E344" s="91">
        <v>113.76130000000001</v>
      </c>
      <c r="F344" s="92">
        <f>SUM(F345:F346)</f>
        <v>0</v>
      </c>
      <c r="G344" s="92">
        <f t="shared" ref="G344:H344" si="169">SUM(G345:G346)</f>
        <v>0</v>
      </c>
      <c r="H344" s="92">
        <f t="shared" si="169"/>
        <v>0</v>
      </c>
      <c r="I344" s="115">
        <f>F344-E344*10000</f>
        <v>-1137613</v>
      </c>
      <c r="J344" s="116">
        <f>G344-D344</f>
        <v>-9.7763966999194434</v>
      </c>
      <c r="K344" s="114"/>
    </row>
    <row r="345" spans="1:12" s="51" customFormat="1" ht="12.75" outlineLevel="2">
      <c r="A345" s="132"/>
      <c r="B345" s="96"/>
      <c r="C345" s="133"/>
      <c r="D345" s="134"/>
      <c r="E345" s="127"/>
      <c r="F345" s="88"/>
      <c r="G345" s="120"/>
      <c r="H345" s="127"/>
      <c r="I345" s="127"/>
      <c r="J345" s="121"/>
      <c r="K345" s="114"/>
    </row>
    <row r="346" spans="1:12" s="51" customFormat="1" ht="12.75" outlineLevel="2">
      <c r="A346" s="132"/>
      <c r="B346" s="96"/>
      <c r="C346" s="133"/>
      <c r="D346" s="134"/>
      <c r="E346" s="127"/>
      <c r="F346" s="88"/>
      <c r="G346" s="120"/>
      <c r="H346" s="127"/>
      <c r="I346" s="127"/>
      <c r="J346" s="121"/>
      <c r="K346" s="114"/>
    </row>
    <row r="347" spans="1:12" s="51" customFormat="1" ht="12.75" outlineLevel="1">
      <c r="A347" s="135"/>
      <c r="B347" s="73" t="s">
        <v>1701</v>
      </c>
      <c r="C347" s="135"/>
      <c r="D347" s="135"/>
      <c r="E347" s="72"/>
      <c r="F347" s="92">
        <f>SUM(F348)</f>
        <v>0</v>
      </c>
      <c r="G347" s="92"/>
      <c r="H347" s="92">
        <f>SUM(H348)</f>
        <v>0</v>
      </c>
      <c r="I347" s="91"/>
      <c r="J347" s="92"/>
      <c r="K347" s="114"/>
    </row>
    <row r="348" spans="1:12" s="52" customFormat="1" ht="23.25" customHeight="1" outlineLevel="3">
      <c r="A348" s="108"/>
      <c r="B348" s="77" t="str">
        <f>IF(A348&lt;&gt;0,VLOOKUP(A348,合同台帐!$A$4:$D$893,4,1),"")</f>
        <v/>
      </c>
      <c r="C348" s="78"/>
      <c r="D348" s="79"/>
      <c r="E348" s="80"/>
      <c r="F348" s="81" t="str">
        <f>IF(A348&lt;&gt;0,VLOOKUP(A348,合同台帐!$A$4:$J$893,6,1),"")</f>
        <v/>
      </c>
      <c r="G348" s="82"/>
      <c r="H348" s="80">
        <f>IF(A348&lt;&gt;0,IF($H$2="元",VLOOKUP(A348,合同台帐!$A$4:$K$1093,11,1),VLOOKUP(A348,合同台帐!$A$4:$K$1093,11,1)),0)</f>
        <v>0</v>
      </c>
      <c r="I348" s="81"/>
      <c r="J348" s="117"/>
      <c r="K348" s="118"/>
    </row>
    <row r="349" spans="1:12" s="50" customFormat="1" ht="12.75">
      <c r="A349" s="68"/>
      <c r="B349" s="69" t="s">
        <v>1702</v>
      </c>
      <c r="C349" s="70" t="s">
        <v>1703</v>
      </c>
      <c r="D349" s="113">
        <f t="shared" ref="D349:H349" si="170">D350+D373+D403+D416+D425+D435+D455+D466+D476</f>
        <v>582.65104729827851</v>
      </c>
      <c r="E349" s="113">
        <f t="shared" si="170"/>
        <v>6779.9151999999985</v>
      </c>
      <c r="F349" s="113">
        <f t="shared" si="170"/>
        <v>43337217.229999997</v>
      </c>
      <c r="G349" s="113" t="e">
        <f t="shared" si="170"/>
        <v>#VALUE!</v>
      </c>
      <c r="H349" s="113">
        <f t="shared" ca="1" si="170"/>
        <v>27408026.199999999</v>
      </c>
      <c r="I349" s="130">
        <f>F349-E349*10000</f>
        <v>-24461934.769999988</v>
      </c>
      <c r="J349" s="71" t="e">
        <f>G349-D349</f>
        <v>#VALUE!</v>
      </c>
      <c r="K349" s="114"/>
    </row>
    <row r="350" spans="1:12" ht="12.75" outlineLevel="1">
      <c r="A350" s="72"/>
      <c r="B350" s="73" t="s">
        <v>1704</v>
      </c>
      <c r="C350" s="74" t="s">
        <v>1705</v>
      </c>
      <c r="D350" s="92">
        <f t="shared" ref="D350:F350" si="171">D351+D354+D357+D360+D363+D366+D370</f>
        <v>137.69502081499633</v>
      </c>
      <c r="E350" s="92">
        <f t="shared" si="171"/>
        <v>1602.2636</v>
      </c>
      <c r="F350" s="92">
        <f t="shared" si="171"/>
        <v>7006790</v>
      </c>
      <c r="G350" s="92" t="e">
        <f t="shared" ref="G350:H350" si="172">G351+G354+G357+G360+G363+G366+G370</f>
        <v>#VALUE!</v>
      </c>
      <c r="H350" s="92">
        <f t="shared" ca="1" si="172"/>
        <v>6014891</v>
      </c>
      <c r="I350" s="92">
        <f t="shared" ref="I350:J350" si="173">I351+I354+I357+I360+I363+I366+I370</f>
        <v>0</v>
      </c>
      <c r="J350" s="92">
        <f t="shared" si="173"/>
        <v>0</v>
      </c>
      <c r="K350" s="114"/>
    </row>
    <row r="351" spans="1:12" ht="12.75" outlineLevel="2">
      <c r="A351" s="99"/>
      <c r="B351" s="84" t="s">
        <v>1706</v>
      </c>
      <c r="C351" s="85"/>
      <c r="D351" s="86">
        <f>E351/K$2*10000</f>
        <v>106.62118150391507</v>
      </c>
      <c r="E351" s="87">
        <v>1240.6784</v>
      </c>
      <c r="F351" s="88">
        <f>SUM(F352:F353)</f>
        <v>6660990</v>
      </c>
      <c r="G351" s="88">
        <f t="shared" ref="G351:H351" si="174">SUM(G352:G353)</f>
        <v>57.243087635422945</v>
      </c>
      <c r="H351" s="88">
        <f t="shared" ca="1" si="174"/>
        <v>5994891</v>
      </c>
      <c r="I351" s="88">
        <f t="shared" ref="I351:J351" si="175">SUM(I352:I353)</f>
        <v>0</v>
      </c>
      <c r="J351" s="88">
        <f t="shared" si="175"/>
        <v>0</v>
      </c>
      <c r="K351" s="114"/>
      <c r="L351" s="136"/>
    </row>
    <row r="352" spans="1:12" s="52" customFormat="1" ht="23.25" customHeight="1" outlineLevel="3">
      <c r="A352" s="76" t="s">
        <v>152</v>
      </c>
      <c r="B352" s="77" t="str">
        <f>IF(A352&lt;&gt;0,VLOOKUP(A352,合同台帐!$A$4:$D$893,4,1),"")</f>
        <v>一期电力配套费</v>
      </c>
      <c r="C352" s="78"/>
      <c r="D352" s="79"/>
      <c r="E352" s="80"/>
      <c r="F352" s="81">
        <f>IF(A352&lt;&gt;0,VLOOKUP(A352,合同台帐!$A$4:$J$893,6,1),"")</f>
        <v>6013035</v>
      </c>
      <c r="G352" s="82">
        <f>F352/K2</f>
        <v>51.674704429801785</v>
      </c>
      <c r="H352" s="80">
        <f ca="1">IF(A352&lt;&gt;0,IF($H$2="元",VLOOKUP(A352,合同台帐!$A$4:$K$1093,11,1),VLOOKUP(A352,合同台帐!$A$4:$K$1093,11,1)),0)</f>
        <v>5411731.5</v>
      </c>
      <c r="I352" s="81"/>
      <c r="J352" s="117"/>
      <c r="K352" s="118"/>
    </row>
    <row r="353" spans="1:11" s="52" customFormat="1" ht="23.25" customHeight="1" outlineLevel="3">
      <c r="A353" s="76" t="s">
        <v>283</v>
      </c>
      <c r="B353" s="77" t="str">
        <f>IF(A353&lt;&gt;0,VLOOKUP(A353,合同台帐!$A$4:$D$893,4,1),"")</f>
        <v>一期电力配套费（泵房、供热站动力负荷）</v>
      </c>
      <c r="C353" s="78"/>
      <c r="D353" s="79"/>
      <c r="E353" s="80"/>
      <c r="F353" s="81">
        <f>IF(A353&lt;&gt;0,VLOOKUP(A353,合同台帐!$A$4:$J$893,6,1),"")</f>
        <v>647955</v>
      </c>
      <c r="G353" s="82">
        <f>F353/K2</f>
        <v>5.5683832056211573</v>
      </c>
      <c r="H353" s="80">
        <f ca="1">IF(A353&lt;&gt;0,IF($H$2="元",VLOOKUP(A353,合同台帐!$A$4:$K$1093,11,1),VLOOKUP(A353,合同台帐!$A$4:$K$1093,11,1)),0)</f>
        <v>583159.5</v>
      </c>
      <c r="I353" s="81"/>
      <c r="J353" s="117"/>
      <c r="K353" s="118"/>
    </row>
    <row r="354" spans="1:11" ht="24" customHeight="1" outlineLevel="2">
      <c r="A354" s="99"/>
      <c r="B354" s="84" t="s">
        <v>1707</v>
      </c>
      <c r="C354" s="85"/>
      <c r="D354" s="86">
        <f>E354/K$2*10000</f>
        <v>0</v>
      </c>
      <c r="E354" s="87">
        <v>0</v>
      </c>
      <c r="F354" s="88">
        <f>SUM(F355:F356)</f>
        <v>0</v>
      </c>
      <c r="G354" s="88">
        <f t="shared" ref="G354:H354" si="176">SUM(G355:G356)</f>
        <v>0</v>
      </c>
      <c r="H354" s="88">
        <f t="shared" si="176"/>
        <v>0</v>
      </c>
      <c r="I354" s="107"/>
      <c r="J354" s="119"/>
      <c r="K354" s="114"/>
    </row>
    <row r="355" spans="1:11" ht="12.75" outlineLevel="3">
      <c r="A355" s="99"/>
      <c r="B355" s="84"/>
      <c r="C355" s="85"/>
      <c r="D355" s="86"/>
      <c r="E355" s="87"/>
      <c r="F355" s="88"/>
      <c r="G355" s="89"/>
      <c r="H355" s="87"/>
      <c r="I355" s="107"/>
      <c r="J355" s="119"/>
      <c r="K355" s="114"/>
    </row>
    <row r="356" spans="1:11" ht="12.75" outlineLevel="3">
      <c r="A356" s="99"/>
      <c r="B356" s="84"/>
      <c r="C356" s="85"/>
      <c r="D356" s="86"/>
      <c r="E356" s="87"/>
      <c r="F356" s="88"/>
      <c r="G356" s="89"/>
      <c r="H356" s="87"/>
      <c r="I356" s="107"/>
      <c r="J356" s="119"/>
      <c r="K356" s="114"/>
    </row>
    <row r="357" spans="1:11" ht="12.75" outlineLevel="2">
      <c r="A357" s="99"/>
      <c r="B357" s="84" t="s">
        <v>1708</v>
      </c>
      <c r="C357" s="85"/>
      <c r="D357" s="86">
        <f>E357/K$2*10000</f>
        <v>0.89313444574668854</v>
      </c>
      <c r="E357" s="87">
        <v>10.392799999999999</v>
      </c>
      <c r="F357" s="88">
        <f>SUM(F358:F359)</f>
        <v>0</v>
      </c>
      <c r="G357" s="88">
        <f t="shared" ref="G357:H357" si="177">SUM(G358:G359)</f>
        <v>0</v>
      </c>
      <c r="H357" s="88">
        <f t="shared" si="177"/>
        <v>0</v>
      </c>
      <c r="I357" s="88"/>
      <c r="J357" s="119"/>
      <c r="K357" s="114"/>
    </row>
    <row r="358" spans="1:11" ht="12.75" outlineLevel="3">
      <c r="A358" s="99"/>
      <c r="B358" s="84"/>
      <c r="C358" s="85"/>
      <c r="D358" s="86"/>
      <c r="E358" s="87"/>
      <c r="F358" s="88"/>
      <c r="G358" s="89"/>
      <c r="H358" s="87">
        <f>IF(A358&lt;&gt;0,IF($H$2="元",VLOOKUP(A358,合同台帐!$A$4:$K$1093,11,1),VLOOKUP(A358,合同台帐!$A$4:$K$1093,11,1)),0)</f>
        <v>0</v>
      </c>
      <c r="I358" s="107"/>
      <c r="J358" s="119"/>
      <c r="K358" s="114"/>
    </row>
    <row r="359" spans="1:11" ht="12.75" outlineLevel="3">
      <c r="A359" s="99"/>
      <c r="C359" s="85"/>
      <c r="D359" s="86"/>
      <c r="E359" s="87"/>
      <c r="F359" s="88"/>
      <c r="G359" s="89"/>
      <c r="H359" s="87">
        <f>IF(A359&lt;&gt;0,IF($H$2="元",VLOOKUP(A359,合同台帐!$A$4:$K$1093,11,1),VLOOKUP(A359,合同台帐!$A$4:$K$1093,11,1)),0)</f>
        <v>0</v>
      </c>
      <c r="I359" s="107"/>
      <c r="J359" s="119"/>
      <c r="K359" s="114"/>
    </row>
    <row r="360" spans="1:11" ht="12.75" outlineLevel="2">
      <c r="A360" s="99"/>
      <c r="B360" s="84" t="s">
        <v>1709</v>
      </c>
      <c r="C360" s="85"/>
      <c r="D360" s="86">
        <f>E360/K$2*10000</f>
        <v>1.1781557780886436</v>
      </c>
      <c r="E360" s="87">
        <v>13.7094</v>
      </c>
      <c r="F360" s="88">
        <f>SUM(F361:F362)</f>
        <v>0</v>
      </c>
      <c r="G360" s="88">
        <f t="shared" ref="G360:H360" si="178">SUM(G361:G362)</f>
        <v>0</v>
      </c>
      <c r="H360" s="88">
        <f t="shared" si="178"/>
        <v>0</v>
      </c>
      <c r="I360" s="107"/>
      <c r="J360" s="119"/>
      <c r="K360" s="114"/>
    </row>
    <row r="361" spans="1:11" ht="12.75" outlineLevel="3">
      <c r="A361" s="99"/>
      <c r="B361" s="84"/>
      <c r="C361" s="85"/>
      <c r="D361" s="86"/>
      <c r="E361" s="87"/>
      <c r="F361" s="88"/>
      <c r="G361" s="89"/>
      <c r="H361" s="87"/>
      <c r="I361" s="107"/>
      <c r="J361" s="119"/>
      <c r="K361" s="114"/>
    </row>
    <row r="362" spans="1:11" ht="12.75" outlineLevel="3">
      <c r="A362" s="99"/>
      <c r="B362" s="84"/>
      <c r="C362" s="85"/>
      <c r="D362" s="86"/>
      <c r="E362" s="87"/>
      <c r="F362" s="88"/>
      <c r="G362" s="89"/>
      <c r="H362" s="87"/>
      <c r="I362" s="107"/>
      <c r="J362" s="119"/>
      <c r="K362" s="114"/>
    </row>
    <row r="363" spans="1:11" ht="12.75" outlineLevel="2">
      <c r="A363" s="99"/>
      <c r="B363" s="84" t="s">
        <v>1710</v>
      </c>
      <c r="C363" s="85"/>
      <c r="D363" s="86">
        <f>E363/K$2*10000</f>
        <v>8.0000020625073791</v>
      </c>
      <c r="E363" s="87">
        <v>93.090599999999995</v>
      </c>
      <c r="F363" s="88">
        <f>SUM(F364:F365)</f>
        <v>0</v>
      </c>
      <c r="G363" s="88">
        <f t="shared" ref="G363:H363" si="179">SUM(G364:G365)</f>
        <v>0</v>
      </c>
      <c r="H363" s="88">
        <f t="shared" si="179"/>
        <v>0</v>
      </c>
      <c r="I363" s="107"/>
      <c r="J363" s="119"/>
      <c r="K363" s="114"/>
    </row>
    <row r="364" spans="1:11" ht="12.75" outlineLevel="3">
      <c r="A364" s="99"/>
      <c r="B364" s="84"/>
      <c r="C364" s="85"/>
      <c r="D364" s="86"/>
      <c r="E364" s="87"/>
      <c r="F364" s="88"/>
      <c r="G364" s="89"/>
      <c r="H364" s="87"/>
      <c r="I364" s="107"/>
      <c r="J364" s="119"/>
      <c r="K364" s="114"/>
    </row>
    <row r="365" spans="1:11" ht="12.75" outlineLevel="3">
      <c r="A365" s="99"/>
      <c r="B365" s="84"/>
      <c r="C365" s="85"/>
      <c r="D365" s="86"/>
      <c r="E365" s="87"/>
      <c r="F365" s="88"/>
      <c r="G365" s="89"/>
      <c r="H365" s="87"/>
      <c r="I365" s="107"/>
      <c r="J365" s="119"/>
      <c r="K365" s="114"/>
    </row>
    <row r="366" spans="1:11" ht="24" outlineLevel="2">
      <c r="A366" s="99"/>
      <c r="B366" s="84" t="s">
        <v>1711</v>
      </c>
      <c r="C366" s="85"/>
      <c r="D366" s="86">
        <f>E366/K$2*10000</f>
        <v>4.0000010312536896</v>
      </c>
      <c r="E366" s="87">
        <v>46.545299999999997</v>
      </c>
      <c r="F366" s="89">
        <f>SUM(F367:F369)</f>
        <v>345800</v>
      </c>
      <c r="G366" s="89" t="e">
        <f t="shared" ref="G366:H366" si="180">SUM(G367:G369)</f>
        <v>#VALUE!</v>
      </c>
      <c r="H366" s="89">
        <f t="shared" ca="1" si="180"/>
        <v>20000</v>
      </c>
      <c r="I366" s="107"/>
      <c r="J366" s="119"/>
      <c r="K366" s="114"/>
    </row>
    <row r="367" spans="1:11" s="52" customFormat="1" ht="23.25" customHeight="1" outlineLevel="3">
      <c r="A367" s="76" t="s">
        <v>272</v>
      </c>
      <c r="B367" s="77" t="str">
        <f>IF(A367&lt;&gt;0,VLOOKUP(A367,合同台帐!$A$4:$D$893,4,1),"")</f>
        <v>配电站电力设计费</v>
      </c>
      <c r="C367" s="78"/>
      <c r="D367" s="79"/>
      <c r="E367" s="80"/>
      <c r="F367" s="81">
        <f>IF(A367&lt;&gt;0,VLOOKUP(A367,合同台帐!$A$4:$J$893,6,1),"")</f>
        <v>20000</v>
      </c>
      <c r="G367" s="82">
        <f>F367/K2</f>
        <v>0.17187561499243489</v>
      </c>
      <c r="H367" s="80">
        <f ca="1">IF(A367&lt;&gt;0,IF($H$2="元",VLOOKUP(A367,合同台帐!$A$4:$K$1093,11,1),VLOOKUP(A367,合同台帐!$A$4:$K$1093,11,1)),0)</f>
        <v>20000</v>
      </c>
      <c r="I367" s="81"/>
      <c r="J367" s="117"/>
      <c r="K367" s="118"/>
    </row>
    <row r="368" spans="1:11" s="52" customFormat="1" ht="23.25" customHeight="1" outlineLevel="3">
      <c r="A368" s="76" t="s">
        <v>927</v>
      </c>
      <c r="B368" s="77" t="str">
        <f>IF(A368&lt;&gt;0,VLOOKUP(A368,合同台帐!$A$4:$D$893,4,1),"")</f>
        <v>土建站、CF箱基础、箱式站基础、环网柜基础</v>
      </c>
      <c r="C368" s="78"/>
      <c r="D368" s="79"/>
      <c r="E368" s="80"/>
      <c r="F368" s="81">
        <f>IF(A368&lt;&gt;0,VLOOKUP(A368,合同台帐!$A$4:$J$893,6,1),"")</f>
        <v>325800</v>
      </c>
      <c r="G368" s="82" t="e">
        <f>F368/K3</f>
        <v>#VALUE!</v>
      </c>
      <c r="H368" s="80">
        <f ca="1">IF(A368&lt;&gt;0,IF($H$2="元",VLOOKUP(A368,合同台帐!$A$4:$K$1093,11,1),VLOOKUP(A368,合同台帐!$A$4:$K$1093,11,1)),0)</f>
        <v>0</v>
      </c>
      <c r="I368" s="81"/>
      <c r="J368" s="117"/>
      <c r="K368" s="118"/>
    </row>
    <row r="369" spans="1:11" ht="12.75" outlineLevel="3">
      <c r="A369" s="99"/>
      <c r="B369" s="84"/>
      <c r="C369" s="85"/>
      <c r="D369" s="86"/>
      <c r="E369" s="87"/>
      <c r="F369" s="88"/>
      <c r="G369" s="89"/>
      <c r="H369" s="87"/>
      <c r="I369" s="107"/>
      <c r="J369" s="119"/>
      <c r="K369" s="114"/>
    </row>
    <row r="370" spans="1:11" ht="12.75" outlineLevel="2">
      <c r="A370" s="99"/>
      <c r="B370" s="84" t="s">
        <v>1712</v>
      </c>
      <c r="C370" s="85"/>
      <c r="D370" s="86">
        <f>E370/K$2*10000</f>
        <v>17.002545993484883</v>
      </c>
      <c r="E370" s="87">
        <v>197.84710000000001</v>
      </c>
      <c r="F370" s="88">
        <f>SUM(F371:F372)</f>
        <v>0</v>
      </c>
      <c r="G370" s="88">
        <f t="shared" ref="G370:H370" si="181">SUM(G371:G372)</f>
        <v>0</v>
      </c>
      <c r="H370" s="88">
        <f t="shared" si="181"/>
        <v>0</v>
      </c>
      <c r="I370" s="107"/>
      <c r="J370" s="119"/>
      <c r="K370" s="114"/>
    </row>
    <row r="371" spans="1:11" ht="12.75" outlineLevel="3">
      <c r="A371" s="99"/>
      <c r="B371" s="84"/>
      <c r="C371" s="85"/>
      <c r="D371" s="86"/>
      <c r="E371" s="87"/>
      <c r="F371" s="88"/>
      <c r="G371" s="89"/>
      <c r="H371" s="87"/>
      <c r="I371" s="120"/>
      <c r="J371" s="119"/>
      <c r="K371" s="114"/>
    </row>
    <row r="372" spans="1:11" ht="12.75" outlineLevel="3">
      <c r="A372" s="99"/>
      <c r="B372" s="84"/>
      <c r="C372" s="85"/>
      <c r="D372" s="86"/>
      <c r="E372" s="87"/>
      <c r="F372" s="88"/>
      <c r="G372" s="89"/>
      <c r="H372" s="87"/>
      <c r="I372" s="120"/>
      <c r="J372" s="119"/>
      <c r="K372" s="114"/>
    </row>
    <row r="373" spans="1:11" ht="12.75" outlineLevel="1">
      <c r="A373" s="72"/>
      <c r="B373" s="73" t="s">
        <v>1713</v>
      </c>
      <c r="C373" s="74" t="s">
        <v>1714</v>
      </c>
      <c r="D373" s="92">
        <f t="shared" ref="D373:H373" si="182">D374+D377+D380+D383+D399+D386+D390+D393+D396</f>
        <v>90.781580296591997</v>
      </c>
      <c r="E373" s="92">
        <f t="shared" si="182"/>
        <v>1056.3637000000001</v>
      </c>
      <c r="F373" s="92">
        <f t="shared" si="182"/>
        <v>10607953.460000001</v>
      </c>
      <c r="G373" s="92" t="e">
        <f t="shared" si="182"/>
        <v>#DIV/0!</v>
      </c>
      <c r="H373" s="92">
        <f t="shared" ca="1" si="182"/>
        <v>6691013</v>
      </c>
      <c r="I373" s="137">
        <f>F373-E373*10000</f>
        <v>44316.459999999031</v>
      </c>
      <c r="J373" s="116" t="e">
        <f>G373-D373</f>
        <v>#DIV/0!</v>
      </c>
      <c r="K373" s="114"/>
    </row>
    <row r="374" spans="1:11" ht="12.75" outlineLevel="2">
      <c r="A374" s="99"/>
      <c r="B374" s="84" t="s">
        <v>1715</v>
      </c>
      <c r="C374" s="85"/>
      <c r="D374" s="86">
        <f>E374/K$2*10000</f>
        <v>31.94205179265407</v>
      </c>
      <c r="E374" s="87">
        <v>371.68799999999999</v>
      </c>
      <c r="F374" s="88">
        <f>SUM(F375:F376)</f>
        <v>1888940.46</v>
      </c>
      <c r="G374" s="88">
        <f t="shared" ref="G374:J374" si="183">SUM(G375:G376)</f>
        <v>16.233140162329644</v>
      </c>
      <c r="H374" s="88">
        <f t="shared" ca="1" si="183"/>
        <v>650000</v>
      </c>
      <c r="I374" s="88">
        <f t="shared" si="183"/>
        <v>0</v>
      </c>
      <c r="J374" s="88">
        <f t="shared" si="183"/>
        <v>0</v>
      </c>
      <c r="K374" s="114"/>
    </row>
    <row r="375" spans="1:11" s="51" customFormat="1" ht="12.75" outlineLevel="3">
      <c r="A375" s="76" t="s">
        <v>277</v>
      </c>
      <c r="B375" s="77" t="str">
        <f>IF(A375&lt;&gt;0,VLOOKUP(A375,合同台帐!$A$4:$D$893,4,1),"")</f>
        <v>一期自来水配套工程</v>
      </c>
      <c r="C375" s="78"/>
      <c r="D375" s="79"/>
      <c r="E375" s="80"/>
      <c r="F375" s="81">
        <f>IF(A375&lt;&gt;0,VLOOKUP(A375,合同台帐!$A$4:$J$893,6,1),"")</f>
        <v>1888940.46</v>
      </c>
      <c r="G375" s="82">
        <f>F375/K2</f>
        <v>16.233140162329644</v>
      </c>
      <c r="H375" s="80">
        <f ca="1">IF(A375&lt;&gt;0,IF($H$2="元",VLOOKUP(A375,合同台帐!$A$4:$K$1093,11,1),VLOOKUP(A375,合同台帐!$A$4:$K$1093,11,1)),0)</f>
        <v>650000</v>
      </c>
      <c r="I375" s="107"/>
      <c r="J375" s="119"/>
      <c r="K375" s="114"/>
    </row>
    <row r="376" spans="1:11" s="51" customFormat="1" ht="17.25" customHeight="1" outlineLevel="3">
      <c r="A376" s="83"/>
      <c r="B376" s="84"/>
      <c r="C376" s="85"/>
      <c r="D376" s="86"/>
      <c r="E376" s="87"/>
      <c r="F376" s="88"/>
      <c r="G376" s="89"/>
      <c r="H376" s="87"/>
      <c r="I376" s="107"/>
      <c r="J376" s="119"/>
      <c r="K376" s="114"/>
    </row>
    <row r="377" spans="1:11" ht="24" outlineLevel="2">
      <c r="A377" s="99"/>
      <c r="B377" s="84" t="s">
        <v>1716</v>
      </c>
      <c r="C377" s="85"/>
      <c r="D377" s="86">
        <f>E377/K$2*10000</f>
        <v>26.79410212264666</v>
      </c>
      <c r="E377" s="87">
        <v>311.78480000000002</v>
      </c>
      <c r="F377" s="88">
        <f>SUM(F378:F379)</f>
        <v>5700000</v>
      </c>
      <c r="G377" s="88" t="e">
        <f t="shared" ref="G377:J377" si="184">SUM(G378:G379)</f>
        <v>#DIV/0!</v>
      </c>
      <c r="H377" s="88">
        <f t="shared" ca="1" si="184"/>
        <v>4200000</v>
      </c>
      <c r="I377" s="88">
        <f t="shared" si="184"/>
        <v>0</v>
      </c>
      <c r="J377" s="88">
        <f t="shared" si="184"/>
        <v>0</v>
      </c>
      <c r="K377" s="114"/>
    </row>
    <row r="378" spans="1:11" s="51" customFormat="1" ht="48" outlineLevel="3">
      <c r="A378" s="76" t="s">
        <v>275</v>
      </c>
      <c r="B378" s="77" t="str">
        <f>IF(A378&lt;&gt;0,VLOOKUP(A378,合同台帐!$A$4:$D$893,4,1),"")</f>
        <v>一期中水、自来水配套工程（含中水一次网，中水、自来水二次网，中水、自来水水表，室外消火栓、消防防险准备金）</v>
      </c>
      <c r="C378" s="78"/>
      <c r="D378" s="79"/>
      <c r="E378" s="80"/>
      <c r="F378" s="81">
        <f>IF(A378&lt;&gt;0,VLOOKUP(A378,合同台帐!$A$4:$J$893,6,1),"")</f>
        <v>5700000</v>
      </c>
      <c r="G378" s="82" t="e">
        <f>F378/K5</f>
        <v>#DIV/0!</v>
      </c>
      <c r="H378" s="80">
        <f ca="1">IF(A378&lt;&gt;0,IF($H$2="元",VLOOKUP(A378,合同台帐!$A$4:$K$1093,11,1),VLOOKUP(A378,合同台帐!$A$4:$K$1093,11,1)),0)</f>
        <v>4200000</v>
      </c>
      <c r="I378" s="107"/>
      <c r="J378" s="119"/>
      <c r="K378" s="114"/>
    </row>
    <row r="379" spans="1:11" s="51" customFormat="1" ht="17.25" customHeight="1" outlineLevel="3">
      <c r="A379" s="83"/>
      <c r="B379" s="84"/>
      <c r="C379" s="85"/>
      <c r="D379" s="86"/>
      <c r="E379" s="87"/>
      <c r="F379" s="88"/>
      <c r="G379" s="89"/>
      <c r="H379" s="87"/>
      <c r="I379" s="107"/>
      <c r="J379" s="119"/>
      <c r="K379" s="114"/>
    </row>
    <row r="380" spans="1:11" ht="12.75" outlineLevel="2">
      <c r="A380" s="99"/>
      <c r="B380" s="84" t="s">
        <v>1717</v>
      </c>
      <c r="C380" s="85"/>
      <c r="D380" s="86">
        <f>E380/K$2*10000</f>
        <v>8.1653807792531001</v>
      </c>
      <c r="E380" s="87">
        <v>95.015000000000001</v>
      </c>
      <c r="F380" s="88">
        <f>SUM(F381:F382)</f>
        <v>0</v>
      </c>
      <c r="G380" s="88">
        <f t="shared" ref="G380:H380" si="185">SUM(G381:G382)</f>
        <v>0</v>
      </c>
      <c r="H380" s="88">
        <f t="shared" si="185"/>
        <v>0</v>
      </c>
      <c r="I380" s="107"/>
      <c r="J380" s="119"/>
      <c r="K380" s="114"/>
    </row>
    <row r="381" spans="1:11" s="51" customFormat="1" ht="12.75" outlineLevel="3">
      <c r="A381" s="83"/>
      <c r="B381" s="84"/>
      <c r="C381" s="85"/>
      <c r="D381" s="86"/>
      <c r="E381" s="87"/>
      <c r="F381" s="88"/>
      <c r="G381" s="89"/>
      <c r="H381" s="87"/>
      <c r="I381" s="107"/>
      <c r="J381" s="119"/>
      <c r="K381" s="114"/>
    </row>
    <row r="382" spans="1:11" ht="12.75" outlineLevel="3">
      <c r="A382" s="99"/>
      <c r="B382" s="84"/>
      <c r="C382" s="85"/>
      <c r="D382" s="86"/>
      <c r="E382" s="87"/>
      <c r="F382" s="88"/>
      <c r="G382" s="89"/>
      <c r="H382" s="87"/>
      <c r="I382" s="107"/>
      <c r="J382" s="119"/>
      <c r="K382" s="114"/>
    </row>
    <row r="383" spans="1:11" ht="12.75" outlineLevel="2">
      <c r="A383" s="99"/>
      <c r="B383" s="84" t="s">
        <v>1718</v>
      </c>
      <c r="C383" s="85"/>
      <c r="D383" s="86">
        <f>E383/K$2*10000</f>
        <v>4.4656808225141935</v>
      </c>
      <c r="E383" s="87">
        <v>51.964100000000002</v>
      </c>
      <c r="F383" s="88">
        <f>SUM(F384:F385)</f>
        <v>0</v>
      </c>
      <c r="G383" s="88">
        <f t="shared" ref="G383:H383" si="186">SUM(G384:G385)</f>
        <v>0</v>
      </c>
      <c r="H383" s="88">
        <f t="shared" si="186"/>
        <v>0</v>
      </c>
      <c r="I383" s="107"/>
      <c r="J383" s="119"/>
      <c r="K383" s="114"/>
    </row>
    <row r="384" spans="1:11" s="51" customFormat="1" ht="12.75" outlineLevel="3">
      <c r="A384" s="83"/>
      <c r="B384" s="84"/>
      <c r="C384" s="85"/>
      <c r="D384" s="86"/>
      <c r="E384" s="87"/>
      <c r="F384" s="88"/>
      <c r="G384" s="89"/>
      <c r="H384" s="87"/>
      <c r="I384" s="107"/>
      <c r="J384" s="119"/>
      <c r="K384" s="114"/>
    </row>
    <row r="385" spans="1:11" ht="12.75" outlineLevel="3">
      <c r="A385" s="99"/>
      <c r="B385" s="84"/>
      <c r="C385" s="85"/>
      <c r="D385" s="86"/>
      <c r="E385" s="87"/>
      <c r="F385" s="88"/>
      <c r="G385" s="89"/>
      <c r="H385" s="87"/>
      <c r="I385" s="107"/>
      <c r="J385" s="119"/>
      <c r="K385" s="114"/>
    </row>
    <row r="386" spans="1:11" ht="24" outlineLevel="2">
      <c r="A386" s="99"/>
      <c r="B386" s="84" t="s">
        <v>1719</v>
      </c>
      <c r="C386" s="85"/>
      <c r="D386" s="86">
        <f>E386/K$2*10000</f>
        <v>2.3308997465006556</v>
      </c>
      <c r="E386" s="87">
        <v>27.123100000000001</v>
      </c>
      <c r="F386" s="88">
        <f>SUM(F387:F389)</f>
        <v>271230</v>
      </c>
      <c r="G386" s="88">
        <f t="shared" ref="G386:H386" si="187">SUM(G387:G389)</f>
        <v>2.3308911527199059</v>
      </c>
      <c r="H386" s="88">
        <f t="shared" ca="1" si="187"/>
        <v>271230</v>
      </c>
      <c r="I386" s="107"/>
      <c r="J386" s="119"/>
      <c r="K386" s="114"/>
    </row>
    <row r="387" spans="1:11" s="52" customFormat="1" ht="23.25" customHeight="1" outlineLevel="3">
      <c r="A387" s="76" t="s">
        <v>197</v>
      </c>
      <c r="B387" s="77" t="str">
        <f>IF(A387&lt;&gt;0,VLOOKUP(A387,合同台帐!$A$4:$D$893,4,1),"")</f>
        <v>水土保持设施补偿费</v>
      </c>
      <c r="C387" s="78"/>
      <c r="D387" s="79"/>
      <c r="E387" s="80"/>
      <c r="F387" s="81">
        <f>IF(A387&lt;&gt;0,VLOOKUP(A387,合同台帐!$A$4:$J$893,6,1),"")</f>
        <v>271230</v>
      </c>
      <c r="G387" s="82">
        <f>F387/K2</f>
        <v>2.3308911527199059</v>
      </c>
      <c r="H387" s="80">
        <f ca="1">IF(A387&lt;&gt;0,IF($H$2="元",VLOOKUP(A387,合同台帐!$A$4:$K$1093,11,1),VLOOKUP(A387,合同台帐!$A$4:$K$1093,11,1)),0)</f>
        <v>271230</v>
      </c>
      <c r="I387" s="81"/>
      <c r="J387" s="117"/>
      <c r="K387" s="118"/>
    </row>
    <row r="388" spans="1:11" ht="12.75" outlineLevel="2">
      <c r="A388" s="99"/>
      <c r="B388" s="84"/>
      <c r="C388" s="85"/>
      <c r="D388" s="86"/>
      <c r="E388" s="87"/>
      <c r="F388" s="88"/>
      <c r="G388" s="120"/>
      <c r="H388" s="127"/>
      <c r="I388" s="107"/>
      <c r="J388" s="119"/>
      <c r="K388" s="114"/>
    </row>
    <row r="389" spans="1:11" ht="12.75" outlineLevel="2">
      <c r="A389" s="99"/>
      <c r="B389" s="84"/>
      <c r="C389" s="85"/>
      <c r="D389" s="86"/>
      <c r="E389" s="87"/>
      <c r="F389" s="88"/>
      <c r="G389" s="120"/>
      <c r="H389" s="127"/>
      <c r="I389" s="107"/>
      <c r="J389" s="119"/>
      <c r="K389" s="114"/>
    </row>
    <row r="390" spans="1:11" ht="12.75" outlineLevel="2">
      <c r="A390" s="99"/>
      <c r="B390" s="84" t="s">
        <v>1720</v>
      </c>
      <c r="C390" s="85"/>
      <c r="D390" s="86">
        <f>E390/K$2*10000</f>
        <v>4.5527959779731093</v>
      </c>
      <c r="E390" s="87">
        <v>52.977800000000002</v>
      </c>
      <c r="F390" s="88">
        <f>SUM(F391:F392)</f>
        <v>529783</v>
      </c>
      <c r="G390" s="88">
        <f t="shared" ref="G390:H390" si="188">SUM(G391:G392)</f>
        <v>4.5528389468768564</v>
      </c>
      <c r="H390" s="88">
        <f t="shared" ca="1" si="188"/>
        <v>529783</v>
      </c>
      <c r="I390" s="107"/>
      <c r="J390" s="119"/>
      <c r="K390" s="114"/>
    </row>
    <row r="391" spans="1:11" s="52" customFormat="1" ht="23.25" customHeight="1" outlineLevel="3">
      <c r="A391" s="76" t="s">
        <v>196</v>
      </c>
      <c r="B391" s="77" t="str">
        <f>IF(A391&lt;&gt;0,VLOOKUP(A391,合同台帐!$A$4:$D$893,4,1),"")</f>
        <v>地下水资源费</v>
      </c>
      <c r="C391" s="78"/>
      <c r="D391" s="79"/>
      <c r="E391" s="80"/>
      <c r="F391" s="81">
        <f>IF(A391&lt;&gt;0,VLOOKUP(A391,合同台帐!$A$4:$J$893,6,1),"")</f>
        <v>529783</v>
      </c>
      <c r="G391" s="82">
        <f>F391/K2</f>
        <v>4.5528389468768564</v>
      </c>
      <c r="H391" s="80">
        <f ca="1">IF(A391&lt;&gt;0,IF($H$2="元",VLOOKUP(A391,合同台帐!$A$4:$K$1093,11,1),VLOOKUP(A391,合同台帐!$A$4:$K$1093,11,1)),0)</f>
        <v>529783</v>
      </c>
      <c r="I391" s="81"/>
      <c r="J391" s="117"/>
      <c r="K391" s="118"/>
    </row>
    <row r="392" spans="1:11" ht="12.75" outlineLevel="2">
      <c r="A392" s="99"/>
      <c r="B392" s="84"/>
      <c r="C392" s="85"/>
      <c r="D392" s="86"/>
      <c r="E392" s="87"/>
      <c r="F392" s="88"/>
      <c r="G392" s="120"/>
      <c r="H392" s="127"/>
      <c r="I392" s="107"/>
      <c r="J392" s="119"/>
      <c r="K392" s="114"/>
    </row>
    <row r="393" spans="1:11" ht="24" outlineLevel="2">
      <c r="A393" s="99"/>
      <c r="B393" s="84" t="s">
        <v>1721</v>
      </c>
      <c r="C393" s="85"/>
      <c r="D393" s="86">
        <f>E393/K$2*10000</f>
        <v>5.6719038885311015</v>
      </c>
      <c r="E393" s="87">
        <v>66.000100000000003</v>
      </c>
      <c r="F393" s="88">
        <f>SUM(F394:F395)</f>
        <v>660000</v>
      </c>
      <c r="G393" s="88">
        <f t="shared" ref="G393:H393" si="189">SUM(G394:G395)</f>
        <v>5.6718952947503514</v>
      </c>
      <c r="H393" s="88">
        <f t="shared" ca="1" si="189"/>
        <v>660000</v>
      </c>
      <c r="I393" s="107"/>
      <c r="J393" s="119"/>
      <c r="K393" s="114"/>
    </row>
    <row r="394" spans="1:11" s="52" customFormat="1" ht="23.25" customHeight="1" outlineLevel="3">
      <c r="A394" s="76" t="s">
        <v>195</v>
      </c>
      <c r="B394" s="77" t="str">
        <f>IF(A394&lt;&gt;0,VLOOKUP(A394,合同台帐!$A$4:$D$893,4,1),"")</f>
        <v>水土保持方案报告书技术服务合同</v>
      </c>
      <c r="C394" s="78"/>
      <c r="D394" s="79"/>
      <c r="E394" s="80"/>
      <c r="F394" s="81">
        <f>IF(A394&lt;&gt;0,VLOOKUP(A394,合同台帐!$A$4:$J$893,6,1),"")</f>
        <v>660000</v>
      </c>
      <c r="G394" s="82">
        <f>F394/K2</f>
        <v>5.6718952947503514</v>
      </c>
      <c r="H394" s="80">
        <f ca="1">IF(A394&lt;&gt;0,IF($H$2="元",VLOOKUP(A394,合同台帐!$A$4:$K$1093,11,1),VLOOKUP(A394,合同台帐!$A$4:$K$1093,11,1)),0)</f>
        <v>660000</v>
      </c>
      <c r="I394" s="81"/>
      <c r="J394" s="117"/>
      <c r="K394" s="118"/>
    </row>
    <row r="395" spans="1:11" ht="12.75" outlineLevel="2">
      <c r="A395" s="99"/>
      <c r="B395" s="84"/>
      <c r="C395" s="85"/>
      <c r="D395" s="86"/>
      <c r="E395" s="87"/>
      <c r="F395" s="88"/>
      <c r="G395" s="120"/>
      <c r="H395" s="127"/>
      <c r="I395" s="107"/>
      <c r="J395" s="119"/>
      <c r="K395" s="114"/>
    </row>
    <row r="396" spans="1:11" ht="12.75" outlineLevel="2">
      <c r="A396" s="99"/>
      <c r="B396" s="84" t="s">
        <v>1722</v>
      </c>
      <c r="C396" s="85"/>
      <c r="D396" s="86">
        <f>E396/K$2*10000</f>
        <v>3.2656023097332643</v>
      </c>
      <c r="E396" s="87">
        <v>37.999600000000001</v>
      </c>
      <c r="F396" s="88">
        <f>SUM(F397:F398)</f>
        <v>380000</v>
      </c>
      <c r="G396" s="88">
        <f t="shared" ref="G396:H396" si="190">SUM(G397:G398)</f>
        <v>3.265636684856263</v>
      </c>
      <c r="H396" s="88">
        <f t="shared" ca="1" si="190"/>
        <v>380000</v>
      </c>
      <c r="I396" s="107"/>
      <c r="J396" s="119"/>
      <c r="K396" s="114"/>
    </row>
    <row r="397" spans="1:11" s="52" customFormat="1" ht="23.25" customHeight="1" outlineLevel="3">
      <c r="A397" s="76" t="s">
        <v>193</v>
      </c>
      <c r="B397" s="77" t="str">
        <f>IF(A397&lt;&gt;0,VLOOKUP(A397,合同台帐!$A$4:$D$893,4,1),"")</f>
        <v>用水报告书技术服务合同</v>
      </c>
      <c r="C397" s="78"/>
      <c r="D397" s="79"/>
      <c r="E397" s="80"/>
      <c r="F397" s="81">
        <f>IF(A397&lt;&gt;0,VLOOKUP(A397,合同台帐!$A$4:$J$893,6,1),"")</f>
        <v>380000</v>
      </c>
      <c r="G397" s="82">
        <f t="shared" ref="G397:G401" si="191">F397/K2</f>
        <v>3.265636684856263</v>
      </c>
      <c r="H397" s="80">
        <f ca="1">IF(A397&lt;&gt;0,IF($H$2="元",VLOOKUP(A397,合同台帐!$A$4:$K$1093,11,1),VLOOKUP(A397,合同台帐!$A$4:$K$1093,11,1)),0)</f>
        <v>380000</v>
      </c>
      <c r="I397" s="81"/>
      <c r="J397" s="117"/>
      <c r="K397" s="118"/>
    </row>
    <row r="398" spans="1:11" ht="12.75" outlineLevel="3">
      <c r="A398" s="83"/>
      <c r="B398" s="84"/>
      <c r="C398" s="85"/>
      <c r="D398" s="86"/>
      <c r="E398" s="87"/>
      <c r="F398" s="88"/>
      <c r="G398" s="89"/>
      <c r="H398" s="87"/>
      <c r="I398" s="107"/>
      <c r="J398" s="119"/>
      <c r="K398" s="114"/>
    </row>
    <row r="399" spans="1:11" ht="12.75" outlineLevel="2">
      <c r="A399" s="99"/>
      <c r="B399" s="84" t="s">
        <v>1723</v>
      </c>
      <c r="C399" s="85"/>
      <c r="D399" s="86">
        <f>E399/K$2*10000</f>
        <v>3.5931628567858467</v>
      </c>
      <c r="E399" s="87">
        <v>41.811199999999999</v>
      </c>
      <c r="F399" s="88">
        <f>SUM(F400:F402)</f>
        <v>1178000</v>
      </c>
      <c r="G399" s="88" t="e">
        <f t="shared" ref="G399:H399" si="192">SUM(G400:G402)</f>
        <v>#DIV/0!</v>
      </c>
      <c r="H399" s="88">
        <f t="shared" ca="1" si="192"/>
        <v>0</v>
      </c>
      <c r="I399" s="107"/>
      <c r="J399" s="119"/>
      <c r="K399" s="114"/>
    </row>
    <row r="400" spans="1:11" s="52" customFormat="1" ht="23.25" customHeight="1" outlineLevel="3">
      <c r="A400" s="76" t="s">
        <v>937</v>
      </c>
      <c r="B400" s="77" t="str">
        <f>IF(A400&lt;&gt;0,VLOOKUP(A400,合同台帐!$A$4:$D$893,4,1),"")</f>
        <v>二次供水泵房精装修合同</v>
      </c>
      <c r="C400" s="78"/>
      <c r="D400" s="79"/>
      <c r="E400" s="80"/>
      <c r="F400" s="81">
        <f>IF(A400&lt;&gt;0,VLOOKUP(A400,合同台帐!$A$4:$J$893,6,1),"")</f>
        <v>128000</v>
      </c>
      <c r="G400" s="82" t="e">
        <f t="shared" si="191"/>
        <v>#DIV/0!</v>
      </c>
      <c r="H400" s="80">
        <f ca="1">IF(A400&lt;&gt;0,IF($H$2="元",VLOOKUP(A400,合同台帐!$A$4:$K$1093,11,1),VLOOKUP(A400,合同台帐!$A$4:$K$1093,11,1)),0)</f>
        <v>0</v>
      </c>
      <c r="I400" s="81"/>
      <c r="J400" s="117"/>
      <c r="K400" s="118"/>
    </row>
    <row r="401" spans="1:11" s="52" customFormat="1" ht="23.25" customHeight="1" outlineLevel="3">
      <c r="A401" s="76" t="s">
        <v>955</v>
      </c>
      <c r="B401" s="77" t="str">
        <f>IF(A401&lt;&gt;0,VLOOKUP(A401,合同台帐!$A$4:$D$893,4,1),"")</f>
        <v>给水、中水变频供水设备采购安装合同</v>
      </c>
      <c r="C401" s="78"/>
      <c r="D401" s="79"/>
      <c r="E401" s="80"/>
      <c r="F401" s="81">
        <f>IF(A401&lt;&gt;0,VLOOKUP(A401,合同台帐!$A$4:$J$893,6,1),"")</f>
        <v>1050000</v>
      </c>
      <c r="G401" s="82" t="e">
        <f t="shared" si="191"/>
        <v>#DIV/0!</v>
      </c>
      <c r="H401" s="80">
        <f ca="1">IF(A401&lt;&gt;0,IF($H$2="元",VLOOKUP(A401,合同台帐!$A$4:$K$1093,11,1),VLOOKUP(A401,合同台帐!$A$4:$K$1093,11,1)),0)</f>
        <v>0</v>
      </c>
      <c r="I401" s="81"/>
      <c r="J401" s="117"/>
      <c r="K401" s="118"/>
    </row>
    <row r="402" spans="1:11" ht="12.75" outlineLevel="3">
      <c r="A402" s="99"/>
      <c r="B402" s="84"/>
      <c r="C402" s="85"/>
      <c r="D402" s="86"/>
      <c r="E402" s="87"/>
      <c r="F402" s="88"/>
      <c r="G402" s="120"/>
      <c r="H402" s="127"/>
      <c r="I402" s="107"/>
      <c r="J402" s="119"/>
      <c r="K402" s="114"/>
    </row>
    <row r="403" spans="1:11" ht="12.75" outlineLevel="1">
      <c r="A403" s="72"/>
      <c r="B403" s="73" t="s">
        <v>1724</v>
      </c>
      <c r="C403" s="74" t="s">
        <v>1714</v>
      </c>
      <c r="D403" s="92">
        <f t="shared" ref="D403:F403" si="193">D404+D407+D410+D413</f>
        <v>51.883920022151322</v>
      </c>
      <c r="E403" s="92">
        <f t="shared" si="193"/>
        <v>603.73799999999994</v>
      </c>
      <c r="F403" s="92">
        <f t="shared" si="193"/>
        <v>0</v>
      </c>
      <c r="G403" s="92" t="e">
        <f t="shared" ref="G403:H403" si="194">G404+G407+G410+G413</f>
        <v>#VALUE!</v>
      </c>
      <c r="H403" s="92">
        <f t="shared" si="194"/>
        <v>0</v>
      </c>
      <c r="I403" s="137">
        <f>F403-E403*10000</f>
        <v>-6037379.9999999991</v>
      </c>
      <c r="J403" s="116" t="e">
        <f>G403-D403</f>
        <v>#VALUE!</v>
      </c>
      <c r="K403" s="114"/>
    </row>
    <row r="404" spans="1:11" ht="12.75" outlineLevel="2">
      <c r="A404" s="99"/>
      <c r="B404" s="84" t="s">
        <v>1725</v>
      </c>
      <c r="C404" s="85"/>
      <c r="D404" s="86">
        <f>E404/K$2*10000</f>
        <v>22.26264450227486</v>
      </c>
      <c r="E404" s="87">
        <v>259.05529999999999</v>
      </c>
      <c r="F404" s="88">
        <f>SUM(F405:F406)</f>
        <v>0</v>
      </c>
      <c r="G404" s="88" t="e">
        <f t="shared" ref="G404:H404" si="195">SUM(G405:G406)</f>
        <v>#VALUE!</v>
      </c>
      <c r="H404" s="88">
        <f t="shared" si="195"/>
        <v>0</v>
      </c>
      <c r="I404" s="107"/>
      <c r="J404" s="119"/>
      <c r="K404" s="114"/>
    </row>
    <row r="405" spans="1:11" s="52" customFormat="1" ht="23.25" customHeight="1" outlineLevel="3">
      <c r="A405" s="76"/>
      <c r="B405" s="77" t="str">
        <f>IF(A405&lt;&gt;0,VLOOKUP(A405,合同台帐!$A$4:$D$893,4,1),"")</f>
        <v/>
      </c>
      <c r="C405" s="78"/>
      <c r="D405" s="79"/>
      <c r="E405" s="80"/>
      <c r="F405" s="81" t="str">
        <f>IF(A405&lt;&gt;0,VLOOKUP(A405,合同台帐!$A$4:$J$893,6,1),"")</f>
        <v/>
      </c>
      <c r="G405" s="82" t="e">
        <f>F405/K2</f>
        <v>#VALUE!</v>
      </c>
      <c r="H405" s="80">
        <f>IF(A405&lt;&gt;0,IF($H$2="元",VLOOKUP(A405,合同台帐!$A$4:$K$1093,11,1),VLOOKUP(A405,合同台帐!$A$4:$K$1093,11,1)),0)</f>
        <v>0</v>
      </c>
      <c r="I405" s="81"/>
      <c r="J405" s="117"/>
      <c r="K405" s="118"/>
    </row>
    <row r="406" spans="1:11" s="51" customFormat="1" ht="17.25" customHeight="1" outlineLevel="3">
      <c r="A406" s="83"/>
      <c r="B406" s="84"/>
      <c r="C406" s="85"/>
      <c r="D406" s="86"/>
      <c r="E406" s="87"/>
      <c r="F406" s="88"/>
      <c r="G406" s="89"/>
      <c r="H406" s="87"/>
      <c r="I406" s="107"/>
      <c r="J406" s="119"/>
      <c r="K406" s="114"/>
    </row>
    <row r="407" spans="1:11" ht="12.75" outlineLevel="2">
      <c r="A407" s="99"/>
      <c r="B407" s="84" t="s">
        <v>1726</v>
      </c>
      <c r="C407" s="85"/>
      <c r="D407" s="86">
        <f>E407/K$2*10000</f>
        <v>17.862731883837522</v>
      </c>
      <c r="E407" s="87">
        <v>207.85650000000001</v>
      </c>
      <c r="F407" s="88">
        <f>SUM(F408:F409)</f>
        <v>0</v>
      </c>
      <c r="G407" s="88">
        <f t="shared" ref="G407:H407" si="196">SUM(G408:G409)</f>
        <v>0</v>
      </c>
      <c r="H407" s="88">
        <f t="shared" si="196"/>
        <v>0</v>
      </c>
      <c r="I407" s="107"/>
      <c r="J407" s="119"/>
      <c r="K407" s="114"/>
    </row>
    <row r="408" spans="1:11" s="52" customFormat="1" ht="23.25" customHeight="1" outlineLevel="3">
      <c r="A408" s="108"/>
      <c r="B408" s="77" t="str">
        <f>IF(A408&lt;&gt;0,VLOOKUP(A408,合同台帐!$A$4:$D$893,4,1),"")</f>
        <v/>
      </c>
      <c r="C408" s="78"/>
      <c r="D408" s="79"/>
      <c r="E408" s="80"/>
      <c r="F408" s="81" t="str">
        <f>IF(A408&lt;&gt;0,VLOOKUP(A408,合同台帐!$A$4:$J$893,6,1),"")</f>
        <v/>
      </c>
      <c r="G408" s="82"/>
      <c r="H408" s="80">
        <f>IF(A408&lt;&gt;0,IF($H$2="元",VLOOKUP(A408,合同台帐!$A$4:$K$1093,11,1),VLOOKUP(A408,合同台帐!$A$4:$K$1093,11,1)),0)</f>
        <v>0</v>
      </c>
      <c r="I408" s="81"/>
      <c r="J408" s="117"/>
      <c r="K408" s="118"/>
    </row>
    <row r="409" spans="1:11" s="51" customFormat="1" ht="17.25" customHeight="1" outlineLevel="3">
      <c r="A409" s="83"/>
      <c r="B409" s="84"/>
      <c r="C409" s="85"/>
      <c r="D409" s="86"/>
      <c r="E409" s="87"/>
      <c r="F409" s="88"/>
      <c r="G409" s="89"/>
      <c r="H409" s="87"/>
      <c r="I409" s="107"/>
      <c r="J409" s="119"/>
      <c r="K409" s="114"/>
    </row>
    <row r="410" spans="1:11" ht="12.75" outlineLevel="2">
      <c r="A410" s="99"/>
      <c r="B410" s="84" t="s">
        <v>1727</v>
      </c>
      <c r="C410" s="85"/>
      <c r="D410" s="86">
        <f>E410/K$2*10000</f>
        <v>8.1653807792531001</v>
      </c>
      <c r="E410" s="87">
        <v>95.015000000000001</v>
      </c>
      <c r="F410" s="88">
        <f>SUM(F411:F412)</f>
        <v>0</v>
      </c>
      <c r="G410" s="88">
        <f t="shared" ref="G410:H410" si="197">SUM(G411:G412)</f>
        <v>0</v>
      </c>
      <c r="H410" s="88">
        <f t="shared" si="197"/>
        <v>0</v>
      </c>
      <c r="I410" s="107"/>
      <c r="J410" s="119"/>
      <c r="K410" s="114"/>
    </row>
    <row r="411" spans="1:11" s="51" customFormat="1" ht="12.75" outlineLevel="3">
      <c r="A411" s="83"/>
      <c r="B411" s="84"/>
      <c r="C411" s="85"/>
      <c r="D411" s="86"/>
      <c r="E411" s="87"/>
      <c r="F411" s="88"/>
      <c r="G411" s="89"/>
      <c r="H411" s="87"/>
      <c r="I411" s="107"/>
      <c r="J411" s="119"/>
      <c r="K411" s="114"/>
    </row>
    <row r="412" spans="1:11" ht="12.75" outlineLevel="3">
      <c r="A412" s="99"/>
      <c r="B412" s="84"/>
      <c r="C412" s="85"/>
      <c r="D412" s="86"/>
      <c r="E412" s="87"/>
      <c r="F412" s="88"/>
      <c r="G412" s="89"/>
      <c r="H412" s="87"/>
      <c r="I412" s="107"/>
      <c r="J412" s="119"/>
      <c r="K412" s="114"/>
    </row>
    <row r="413" spans="1:11" ht="12.75" outlineLevel="2">
      <c r="A413" s="99"/>
      <c r="B413" s="84" t="s">
        <v>1728</v>
      </c>
      <c r="C413" s="85"/>
      <c r="D413" s="86">
        <f>E413/K$2*10000</f>
        <v>3.5931628567858467</v>
      </c>
      <c r="E413" s="87">
        <v>41.811199999999999</v>
      </c>
      <c r="F413" s="88">
        <f>SUM(F414:F415)</f>
        <v>0</v>
      </c>
      <c r="G413" s="88">
        <f t="shared" ref="G413:H413" si="198">SUM(G414:G415)</f>
        <v>0</v>
      </c>
      <c r="H413" s="88">
        <f t="shared" si="198"/>
        <v>0</v>
      </c>
      <c r="I413" s="107"/>
      <c r="J413" s="119"/>
      <c r="K413" s="114"/>
    </row>
    <row r="414" spans="1:11" ht="12.75" outlineLevel="3">
      <c r="A414" s="83"/>
      <c r="B414" s="84"/>
      <c r="C414" s="85"/>
      <c r="D414" s="86"/>
      <c r="E414" s="87"/>
      <c r="F414" s="88"/>
      <c r="G414" s="89"/>
      <c r="H414" s="87"/>
      <c r="I414" s="107"/>
      <c r="J414" s="119"/>
      <c r="K414" s="114"/>
    </row>
    <row r="415" spans="1:11" ht="12.75" outlineLevel="3">
      <c r="A415" s="83"/>
      <c r="B415" s="84"/>
      <c r="C415" s="85"/>
      <c r="D415" s="86"/>
      <c r="E415" s="87"/>
      <c r="F415" s="88"/>
      <c r="G415" s="89"/>
      <c r="H415" s="87"/>
      <c r="I415" s="107"/>
      <c r="J415" s="119"/>
      <c r="K415" s="114"/>
    </row>
    <row r="416" spans="1:11" ht="12.75" outlineLevel="1">
      <c r="A416" s="72"/>
      <c r="B416" s="73" t="s">
        <v>1729</v>
      </c>
      <c r="C416" s="74" t="s">
        <v>1730</v>
      </c>
      <c r="D416" s="92">
        <f t="shared" ref="D416:F416" si="199">D417+D422</f>
        <v>53.588195651512564</v>
      </c>
      <c r="E416" s="92">
        <f t="shared" si="199"/>
        <v>623.56949999999995</v>
      </c>
      <c r="F416" s="92">
        <f t="shared" si="199"/>
        <v>3358830</v>
      </c>
      <c r="G416" s="92">
        <f t="shared" ref="G416:H416" si="200">G417+G422</f>
        <v>28.865048595252006</v>
      </c>
      <c r="H416" s="92">
        <f t="shared" ca="1" si="200"/>
        <v>2158830</v>
      </c>
      <c r="I416" s="92">
        <f t="shared" ref="I416:J416" si="201">I417+I422</f>
        <v>0</v>
      </c>
      <c r="J416" s="92">
        <f t="shared" si="201"/>
        <v>0</v>
      </c>
      <c r="K416" s="114"/>
    </row>
    <row r="417" spans="1:11" s="51" customFormat="1" ht="12.75" outlineLevel="2">
      <c r="A417" s="99"/>
      <c r="B417" s="84" t="s">
        <v>1731</v>
      </c>
      <c r="C417" s="97"/>
      <c r="D417" s="86">
        <f>E417/K$2*10000</f>
        <v>53.588195651512564</v>
      </c>
      <c r="E417" s="87">
        <v>623.56949999999995</v>
      </c>
      <c r="F417" s="88">
        <f t="shared" ref="F417:H417" si="202">SUM(F418:F421)</f>
        <v>3358830</v>
      </c>
      <c r="G417" s="88">
        <f t="shared" si="202"/>
        <v>28.865048595252006</v>
      </c>
      <c r="H417" s="88">
        <f t="shared" ca="1" si="202"/>
        <v>2158830</v>
      </c>
      <c r="I417" s="120"/>
      <c r="J417" s="119"/>
      <c r="K417" s="114"/>
    </row>
    <row r="418" spans="1:11" s="52" customFormat="1" ht="23.25" customHeight="1" outlineLevel="3">
      <c r="A418" s="76" t="s">
        <v>279</v>
      </c>
      <c r="B418" s="77" t="str">
        <f>IF(A418&lt;&gt;0,VLOOKUP(A418,合同台帐!$A$4:$D$893,4,1),"")</f>
        <v>一期排水配套工程</v>
      </c>
      <c r="C418" s="78"/>
      <c r="D418" s="79"/>
      <c r="E418" s="80"/>
      <c r="F418" s="81">
        <f>IF(A418&lt;&gt;0,VLOOKUP(A418,合同台帐!$A$4:$J$893,6,1),"")</f>
        <v>3139730</v>
      </c>
      <c r="G418" s="82">
        <f>F418/K2</f>
        <v>26.98215123300988</v>
      </c>
      <c r="H418" s="80">
        <f ca="1">IF(A418&lt;&gt;0,IF($H$2="元",VLOOKUP(A418,合同台帐!$A$4:$K$1093,11,1),VLOOKUP(A418,合同台帐!$A$4:$K$1093,11,1)),0)</f>
        <v>2039730</v>
      </c>
      <c r="I418" s="81"/>
      <c r="J418" s="117"/>
      <c r="K418" s="118"/>
    </row>
    <row r="419" spans="1:11" s="52" customFormat="1" ht="23.25" customHeight="1" outlineLevel="3">
      <c r="A419" s="76" t="s">
        <v>288</v>
      </c>
      <c r="B419" s="77" t="str">
        <f>IF(A419&lt;&gt;0,VLOOKUP(A419,合同台帐!$A$4:$D$893,4,1),"")</f>
        <v>一期排水配套工程挖土方</v>
      </c>
      <c r="C419" s="78"/>
      <c r="D419" s="79"/>
      <c r="E419" s="80"/>
      <c r="F419" s="81">
        <f>IF(A419&lt;&gt;0,VLOOKUP(A419,合同台帐!$A$4:$J$893,6,1),"")</f>
        <v>170000</v>
      </c>
      <c r="G419" s="82">
        <f>F419/K2</f>
        <v>1.4609427274356965</v>
      </c>
      <c r="H419" s="80">
        <f ca="1">IF(A419&lt;&gt;0,IF($H$2="元",VLOOKUP(A419,合同台帐!$A$4:$K$1093,11,1),VLOOKUP(A419,合同台帐!$A$4:$K$1093,11,1)),0)</f>
        <v>70000</v>
      </c>
      <c r="I419" s="81"/>
      <c r="J419" s="117"/>
      <c r="K419" s="118"/>
    </row>
    <row r="420" spans="1:11" s="52" customFormat="1" ht="23.25" customHeight="1" outlineLevel="3">
      <c r="A420" s="76" t="s">
        <v>306</v>
      </c>
      <c r="B420" s="77" t="str">
        <f>IF(A420&lt;&gt;0,VLOOKUP(A420,合同台帐!$A$4:$D$893,4,1),"")</f>
        <v>排水市政接口</v>
      </c>
      <c r="C420" s="78"/>
      <c r="D420" s="79"/>
      <c r="E420" s="80"/>
      <c r="F420" s="81">
        <f>IF(A420&lt;&gt;0,VLOOKUP(A420,合同台帐!$A$4:$J$893,6,1),"")</f>
        <v>49100</v>
      </c>
      <c r="G420" s="138">
        <f>F420/K2</f>
        <v>0.42195463480642764</v>
      </c>
      <c r="H420" s="80">
        <f ca="1">IF(A420&lt;&gt;0,IF($H$2="元",VLOOKUP(A420,合同台帐!$A$4:$K$1093,11,1),VLOOKUP(A420,合同台帐!$A$4:$K$1093,11,1)),0)</f>
        <v>49100</v>
      </c>
      <c r="I420" s="81"/>
      <c r="J420" s="117"/>
      <c r="K420" s="118"/>
    </row>
    <row r="421" spans="1:11" s="52" customFormat="1" ht="23.25" customHeight="1" outlineLevel="3">
      <c r="A421" s="108"/>
      <c r="B421" s="77" t="str">
        <f>IF(A421&lt;&gt;0,VLOOKUP(A421,合同台帐!$A$4:$D$893,4,1),"")</f>
        <v/>
      </c>
      <c r="C421" s="78"/>
      <c r="D421" s="79"/>
      <c r="E421" s="80"/>
      <c r="F421" s="81"/>
      <c r="G421" s="125">
        <f>F421/K2</f>
        <v>0</v>
      </c>
      <c r="H421" s="80">
        <f>IF(A421&lt;&gt;0,IF($H$2="元",VLOOKUP(A421,合同台帐!$A$4:$K$1093,11,1),VLOOKUP(A421,合同台帐!$A$4:$K$1093,11,1)),0)</f>
        <v>0</v>
      </c>
      <c r="I421" s="81"/>
      <c r="J421" s="117"/>
      <c r="K421" s="118"/>
    </row>
    <row r="422" spans="1:11" s="51" customFormat="1" ht="12.75" outlineLevel="2">
      <c r="A422" s="99"/>
      <c r="B422" s="84" t="s">
        <v>1732</v>
      </c>
      <c r="C422" s="97"/>
      <c r="D422" s="86">
        <f>E422/K$2*10000</f>
        <v>0</v>
      </c>
      <c r="E422" s="87">
        <v>0</v>
      </c>
      <c r="F422" s="88">
        <f>SUM(F423:F424)</f>
        <v>0</v>
      </c>
      <c r="G422" s="88">
        <f t="shared" ref="G422:H422" si="203">SUM(G423:G424)</f>
        <v>0</v>
      </c>
      <c r="H422" s="88">
        <f t="shared" si="203"/>
        <v>0</v>
      </c>
      <c r="I422" s="120"/>
      <c r="J422" s="119"/>
      <c r="K422" s="114"/>
    </row>
    <row r="423" spans="1:11" s="51" customFormat="1" ht="12.75" outlineLevel="3">
      <c r="A423" s="99"/>
      <c r="B423" s="84"/>
      <c r="C423" s="97"/>
      <c r="D423" s="86"/>
      <c r="E423" s="87"/>
      <c r="F423" s="88"/>
      <c r="G423" s="89"/>
      <c r="H423" s="87"/>
      <c r="I423" s="120"/>
      <c r="J423" s="119"/>
      <c r="K423" s="114"/>
    </row>
    <row r="424" spans="1:11" s="51" customFormat="1" ht="12.75" outlineLevel="3">
      <c r="A424" s="99"/>
      <c r="B424" s="84"/>
      <c r="C424" s="97"/>
      <c r="D424" s="86"/>
      <c r="E424" s="87"/>
      <c r="F424" s="88"/>
      <c r="G424" s="89"/>
      <c r="H424" s="87"/>
      <c r="I424" s="120"/>
      <c r="J424" s="119"/>
      <c r="K424" s="114"/>
    </row>
    <row r="425" spans="1:11" ht="12.75" outlineLevel="1">
      <c r="A425" s="72"/>
      <c r="B425" s="73" t="s">
        <v>1733</v>
      </c>
      <c r="C425" s="74" t="s">
        <v>1734</v>
      </c>
      <c r="D425" s="92">
        <f t="shared" ref="D425:F425" si="204">D426+D429+D432</f>
        <v>151.3216719166073</v>
      </c>
      <c r="E425" s="92">
        <f t="shared" si="204"/>
        <v>1760.8277</v>
      </c>
      <c r="F425" s="92">
        <f t="shared" si="204"/>
        <v>17275215.969999999</v>
      </c>
      <c r="G425" s="92">
        <f t="shared" ref="G425:H425" si="205">G426+G429+G432</f>
        <v>148.45941844854414</v>
      </c>
      <c r="H425" s="92">
        <f t="shared" ca="1" si="205"/>
        <v>8871382</v>
      </c>
      <c r="I425" s="137">
        <f>F425-E425*10000</f>
        <v>-333061.03000000119</v>
      </c>
      <c r="J425" s="116">
        <f>G425-D425</f>
        <v>-2.8622534680631588</v>
      </c>
      <c r="K425" s="114"/>
    </row>
    <row r="426" spans="1:11" ht="12.75" outlineLevel="2">
      <c r="A426" s="99"/>
      <c r="B426" s="84" t="s">
        <v>1735</v>
      </c>
      <c r="C426" s="85"/>
      <c r="D426" s="86">
        <f>E426/K$2*10000</f>
        <v>113.99589148529921</v>
      </c>
      <c r="E426" s="87">
        <v>1326.4929</v>
      </c>
      <c r="F426" s="88">
        <f>SUM(F427:F428)</f>
        <v>13252746.24</v>
      </c>
      <c r="G426" s="88">
        <f t="shared" ref="G426:H426" si="206">SUM(G427:G428)</f>
        <v>113.89119551693396</v>
      </c>
      <c r="H426" s="88">
        <f t="shared" ca="1" si="206"/>
        <v>6771382</v>
      </c>
      <c r="I426" s="107"/>
      <c r="J426" s="119"/>
      <c r="K426" s="114"/>
    </row>
    <row r="427" spans="1:11" s="52" customFormat="1" ht="23.25" customHeight="1" outlineLevel="3">
      <c r="A427" s="76" t="s">
        <v>1736</v>
      </c>
      <c r="B427" s="77" t="str">
        <f>IF(A427&lt;&gt;0,VLOOKUP(A427,合同台帐!$A$4:$D$893,4,1),"")</f>
        <v>供热配套合同（工程建设费）</v>
      </c>
      <c r="C427" s="78"/>
      <c r="D427" s="79"/>
      <c r="E427" s="80"/>
      <c r="F427" s="81">
        <f>IF(A427&lt;&gt;0,VLOOKUP(A427,合同台帐!$A$4:$J$893,6,1),"")</f>
        <v>13252746.24</v>
      </c>
      <c r="G427" s="82">
        <f>F427/K2</f>
        <v>113.89119551693396</v>
      </c>
      <c r="H427" s="80">
        <f ca="1">IF(A427&lt;&gt;0,IF($H$2="元",VLOOKUP(A427,合同台帐!$A$4:$K$1093,11,1),VLOOKUP(A427,合同台帐!$A$4:$K$1093,11,1)),0)</f>
        <v>6771382</v>
      </c>
      <c r="I427" s="81"/>
      <c r="J427" s="117"/>
      <c r="K427" s="118"/>
    </row>
    <row r="428" spans="1:11" s="51" customFormat="1" ht="17.25" customHeight="1" outlineLevel="3">
      <c r="A428" s="99"/>
      <c r="B428" s="84"/>
      <c r="C428" s="85"/>
      <c r="D428" s="86"/>
      <c r="E428" s="87"/>
      <c r="F428" s="88"/>
      <c r="G428" s="89"/>
      <c r="H428" s="87"/>
      <c r="I428" s="120"/>
      <c r="J428" s="119"/>
      <c r="K428" s="114"/>
    </row>
    <row r="429" spans="1:11" ht="12.75" outlineLevel="2">
      <c r="A429" s="99"/>
      <c r="B429" s="84" t="s">
        <v>1737</v>
      </c>
      <c r="C429" s="85"/>
      <c r="D429" s="86">
        <f>E429/K$2*10000</f>
        <v>27.448088837692868</v>
      </c>
      <c r="E429" s="87">
        <v>319.39479999999998</v>
      </c>
      <c r="F429" s="88">
        <f>SUM(F430:F431)</f>
        <v>2873069.73</v>
      </c>
      <c r="G429" s="88">
        <f t="shared" ref="G429:H429" si="207">SUM(G430:G431)</f>
        <v>24.690531337994944</v>
      </c>
      <c r="H429" s="88">
        <f t="shared" ca="1" si="207"/>
        <v>2100000</v>
      </c>
      <c r="I429" s="107"/>
      <c r="J429" s="119"/>
      <c r="K429" s="114"/>
    </row>
    <row r="430" spans="1:11" s="52" customFormat="1" ht="23.25" customHeight="1" outlineLevel="3">
      <c r="A430" s="76" t="s">
        <v>274</v>
      </c>
      <c r="B430" s="77" t="str">
        <f>IF(A430&lt;&gt;0,VLOOKUP(A430,合同台帐!$A$4:$D$893,4,1),"")</f>
        <v>供用热协议书（二次管网）</v>
      </c>
      <c r="C430" s="78"/>
      <c r="D430" s="79"/>
      <c r="E430" s="80"/>
      <c r="F430" s="81">
        <f>IF(A430&lt;&gt;0,VLOOKUP(A430,合同台帐!$A$4:$J$893,6,1),"")</f>
        <v>2673069.73</v>
      </c>
      <c r="G430" s="82">
        <f>F430/K2</f>
        <v>22.971775188070595</v>
      </c>
      <c r="H430" s="80">
        <f ca="1">IF(A430&lt;&gt;0,IF($H$2="元",VLOOKUP(A430,合同台帐!$A$4:$K$1093,11,1),VLOOKUP(A430,合同台帐!$A$4:$K$1093,11,1)),0)</f>
        <v>1900000</v>
      </c>
      <c r="I430" s="81"/>
      <c r="J430" s="117"/>
      <c r="K430" s="118"/>
    </row>
    <row r="431" spans="1:11" s="52" customFormat="1" ht="23.25" customHeight="1" outlineLevel="3">
      <c r="A431" s="76" t="s">
        <v>290</v>
      </c>
      <c r="B431" s="77" t="str">
        <f>IF(A431&lt;&gt;0,VLOOKUP(A431,合同台帐!$A$4:$D$893,4,1),"")</f>
        <v>一期供热二次网工程土方挖填</v>
      </c>
      <c r="C431" s="78"/>
      <c r="D431" s="79"/>
      <c r="E431" s="80"/>
      <c r="F431" s="81">
        <f>IF(A431&lt;&gt;0,VLOOKUP(A431,合同台帐!$A$4:$J$893,6,1),"")</f>
        <v>200000</v>
      </c>
      <c r="G431" s="82">
        <f>F431/K2</f>
        <v>1.7187561499243489</v>
      </c>
      <c r="H431" s="80">
        <f ca="1">IF(A431&lt;&gt;0,IF($H$2="元",VLOOKUP(A431,合同台帐!$A$4:$K$1093,11,1),VLOOKUP(A431,合同台帐!$A$4:$K$1093,11,1)),0)</f>
        <v>200000</v>
      </c>
      <c r="I431" s="81"/>
      <c r="J431" s="117"/>
      <c r="K431" s="118"/>
    </row>
    <row r="432" spans="1:11" ht="30" customHeight="1" outlineLevel="2">
      <c r="A432" s="99"/>
      <c r="B432" s="84" t="s">
        <v>1738</v>
      </c>
      <c r="C432" s="85"/>
      <c r="D432" s="86">
        <f>E432/K$2*10000</f>
        <v>9.8776915936152321</v>
      </c>
      <c r="E432" s="87">
        <v>114.94</v>
      </c>
      <c r="F432" s="88">
        <f>SUM(F433:F434)</f>
        <v>1149400</v>
      </c>
      <c r="G432" s="88">
        <f t="shared" ref="G432:H432" si="208">SUM(G433:G434)</f>
        <v>9.8776915936152339</v>
      </c>
      <c r="H432" s="88">
        <f t="shared" ca="1" si="208"/>
        <v>0</v>
      </c>
      <c r="I432" s="107"/>
      <c r="J432" s="119"/>
      <c r="K432" s="114"/>
    </row>
    <row r="433" spans="1:11" s="52" customFormat="1" ht="23.25" customHeight="1" outlineLevel="3">
      <c r="A433" s="76" t="s">
        <v>1739</v>
      </c>
      <c r="B433" s="77" t="str">
        <f>IF(A433&lt;&gt;0,VLOOKUP(A433,合同台帐!$A$4:$D$893,4,1),"")</f>
        <v>供热配套合同（热计量装配费）</v>
      </c>
      <c r="C433" s="78"/>
      <c r="D433" s="79"/>
      <c r="E433" s="80"/>
      <c r="F433" s="81">
        <f>IF(A433&lt;&gt;0,VLOOKUP(A433,合同台帐!$A$4:$J$893,6,1),"")</f>
        <v>1149400</v>
      </c>
      <c r="G433" s="82">
        <f>F433/K2</f>
        <v>9.8776915936152339</v>
      </c>
      <c r="H433" s="80">
        <f ca="1">IF(A433&lt;&gt;0,IF($H$2="元",VLOOKUP(A433,合同台帐!$A$4:$K$1093,11,1),VLOOKUP(A433,合同台帐!$A$4:$K$1093,11,1)),0)</f>
        <v>0</v>
      </c>
      <c r="I433" s="81"/>
      <c r="J433" s="117"/>
      <c r="K433" s="118"/>
    </row>
    <row r="434" spans="1:11" ht="14.25" customHeight="1" outlineLevel="3">
      <c r="A434" s="99"/>
      <c r="B434" s="84"/>
      <c r="C434" s="85"/>
      <c r="D434" s="86"/>
      <c r="E434" s="87"/>
      <c r="F434" s="88"/>
      <c r="G434" s="89"/>
      <c r="H434" s="87"/>
      <c r="I434" s="120"/>
      <c r="J434" s="119"/>
      <c r="K434" s="114"/>
    </row>
    <row r="435" spans="1:11" ht="12.75" outlineLevel="1">
      <c r="A435" s="72"/>
      <c r="B435" s="73" t="s">
        <v>1740</v>
      </c>
      <c r="C435" s="74" t="s">
        <v>1741</v>
      </c>
      <c r="D435" s="92">
        <f t="shared" ref="D435:F435" si="209">D436+D440+D443+D446+D449+D452</f>
        <v>67.91963989996151</v>
      </c>
      <c r="E435" s="92">
        <f t="shared" si="209"/>
        <v>790.33480000000009</v>
      </c>
      <c r="F435" s="92">
        <f t="shared" si="209"/>
        <v>4483527.8</v>
      </c>
      <c r="G435" s="92" t="e">
        <f t="shared" ref="G435:H435" si="210">G436+G440+G443+G446+G449+G452</f>
        <v>#DIV/0!</v>
      </c>
      <c r="H435" s="92">
        <f t="shared" ca="1" si="210"/>
        <v>3571910.1999999997</v>
      </c>
      <c r="I435" s="137">
        <f>F435-E435*10000</f>
        <v>-3419820.2000000011</v>
      </c>
      <c r="J435" s="116">
        <f>G439-D439</f>
        <v>0</v>
      </c>
      <c r="K435" s="114"/>
    </row>
    <row r="436" spans="1:11" ht="12.75" outlineLevel="2">
      <c r="A436" s="99"/>
      <c r="B436" s="84" t="s">
        <v>1742</v>
      </c>
      <c r="C436" s="85"/>
      <c r="D436" s="86">
        <f>E436/K$2*10000</f>
        <v>19.618355353177748</v>
      </c>
      <c r="E436" s="87">
        <v>228.28550000000001</v>
      </c>
      <c r="F436" s="88">
        <f>SUM(F437:F439)</f>
        <v>1870635.7999999998</v>
      </c>
      <c r="G436" s="88">
        <f t="shared" ref="G436:H436" si="211">SUM(G437:G439)</f>
        <v>16.075833927593273</v>
      </c>
      <c r="H436" s="88">
        <f t="shared" ca="1" si="211"/>
        <v>1870635.7999999998</v>
      </c>
      <c r="I436" s="107"/>
      <c r="J436" s="119"/>
      <c r="K436" s="114"/>
    </row>
    <row r="437" spans="1:11" s="52" customFormat="1" ht="23.25" customHeight="1" outlineLevel="3">
      <c r="A437" s="76" t="s">
        <v>206</v>
      </c>
      <c r="B437" s="77" t="str">
        <f>IF(A437&lt;&gt;0,VLOOKUP(A437,合同台帐!$A$4:$D$893,4,1),"")</f>
        <v>气源发展费（一期）(蓟县另收）</v>
      </c>
      <c r="C437" s="78"/>
      <c r="D437" s="79"/>
      <c r="E437" s="80"/>
      <c r="F437" s="81">
        <f>IF(A437&lt;&gt;0,VLOOKUP(A437,合同台帐!$A$4:$J$893,6,1),"")</f>
        <v>1127572.3999999999</v>
      </c>
      <c r="G437" s="82">
        <f>F437/K2</f>
        <v>9.6901099849247885</v>
      </c>
      <c r="H437" s="80">
        <f ca="1">IF(A437&lt;&gt;0,IF($H$2="元",VLOOKUP(A437,合同台帐!$A$4:$K$1093,11,1),VLOOKUP(A437,合同台帐!$A$4:$K$1093,11,1)),0)</f>
        <v>1127572.3999999999</v>
      </c>
      <c r="I437" s="81"/>
      <c r="J437" s="117"/>
      <c r="K437" s="118"/>
    </row>
    <row r="438" spans="1:11" s="52" customFormat="1" ht="23.25" customHeight="1" outlineLevel="3">
      <c r="A438" s="126" t="s">
        <v>918</v>
      </c>
      <c r="B438" s="77" t="str">
        <f>IF(A438&lt;&gt;0,VLOOKUP(A438,合同台帐!$A$4:$D$893,4,1),"")</f>
        <v>（三期）气源发展费</v>
      </c>
      <c r="C438" s="78"/>
      <c r="D438" s="79"/>
      <c r="E438" s="80"/>
      <c r="F438" s="81">
        <f>IF(A438&lt;&gt;0,VLOOKUP(A438,合同台帐!$A$4:$J$893,6,1),"")</f>
        <v>743063.4</v>
      </c>
      <c r="G438" s="82">
        <f>F438/K2</f>
        <v>6.3857239426684824</v>
      </c>
      <c r="H438" s="80">
        <f ca="1">IF(A438&lt;&gt;0,IF($H$2="元",VLOOKUP(A438,合同台帐!$A$4:$K$1093,11,1),VLOOKUP(A438,合同台帐!$A$4:$K$1093,11,1)),0)</f>
        <v>743063.4</v>
      </c>
      <c r="I438" s="81"/>
      <c r="J438" s="117"/>
      <c r="K438" s="118"/>
    </row>
    <row r="439" spans="1:11" ht="12.75" outlineLevel="3">
      <c r="A439" s="99"/>
      <c r="B439" s="84"/>
      <c r="C439" s="85"/>
      <c r="D439" s="86"/>
      <c r="E439" s="87"/>
      <c r="F439" s="88"/>
      <c r="G439" s="89"/>
      <c r="H439" s="87"/>
      <c r="I439" s="107"/>
      <c r="J439" s="119"/>
      <c r="K439" s="114"/>
    </row>
    <row r="440" spans="1:11" ht="12.75" outlineLevel="2">
      <c r="A440" s="99"/>
      <c r="B440" s="84" t="s">
        <v>1743</v>
      </c>
      <c r="C440" s="85"/>
      <c r="D440" s="86">
        <f>E440/K$2*10000</f>
        <v>41.438239677451342</v>
      </c>
      <c r="E440" s="87">
        <v>482.18869999999998</v>
      </c>
      <c r="F440" s="88">
        <f>SUM(F441:F442)</f>
        <v>2430392</v>
      </c>
      <c r="G440" s="88">
        <f t="shared" ref="G440:H440" si="212">SUM(G441:G442)</f>
        <v>20.88625598363469</v>
      </c>
      <c r="H440" s="88">
        <f t="shared" ca="1" si="212"/>
        <v>1701274.4</v>
      </c>
      <c r="I440" s="88">
        <f t="shared" ref="I440:J440" si="213">SUM(I441:I442)</f>
        <v>0</v>
      </c>
      <c r="J440" s="88">
        <f t="shared" si="213"/>
        <v>0</v>
      </c>
      <c r="K440" s="114"/>
    </row>
    <row r="441" spans="1:11" s="52" customFormat="1" ht="23.25" customHeight="1" outlineLevel="3">
      <c r="A441" s="76" t="s">
        <v>291</v>
      </c>
      <c r="B441" s="77" t="str">
        <f>IF(A441&lt;&gt;0,VLOOKUP(A441,合同台帐!$A$4:$D$893,4,1),"")</f>
        <v>一期燃气配套工程</v>
      </c>
      <c r="C441" s="78"/>
      <c r="D441" s="79"/>
      <c r="E441" s="80"/>
      <c r="F441" s="81">
        <f>IF(A441&lt;&gt;0,VLOOKUP(A441,合同台帐!$A$4:$J$893,6,1),"")</f>
        <v>2430392</v>
      </c>
      <c r="G441" s="82">
        <f>F441/K2</f>
        <v>20.88625598363469</v>
      </c>
      <c r="H441" s="80">
        <f ca="1">IF(A441&lt;&gt;0,IF($H$2="元",VLOOKUP(A441,合同台帐!$A$4:$K$1093,11,1),VLOOKUP(A441,合同台帐!$A$4:$K$1093,11,1)),0)</f>
        <v>1701274.4</v>
      </c>
      <c r="I441" s="81"/>
      <c r="J441" s="117"/>
      <c r="K441" s="118"/>
    </row>
    <row r="442" spans="1:11" ht="12.75" outlineLevel="3">
      <c r="A442" s="99"/>
      <c r="B442" s="84"/>
      <c r="C442" s="85"/>
      <c r="D442" s="86"/>
      <c r="E442" s="87"/>
      <c r="F442" s="88"/>
      <c r="G442" s="89"/>
      <c r="H442" s="87"/>
      <c r="I442" s="107"/>
      <c r="J442" s="119"/>
      <c r="K442" s="114"/>
    </row>
    <row r="443" spans="1:11" ht="12.75" outlineLevel="2">
      <c r="A443" s="99"/>
      <c r="B443" s="84" t="s">
        <v>1744</v>
      </c>
      <c r="C443" s="85"/>
      <c r="D443" s="86">
        <f>E443/K$2*10000</f>
        <v>1.5843150438772666</v>
      </c>
      <c r="E443" s="87">
        <v>18.435600000000001</v>
      </c>
      <c r="F443" s="88">
        <f>SUM(F444:F445)</f>
        <v>0</v>
      </c>
      <c r="G443" s="88">
        <f t="shared" ref="G443:H443" si="214">SUM(G444:G445)</f>
        <v>0</v>
      </c>
      <c r="H443" s="88">
        <f t="shared" si="214"/>
        <v>0</v>
      </c>
      <c r="I443" s="107"/>
      <c r="J443" s="119"/>
      <c r="K443" s="114"/>
    </row>
    <row r="444" spans="1:11" ht="12.75" outlineLevel="3">
      <c r="A444" s="99"/>
      <c r="B444" s="84"/>
      <c r="C444" s="85"/>
      <c r="D444" s="86"/>
      <c r="E444" s="87"/>
      <c r="F444" s="88"/>
      <c r="G444" s="89"/>
      <c r="H444" s="87"/>
      <c r="I444" s="107"/>
      <c r="J444" s="119"/>
      <c r="K444" s="114"/>
    </row>
    <row r="445" spans="1:11" ht="12.75" outlineLevel="3">
      <c r="A445" s="99"/>
      <c r="B445" s="84"/>
      <c r="C445" s="85"/>
      <c r="D445" s="86"/>
      <c r="E445" s="87"/>
      <c r="F445" s="88"/>
      <c r="G445" s="89"/>
      <c r="H445" s="87"/>
      <c r="I445" s="107"/>
      <c r="J445" s="119"/>
      <c r="K445" s="114"/>
    </row>
    <row r="446" spans="1:11" ht="12.75" outlineLevel="2">
      <c r="A446" s="99"/>
      <c r="B446" s="84" t="s">
        <v>1745</v>
      </c>
      <c r="C446" s="85"/>
      <c r="D446" s="86">
        <f>E446/K$2*10000</f>
        <v>2.51368086926436</v>
      </c>
      <c r="E446" s="87">
        <v>29.25</v>
      </c>
      <c r="F446" s="88">
        <f>SUM(F447:F448)</f>
        <v>182500</v>
      </c>
      <c r="G446" s="88" t="e">
        <f t="shared" ref="G446:H446" si="215">SUM(G447:G448)</f>
        <v>#DIV/0!</v>
      </c>
      <c r="H446" s="88">
        <f t="shared" ca="1" si="215"/>
        <v>0</v>
      </c>
      <c r="I446" s="107"/>
      <c r="J446" s="119"/>
      <c r="K446" s="114"/>
    </row>
    <row r="447" spans="1:11" s="52" customFormat="1" ht="23.25" customHeight="1" outlineLevel="3">
      <c r="A447" s="108" t="s">
        <v>941</v>
      </c>
      <c r="B447" s="77" t="str">
        <f>IF(A447&lt;&gt;0,VLOOKUP(A447,合同台帐!$A$4:$D$893,4,1),"")</f>
        <v>一期燃气表购销合同</v>
      </c>
      <c r="C447" s="78"/>
      <c r="D447" s="79"/>
      <c r="E447" s="80"/>
      <c r="F447" s="81">
        <f>IF(A447&lt;&gt;0,VLOOKUP(A447,合同台帐!$A$4:$J$893,6,1),"")</f>
        <v>182500</v>
      </c>
      <c r="G447" s="82" t="e">
        <f>F447/K8</f>
        <v>#DIV/0!</v>
      </c>
      <c r="H447" s="80">
        <f ca="1">IF(A447&lt;&gt;0,IF($H$2="元",VLOOKUP(A447,合同台帐!$A$4:$K$1093,11,1),VLOOKUP(A447,合同台帐!$A$4:$K$1093,11,1)),0)</f>
        <v>0</v>
      </c>
      <c r="I447" s="81"/>
      <c r="J447" s="117"/>
      <c r="K447" s="118"/>
    </row>
    <row r="448" spans="1:11" ht="12.75" outlineLevel="3">
      <c r="A448" s="99"/>
      <c r="B448" s="84"/>
      <c r="C448" s="85"/>
      <c r="D448" s="86"/>
      <c r="E448" s="87"/>
      <c r="F448" s="88"/>
      <c r="G448" s="89"/>
      <c r="H448" s="87"/>
      <c r="I448" s="107"/>
      <c r="J448" s="119"/>
      <c r="K448" s="114"/>
    </row>
    <row r="449" spans="1:11" ht="12.75" outlineLevel="2">
      <c r="A449" s="99"/>
      <c r="B449" s="84" t="s">
        <v>1746</v>
      </c>
      <c r="C449" s="85"/>
      <c r="D449" s="86">
        <f>E449/K$2*10000</f>
        <v>2.2623127823379243</v>
      </c>
      <c r="E449" s="87">
        <v>26.324999999999999</v>
      </c>
      <c r="F449" s="88">
        <f>SUM(F450:F451)</f>
        <v>0</v>
      </c>
      <c r="G449" s="88">
        <f t="shared" ref="G449:H449" si="216">SUM(G450:G451)</f>
        <v>0</v>
      </c>
      <c r="H449" s="88">
        <f t="shared" si="216"/>
        <v>0</v>
      </c>
      <c r="I449" s="107"/>
      <c r="J449" s="119"/>
      <c r="K449" s="114"/>
    </row>
    <row r="450" spans="1:11" ht="12.75" outlineLevel="3">
      <c r="A450" s="99"/>
      <c r="B450" s="84"/>
      <c r="C450" s="85"/>
      <c r="D450" s="86"/>
      <c r="E450" s="87"/>
      <c r="F450" s="88"/>
      <c r="G450" s="89"/>
      <c r="H450" s="87"/>
      <c r="I450" s="107"/>
      <c r="J450" s="119"/>
      <c r="K450" s="114"/>
    </row>
    <row r="451" spans="1:11" ht="12.75" outlineLevel="3">
      <c r="A451" s="99"/>
      <c r="C451" s="85"/>
      <c r="D451" s="86"/>
      <c r="E451" s="87"/>
      <c r="F451" s="88"/>
      <c r="G451" s="89"/>
      <c r="H451" s="87"/>
      <c r="I451" s="107"/>
      <c r="J451" s="119"/>
      <c r="K451" s="114"/>
    </row>
    <row r="452" spans="1:11" ht="12.75" outlineLevel="2">
      <c r="A452" s="99"/>
      <c r="B452" s="84" t="s">
        <v>1747</v>
      </c>
      <c r="C452" s="85"/>
      <c r="D452" s="86">
        <f>E452/K$2*10000</f>
        <v>0.50273617385287206</v>
      </c>
      <c r="E452" s="87">
        <v>5.85</v>
      </c>
      <c r="F452" s="88">
        <f>SUM(F453:F454)</f>
        <v>0</v>
      </c>
      <c r="G452" s="88">
        <f t="shared" ref="G452:H452" si="217">SUM(G453:G454)</f>
        <v>0</v>
      </c>
      <c r="H452" s="88">
        <f t="shared" si="217"/>
        <v>0</v>
      </c>
      <c r="I452" s="88">
        <f t="shared" ref="I452:J452" si="218">SUM(I453:I454)</f>
        <v>0</v>
      </c>
      <c r="J452" s="88">
        <f t="shared" si="218"/>
        <v>0</v>
      </c>
      <c r="K452" s="114"/>
    </row>
    <row r="453" spans="1:11" ht="12.75" outlineLevel="3">
      <c r="A453" s="99"/>
      <c r="B453" s="84"/>
      <c r="C453" s="85"/>
      <c r="D453" s="86"/>
      <c r="E453" s="87"/>
      <c r="F453" s="88"/>
      <c r="G453" s="89"/>
      <c r="H453" s="87"/>
      <c r="I453" s="120"/>
      <c r="J453" s="119"/>
      <c r="K453" s="114"/>
    </row>
    <row r="454" spans="1:11" ht="12.75" outlineLevel="3">
      <c r="A454" s="99"/>
      <c r="B454" s="84"/>
      <c r="C454" s="85"/>
      <c r="D454" s="86"/>
      <c r="E454" s="87"/>
      <c r="F454" s="88"/>
      <c r="G454" s="89"/>
      <c r="H454" s="87"/>
      <c r="I454" s="120"/>
      <c r="J454" s="119"/>
      <c r="K454" s="114"/>
    </row>
    <row r="455" spans="1:11" ht="12.75" outlineLevel="1">
      <c r="A455" s="72"/>
      <c r="B455" s="73" t="s">
        <v>1748</v>
      </c>
      <c r="C455" s="74" t="s">
        <v>1749</v>
      </c>
      <c r="D455" s="92">
        <f t="shared" ref="D455:F455" si="219">D456+D459+D462</f>
        <v>5.6211490194238349</v>
      </c>
      <c r="E455" s="92">
        <f t="shared" si="219"/>
        <v>65.409499999999994</v>
      </c>
      <c r="F455" s="92">
        <f t="shared" si="219"/>
        <v>604900</v>
      </c>
      <c r="G455" s="92" t="e">
        <f t="shared" ref="G455:H455" si="220">G456+G459+G462</f>
        <v>#VALUE!</v>
      </c>
      <c r="H455" s="92">
        <f t="shared" ca="1" si="220"/>
        <v>100000</v>
      </c>
      <c r="I455" s="137">
        <f>F455-E455*10000</f>
        <v>-49195</v>
      </c>
      <c r="J455" s="116" t="e">
        <f>G455-D455</f>
        <v>#VALUE!</v>
      </c>
      <c r="K455" s="114"/>
    </row>
    <row r="456" spans="1:11" ht="12.75" outlineLevel="2">
      <c r="A456" s="99"/>
      <c r="B456" s="84" t="s">
        <v>1750</v>
      </c>
      <c r="C456" s="85"/>
      <c r="D456" s="86">
        <f>E456/K$2*10000</f>
        <v>2.9994872950404776</v>
      </c>
      <c r="E456" s="87">
        <v>34.902999999999999</v>
      </c>
      <c r="F456" s="88">
        <f>SUM(F457:F458)</f>
        <v>0</v>
      </c>
      <c r="G456" s="88">
        <f t="shared" ref="G456:H456" si="221">SUM(G457:G458)</f>
        <v>0</v>
      </c>
      <c r="H456" s="88">
        <f t="shared" ca="1" si="221"/>
        <v>0</v>
      </c>
      <c r="I456" s="107"/>
      <c r="J456" s="119"/>
      <c r="K456" s="114"/>
    </row>
    <row r="457" spans="1:11" s="52" customFormat="1" ht="16.5" customHeight="1" outlineLevel="3">
      <c r="A457" s="76" t="s">
        <v>735</v>
      </c>
      <c r="B457" s="77" t="str">
        <f>IF(A457&lt;&gt;0,VLOOKUP(A457,合同台帐!$A$4:$D$893,4,1),"")</f>
        <v>政务网IP电视及宽带接入协议</v>
      </c>
      <c r="C457" s="78"/>
      <c r="D457" s="79"/>
      <c r="E457" s="80"/>
      <c r="F457" s="81">
        <f>IF(A457&lt;&gt;0,VLOOKUP(A457,合同台帐!$A$4:$J$893,6,1),"")</f>
        <v>0</v>
      </c>
      <c r="G457" s="82">
        <f>F457/K2</f>
        <v>0</v>
      </c>
      <c r="H457" s="80">
        <f ca="1">IF(A457&lt;&gt;0,IF($H$2="元",VLOOKUP(A457,合同台帐!$A$4:$K$1093,11,1),VLOOKUP(A457,合同台帐!$A$4:$K$1093,11,1)),0)</f>
        <v>0</v>
      </c>
      <c r="I457" s="81"/>
      <c r="J457" s="117"/>
      <c r="K457" s="118"/>
    </row>
    <row r="458" spans="1:11" ht="12.75" outlineLevel="3">
      <c r="A458" s="99"/>
      <c r="B458" s="84"/>
      <c r="C458" s="85"/>
      <c r="D458" s="86"/>
      <c r="E458" s="87"/>
      <c r="F458" s="88"/>
      <c r="G458" s="89"/>
      <c r="H458" s="87"/>
      <c r="I458" s="120"/>
      <c r="J458" s="119"/>
      <c r="K458" s="114"/>
    </row>
    <row r="459" spans="1:11" ht="12.75" outlineLevel="2">
      <c r="A459" s="99"/>
      <c r="B459" s="84" t="s">
        <v>1751</v>
      </c>
      <c r="C459" s="85"/>
      <c r="D459" s="86">
        <f>E459/K$2*10000</f>
        <v>2.6216617243833573</v>
      </c>
      <c r="E459" s="87">
        <v>30.506499999999999</v>
      </c>
      <c r="F459" s="88">
        <f>SUM(F460:F461)</f>
        <v>0</v>
      </c>
      <c r="G459" s="88">
        <f t="shared" ref="G459:H459" si="222">SUM(G460:G461)</f>
        <v>0</v>
      </c>
      <c r="H459" s="88">
        <f t="shared" si="222"/>
        <v>0</v>
      </c>
      <c r="I459" s="88">
        <f t="shared" ref="I459:J459" si="223">SUM(I460:I461)</f>
        <v>0</v>
      </c>
      <c r="J459" s="88">
        <f t="shared" si="223"/>
        <v>0</v>
      </c>
      <c r="K459" s="114"/>
    </row>
    <row r="460" spans="1:11" ht="12.75" outlineLevel="3">
      <c r="A460" s="99"/>
      <c r="B460" s="84"/>
      <c r="C460" s="85"/>
      <c r="D460" s="86"/>
      <c r="E460" s="87"/>
      <c r="F460" s="88"/>
      <c r="G460" s="89"/>
      <c r="H460" s="87"/>
      <c r="I460" s="120"/>
      <c r="J460" s="119"/>
      <c r="K460" s="114"/>
    </row>
    <row r="461" spans="1:11" ht="12.75" outlineLevel="3">
      <c r="A461" s="99"/>
      <c r="B461" s="84"/>
      <c r="C461" s="85"/>
      <c r="D461" s="86"/>
      <c r="E461" s="87"/>
      <c r="F461" s="88"/>
      <c r="G461" s="89"/>
      <c r="H461" s="87"/>
      <c r="I461" s="120"/>
      <c r="J461" s="119"/>
      <c r="K461" s="114"/>
    </row>
    <row r="462" spans="1:11" ht="12.75" outlineLevel="2">
      <c r="A462" s="99"/>
      <c r="B462" s="84" t="s">
        <v>1752</v>
      </c>
      <c r="C462" s="85"/>
      <c r="D462" s="86">
        <f>E462/K$2*10000</f>
        <v>0</v>
      </c>
      <c r="E462" s="87">
        <v>0</v>
      </c>
      <c r="F462" s="88">
        <f>SUM(F463:F465)</f>
        <v>604900</v>
      </c>
      <c r="G462" s="88" t="e">
        <f t="shared" ref="G462:H462" si="224">SUM(G463:G465)</f>
        <v>#VALUE!</v>
      </c>
      <c r="H462" s="88">
        <f t="shared" ca="1" si="224"/>
        <v>100000</v>
      </c>
      <c r="I462" s="107"/>
      <c r="J462" s="119"/>
      <c r="K462" s="114"/>
    </row>
    <row r="463" spans="1:11" s="52" customFormat="1" ht="14.25" customHeight="1" outlineLevel="3">
      <c r="A463" s="76" t="s">
        <v>334</v>
      </c>
      <c r="B463" s="77" t="str">
        <f>IF(A463&lt;&gt;0,VLOOKUP(A463,合同台帐!$A$4:$D$893,4,1),"")</f>
        <v>弱电综合管网工程</v>
      </c>
      <c r="C463" s="78"/>
      <c r="D463" s="79"/>
      <c r="E463" s="80"/>
      <c r="F463" s="81">
        <f>IF(A463&lt;&gt;0,VLOOKUP(A463,合同台帐!$A$4:$J$893,6,1),"")</f>
        <v>549900</v>
      </c>
      <c r="G463" s="82">
        <f>F463/K2</f>
        <v>4.7257200342169972</v>
      </c>
      <c r="H463" s="80">
        <f ca="1">IF(A463&lt;&gt;0,IF($H$2="元",VLOOKUP(A463,合同台帐!$A$4:$K$1093,11,1),VLOOKUP(A463,合同台帐!$A$4:$K$1093,11,1)),0)</f>
        <v>100000</v>
      </c>
      <c r="I463" s="81"/>
      <c r="J463" s="117"/>
      <c r="K463" s="118"/>
    </row>
    <row r="464" spans="1:11" s="52" customFormat="1" ht="14.25" customHeight="1" outlineLevel="3">
      <c r="A464" s="76" t="s">
        <v>948</v>
      </c>
      <c r="B464" s="77" t="str">
        <f>IF(A464&lt;&gt;0,VLOOKUP(A464,合同台帐!$A$4:$D$893,4,1),"")</f>
        <v>通信线路工程设计合同</v>
      </c>
      <c r="C464" s="78"/>
      <c r="D464" s="79"/>
      <c r="E464" s="80"/>
      <c r="F464" s="81">
        <f>IF(A464&lt;&gt;0,VLOOKUP(A464,合同台帐!$A$4:$J$893,6,1),"")</f>
        <v>55000</v>
      </c>
      <c r="G464" s="82" t="e">
        <f>F464/K3</f>
        <v>#VALUE!</v>
      </c>
      <c r="H464" s="80">
        <f ca="1">IF(A464&lt;&gt;0,IF($H$2="元",VLOOKUP(A464,合同台帐!$A$4:$K$1093,11,1),VLOOKUP(A464,合同台帐!$A$4:$K$1093,11,1)),0)</f>
        <v>0</v>
      </c>
      <c r="I464" s="81"/>
      <c r="J464" s="117"/>
      <c r="K464" s="118"/>
    </row>
    <row r="465" spans="1:11" ht="12.75" outlineLevel="3">
      <c r="A465" s="99"/>
      <c r="B465" s="84"/>
      <c r="C465" s="85"/>
      <c r="D465" s="86"/>
      <c r="E465" s="87"/>
      <c r="F465" s="88"/>
      <c r="G465" s="89"/>
      <c r="H465" s="87"/>
      <c r="I465" s="120"/>
      <c r="J465" s="119"/>
      <c r="K465" s="114"/>
    </row>
    <row r="466" spans="1:11" ht="12.75" outlineLevel="1">
      <c r="A466" s="72"/>
      <c r="B466" s="73" t="s">
        <v>1753</v>
      </c>
      <c r="C466" s="74" t="s">
        <v>1749</v>
      </c>
      <c r="D466" s="92">
        <f t="shared" ref="D466:F466" si="225">D467+D470+D473</f>
        <v>20.999994671855937</v>
      </c>
      <c r="E466" s="92">
        <f t="shared" si="225"/>
        <v>244.36270000000002</v>
      </c>
      <c r="F466" s="92">
        <f t="shared" si="225"/>
        <v>0</v>
      </c>
      <c r="G466" s="92">
        <f t="shared" ref="G466:H466" si="226">G467+G470+G473</f>
        <v>0</v>
      </c>
      <c r="H466" s="92">
        <f t="shared" si="226"/>
        <v>0</v>
      </c>
      <c r="I466" s="137">
        <f>F466-E466*10000</f>
        <v>-2443627</v>
      </c>
      <c r="J466" s="116">
        <f>G466-D466</f>
        <v>-20.999994671855937</v>
      </c>
      <c r="K466" s="114"/>
    </row>
    <row r="467" spans="1:11" ht="12.75" outlineLevel="2">
      <c r="A467" s="99"/>
      <c r="B467" s="84" t="s">
        <v>1754</v>
      </c>
      <c r="C467" s="85"/>
      <c r="D467" s="86">
        <f>E467/K$2*10000</f>
        <v>4.9999991406219255</v>
      </c>
      <c r="E467" s="87">
        <v>58.181600000000003</v>
      </c>
      <c r="F467" s="88">
        <f>SUM(F468:F469)</f>
        <v>0</v>
      </c>
      <c r="G467" s="88">
        <f t="shared" ref="G467:H467" si="227">SUM(G468:G469)</f>
        <v>0</v>
      </c>
      <c r="H467" s="88">
        <f t="shared" si="227"/>
        <v>0</v>
      </c>
      <c r="I467" s="107"/>
      <c r="J467" s="119"/>
      <c r="K467" s="114"/>
    </row>
    <row r="468" spans="1:11" ht="12.75" outlineLevel="3">
      <c r="A468" s="99"/>
      <c r="B468" s="84"/>
      <c r="C468" s="85"/>
      <c r="D468" s="86"/>
      <c r="E468" s="87"/>
      <c r="F468" s="88"/>
      <c r="G468" s="89"/>
      <c r="H468" s="87"/>
      <c r="I468" s="120"/>
      <c r="J468" s="119"/>
      <c r="K468" s="114"/>
    </row>
    <row r="469" spans="1:11" ht="12.75" outlineLevel="3">
      <c r="A469" s="99"/>
      <c r="B469" s="84"/>
      <c r="C469" s="85"/>
      <c r="D469" s="86"/>
      <c r="E469" s="87"/>
      <c r="F469" s="88"/>
      <c r="G469" s="89"/>
      <c r="H469" s="87"/>
      <c r="I469" s="120"/>
      <c r="J469" s="119"/>
      <c r="K469" s="114"/>
    </row>
    <row r="470" spans="1:11" ht="12.75" outlineLevel="2">
      <c r="A470" s="99"/>
      <c r="B470" s="84" t="s">
        <v>1755</v>
      </c>
      <c r="C470" s="85"/>
      <c r="D470" s="86">
        <f>E470/K$2*10000</f>
        <v>14.999997421865775</v>
      </c>
      <c r="E470" s="87">
        <v>174.54480000000001</v>
      </c>
      <c r="F470" s="88">
        <f>SUM(F471:F472)</f>
        <v>0</v>
      </c>
      <c r="G470" s="88">
        <f t="shared" ref="G470:H470" si="228">SUM(G471:G472)</f>
        <v>0</v>
      </c>
      <c r="H470" s="88">
        <f t="shared" si="228"/>
        <v>0</v>
      </c>
      <c r="I470" s="107"/>
      <c r="J470" s="119"/>
      <c r="K470" s="114"/>
    </row>
    <row r="471" spans="1:11" ht="12.75" outlineLevel="3">
      <c r="A471" s="99"/>
      <c r="B471" s="84"/>
      <c r="C471" s="85"/>
      <c r="D471" s="86"/>
      <c r="E471" s="87"/>
      <c r="F471" s="88"/>
      <c r="G471" s="89"/>
      <c r="H471" s="87"/>
      <c r="I471" s="120"/>
      <c r="J471" s="119"/>
      <c r="K471" s="114"/>
    </row>
    <row r="472" spans="1:11" ht="12.75" outlineLevel="3">
      <c r="A472" s="99"/>
      <c r="B472" s="84"/>
      <c r="C472" s="85"/>
      <c r="D472" s="86"/>
      <c r="E472" s="87"/>
      <c r="F472" s="88"/>
      <c r="G472" s="89"/>
      <c r="H472" s="87"/>
      <c r="I472" s="120"/>
      <c r="J472" s="119"/>
      <c r="K472" s="114"/>
    </row>
    <row r="473" spans="1:11" ht="12.75" outlineLevel="2">
      <c r="A473" s="99"/>
      <c r="B473" s="84" t="s">
        <v>1756</v>
      </c>
      <c r="C473" s="85"/>
      <c r="D473" s="86">
        <f>E473/K$2*10000</f>
        <v>0.99999810936823519</v>
      </c>
      <c r="E473" s="87">
        <v>11.6363</v>
      </c>
      <c r="F473" s="88">
        <f>SUM(F474:F475)</f>
        <v>0</v>
      </c>
      <c r="G473" s="88">
        <f t="shared" ref="G473:H473" si="229">SUM(G474:G475)</f>
        <v>0</v>
      </c>
      <c r="H473" s="88">
        <f t="shared" si="229"/>
        <v>0</v>
      </c>
      <c r="I473" s="107"/>
      <c r="J473" s="119"/>
      <c r="K473" s="114"/>
    </row>
    <row r="474" spans="1:11" ht="12.75" outlineLevel="3">
      <c r="A474" s="99"/>
      <c r="B474" s="84"/>
      <c r="C474" s="85"/>
      <c r="D474" s="86"/>
      <c r="E474" s="87"/>
      <c r="F474" s="88"/>
      <c r="G474" s="89"/>
      <c r="H474" s="87"/>
      <c r="I474" s="120"/>
      <c r="J474" s="119"/>
      <c r="K474" s="114"/>
    </row>
    <row r="475" spans="1:11" ht="12.75" outlineLevel="3">
      <c r="A475" s="99"/>
      <c r="B475" s="84"/>
      <c r="C475" s="85"/>
      <c r="D475" s="86"/>
      <c r="E475" s="87"/>
      <c r="F475" s="88"/>
      <c r="G475" s="89"/>
      <c r="H475" s="87"/>
      <c r="I475" s="120"/>
      <c r="J475" s="119"/>
      <c r="K475" s="114"/>
    </row>
    <row r="476" spans="1:11" ht="12.75" outlineLevel="1">
      <c r="A476" s="72"/>
      <c r="B476" s="73" t="s">
        <v>1757</v>
      </c>
      <c r="C476" s="74" t="s">
        <v>1758</v>
      </c>
      <c r="D476" s="92">
        <f t="shared" ref="D476:F476" si="230">D477+D480+D483</f>
        <v>2.8398750051777526</v>
      </c>
      <c r="E476" s="92">
        <f t="shared" si="230"/>
        <v>33.045699999999997</v>
      </c>
      <c r="F476" s="92">
        <f t="shared" si="230"/>
        <v>0</v>
      </c>
      <c r="G476" s="92">
        <f t="shared" ref="G476:H476" si="231">G477+G480+G483</f>
        <v>0</v>
      </c>
      <c r="H476" s="92">
        <f t="shared" si="231"/>
        <v>0</v>
      </c>
      <c r="I476" s="137">
        <f>F476-E476*10000</f>
        <v>-330456.99999999994</v>
      </c>
      <c r="J476" s="116">
        <f>G476-D476</f>
        <v>-2.8398750051777526</v>
      </c>
      <c r="K476" s="114"/>
    </row>
    <row r="477" spans="1:11" ht="12.75" outlineLevel="2">
      <c r="A477" s="99"/>
      <c r="B477" s="84" t="s">
        <v>1759</v>
      </c>
      <c r="C477" s="85"/>
      <c r="D477" s="86">
        <f>E477/K$2*10000</f>
        <v>1.0535975199036258</v>
      </c>
      <c r="E477" s="87">
        <v>12.26</v>
      </c>
      <c r="F477" s="88">
        <f>SUM(F478:F479)</f>
        <v>0</v>
      </c>
      <c r="G477" s="88">
        <f t="shared" ref="G477:H477" si="232">SUM(G478:G479)</f>
        <v>0</v>
      </c>
      <c r="H477" s="88">
        <f t="shared" si="232"/>
        <v>0</v>
      </c>
      <c r="I477" s="107"/>
      <c r="J477" s="119"/>
      <c r="K477" s="114"/>
    </row>
    <row r="478" spans="1:11" ht="12.75" outlineLevel="3">
      <c r="A478" s="99"/>
      <c r="B478" s="84"/>
      <c r="C478" s="85"/>
      <c r="D478" s="86"/>
      <c r="E478" s="87"/>
      <c r="F478" s="88"/>
      <c r="G478" s="89"/>
      <c r="H478" s="87"/>
      <c r="I478" s="120"/>
      <c r="J478" s="119"/>
      <c r="K478" s="114"/>
    </row>
    <row r="479" spans="1:11" ht="12.75" outlineLevel="3">
      <c r="A479" s="99"/>
      <c r="B479" s="84"/>
      <c r="C479" s="85"/>
      <c r="D479" s="86"/>
      <c r="E479" s="87"/>
      <c r="F479" s="88"/>
      <c r="G479" s="89"/>
      <c r="H479" s="87"/>
      <c r="I479" s="120"/>
      <c r="J479" s="119"/>
      <c r="K479" s="114"/>
    </row>
    <row r="480" spans="1:11" ht="12.75" outlineLevel="2">
      <c r="A480" s="99"/>
      <c r="B480" s="84" t="s">
        <v>1760</v>
      </c>
      <c r="C480" s="85"/>
      <c r="D480" s="86">
        <f>E480/K$2*10000</f>
        <v>1.7862774852741268</v>
      </c>
      <c r="E480" s="87">
        <v>20.785699999999999</v>
      </c>
      <c r="F480" s="88">
        <f>SUM(F481:F482)</f>
        <v>0</v>
      </c>
      <c r="G480" s="88">
        <f t="shared" ref="G480:H480" si="233">SUM(G481:G482)</f>
        <v>0</v>
      </c>
      <c r="H480" s="88">
        <f t="shared" si="233"/>
        <v>0</v>
      </c>
      <c r="I480" s="107"/>
      <c r="J480" s="119"/>
      <c r="K480" s="114"/>
    </row>
    <row r="481" spans="1:11" ht="12.75" outlineLevel="3">
      <c r="A481" s="99"/>
      <c r="B481" s="84"/>
      <c r="C481" s="85"/>
      <c r="D481" s="86"/>
      <c r="E481" s="87"/>
      <c r="F481" s="88"/>
      <c r="G481" s="89"/>
      <c r="H481" s="87"/>
      <c r="I481" s="120"/>
      <c r="J481" s="119"/>
      <c r="K481" s="114"/>
    </row>
    <row r="482" spans="1:11" ht="12.75" outlineLevel="3">
      <c r="A482" s="99"/>
      <c r="B482" s="84"/>
      <c r="C482" s="85"/>
      <c r="D482" s="86"/>
      <c r="E482" s="87"/>
      <c r="F482" s="88"/>
      <c r="G482" s="89"/>
      <c r="H482" s="87"/>
      <c r="I482" s="120"/>
      <c r="J482" s="119"/>
      <c r="K482" s="114"/>
    </row>
    <row r="483" spans="1:11" ht="12.75" outlineLevel="2">
      <c r="A483" s="99"/>
      <c r="B483" s="84" t="s">
        <v>1761</v>
      </c>
      <c r="C483" s="85"/>
      <c r="D483" s="86">
        <f>E483/K$2*10000</f>
        <v>0</v>
      </c>
      <c r="E483" s="87">
        <v>0</v>
      </c>
      <c r="F483" s="88">
        <f>SUM(F484:F484)</f>
        <v>0</v>
      </c>
      <c r="G483" s="88">
        <f t="shared" ref="G483:H483" si="234">SUM(G484:G484)</f>
        <v>0</v>
      </c>
      <c r="H483" s="88">
        <f t="shared" si="234"/>
        <v>0</v>
      </c>
      <c r="I483" s="107"/>
      <c r="J483" s="119"/>
      <c r="K483" s="114"/>
    </row>
    <row r="484" spans="1:11" ht="12.75" outlineLevel="3">
      <c r="A484" s="99"/>
      <c r="B484" s="84"/>
      <c r="C484" s="85"/>
      <c r="D484" s="86"/>
      <c r="E484" s="87"/>
      <c r="F484" s="88"/>
      <c r="G484" s="89"/>
      <c r="H484" s="87"/>
      <c r="I484" s="120"/>
      <c r="J484" s="119"/>
      <c r="K484" s="114"/>
    </row>
    <row r="485" spans="1:11" s="50" customFormat="1" ht="12.75">
      <c r="A485" s="68"/>
      <c r="B485" s="69" t="s">
        <v>1762</v>
      </c>
      <c r="C485" s="70" t="s">
        <v>1763</v>
      </c>
      <c r="D485" s="113">
        <f t="shared" ref="D485:F485" si="235">D486+D490+D507+D503</f>
        <v>68.196179170703601</v>
      </c>
      <c r="E485" s="113">
        <f t="shared" si="235"/>
        <v>793.55269999999996</v>
      </c>
      <c r="F485" s="113">
        <f t="shared" si="235"/>
        <v>6481753.0500000007</v>
      </c>
      <c r="G485" s="113">
        <f t="shared" ref="G485:J485" si="236">G486+G490+G507+G503</f>
        <v>55.70276458489203</v>
      </c>
      <c r="H485" s="113">
        <f t="shared" ca="1" si="236"/>
        <v>6481753.0500000007</v>
      </c>
      <c r="I485" s="113">
        <f t="shared" si="236"/>
        <v>-1453773.949999999</v>
      </c>
      <c r="J485" s="113">
        <f t="shared" si="236"/>
        <v>-12.493414585811564</v>
      </c>
      <c r="K485" s="114"/>
    </row>
    <row r="486" spans="1:11" ht="24" outlineLevel="1">
      <c r="A486" s="72"/>
      <c r="B486" s="73" t="s">
        <v>1764</v>
      </c>
      <c r="C486" s="74" t="s">
        <v>1765</v>
      </c>
      <c r="D486" s="91">
        <f>E486/K2*10000</f>
        <v>55.692262555126952</v>
      </c>
      <c r="E486" s="91">
        <v>648.05309999999997</v>
      </c>
      <c r="F486" s="92">
        <f>SUM(F487:F489)</f>
        <v>6481753.0500000007</v>
      </c>
      <c r="G486" s="92">
        <f t="shared" ref="G486:H486" si="237">SUM(G487:G489)</f>
        <v>55.70276458489203</v>
      </c>
      <c r="H486" s="92">
        <f t="shared" ca="1" si="237"/>
        <v>6481753.0500000007</v>
      </c>
      <c r="I486" s="137">
        <f>F486-E486*10000</f>
        <v>1222.0500000007451</v>
      </c>
      <c r="J486" s="116">
        <f>G486-D486</f>
        <v>1.0502029765078191E-2</v>
      </c>
      <c r="K486" s="114"/>
    </row>
    <row r="487" spans="1:11" s="52" customFormat="1" ht="23.25" customHeight="1" outlineLevel="3">
      <c r="A487" s="108" t="s">
        <v>180</v>
      </c>
      <c r="B487" s="77" t="str">
        <f>IF(A487&lt;&gt;0,VLOOKUP(A487,合同台帐!$A$4:$D$893,4,1),"")</f>
        <v>小配套费（一期）</v>
      </c>
      <c r="C487" s="78"/>
      <c r="D487" s="79"/>
      <c r="E487" s="80"/>
      <c r="F487" s="81">
        <f>IF(A487&lt;&gt;0,VLOOKUP(A487,合同台帐!$A$4:$J$893,6,1),"")</f>
        <v>3907038.37</v>
      </c>
      <c r="G487" s="82">
        <f>F487/K2</f>
        <v>33.576231132139519</v>
      </c>
      <c r="H487" s="80">
        <f ca="1">IF(A487&lt;&gt;0,IF($H$2="元",VLOOKUP(A487,合同台帐!$A$4:$K$1093,11,1),VLOOKUP(A487,合同台帐!$A$4:$K$1093,11,1)),0)</f>
        <v>3907038.37</v>
      </c>
      <c r="I487" s="81"/>
      <c r="J487" s="117"/>
      <c r="K487" s="118"/>
    </row>
    <row r="488" spans="1:11" s="52" customFormat="1" ht="23.25" customHeight="1" outlineLevel="3">
      <c r="A488" s="126" t="s">
        <v>909</v>
      </c>
      <c r="B488" s="77" t="str">
        <f>IF(A488&lt;&gt;0,VLOOKUP(A488,合同台帐!$A$4:$D$893,4,1),"")</f>
        <v>（三期）小配套费</v>
      </c>
      <c r="C488" s="78"/>
      <c r="D488" s="79"/>
      <c r="E488" s="80"/>
      <c r="F488" s="81">
        <f>IF(A488&lt;&gt;0,VLOOKUP(A488,合同台帐!$A$4:$J$893,6,1),"")</f>
        <v>2574714.6800000002</v>
      </c>
      <c r="G488" s="82">
        <f>F488/K2</f>
        <v>22.126533452752511</v>
      </c>
      <c r="H488" s="80">
        <f ca="1">IF(A488&lt;&gt;0,IF($H$2="元",VLOOKUP(A488,合同台帐!$A$4:$K$1093,11,1),VLOOKUP(A488,合同台帐!$A$4:$K$1093,11,1)),0)</f>
        <v>2574714.6800000002</v>
      </c>
      <c r="I488" s="81"/>
      <c r="J488" s="117"/>
      <c r="K488" s="118"/>
    </row>
    <row r="489" spans="1:11" s="51" customFormat="1" ht="12.75" outlineLevel="2">
      <c r="A489" s="95"/>
      <c r="B489" s="96"/>
      <c r="C489" s="97"/>
      <c r="D489" s="86"/>
      <c r="E489" s="139"/>
      <c r="F489" s="140"/>
      <c r="G489" s="119"/>
      <c r="H489" s="87"/>
      <c r="I489" s="121"/>
      <c r="J489" s="119"/>
      <c r="K489" s="114"/>
    </row>
    <row r="490" spans="1:11" ht="12.75" outlineLevel="1">
      <c r="A490" s="72"/>
      <c r="B490" s="73" t="s">
        <v>1766</v>
      </c>
      <c r="C490" s="74" t="s">
        <v>1767</v>
      </c>
      <c r="D490" s="92">
        <f t="shared" ref="D490:F490" si="238">D491+D494+D497+D500</f>
        <v>12.503916615576642</v>
      </c>
      <c r="E490" s="92">
        <f t="shared" si="238"/>
        <v>145.49959999999999</v>
      </c>
      <c r="F490" s="92">
        <f t="shared" si="238"/>
        <v>0</v>
      </c>
      <c r="G490" s="92">
        <f t="shared" ref="G490:H490" si="239">G491+G494+G497+G500</f>
        <v>0</v>
      </c>
      <c r="H490" s="92">
        <f t="shared" si="239"/>
        <v>0</v>
      </c>
      <c r="I490" s="137">
        <f>F490-E490*10000</f>
        <v>-1454995.9999999998</v>
      </c>
      <c r="J490" s="116">
        <f>G490-D490</f>
        <v>-12.503916615576642</v>
      </c>
      <c r="K490" s="114"/>
    </row>
    <row r="491" spans="1:11" ht="24" outlineLevel="2">
      <c r="A491" s="99"/>
      <c r="B491" s="84" t="s">
        <v>1768</v>
      </c>
      <c r="C491" s="85"/>
      <c r="D491" s="86">
        <f>E491/K$2*10000</f>
        <v>5.358823862041632</v>
      </c>
      <c r="E491" s="87">
        <v>62.356999999999999</v>
      </c>
      <c r="F491" s="88">
        <f>SUM(F492:F493)</f>
        <v>0</v>
      </c>
      <c r="G491" s="88">
        <f t="shared" ref="G491:H491" si="240">SUM(G492:G493)</f>
        <v>0</v>
      </c>
      <c r="H491" s="88">
        <f t="shared" si="240"/>
        <v>0</v>
      </c>
      <c r="I491" s="107"/>
      <c r="J491" s="119"/>
      <c r="K491" s="114"/>
    </row>
    <row r="492" spans="1:11" ht="12.75" outlineLevel="3">
      <c r="A492" s="99"/>
      <c r="B492" s="84"/>
      <c r="C492" s="85"/>
      <c r="D492" s="86"/>
      <c r="E492" s="87"/>
      <c r="F492" s="88"/>
      <c r="G492" s="89"/>
      <c r="H492" s="87"/>
      <c r="I492" s="120"/>
      <c r="J492" s="119"/>
      <c r="K492" s="114"/>
    </row>
    <row r="493" spans="1:11" ht="12.75" outlineLevel="3">
      <c r="A493" s="99"/>
      <c r="B493" s="84"/>
      <c r="C493" s="85"/>
      <c r="D493" s="86"/>
      <c r="E493" s="87"/>
      <c r="F493" s="88"/>
      <c r="G493" s="89"/>
      <c r="H493" s="87"/>
      <c r="I493" s="120"/>
      <c r="J493" s="119"/>
      <c r="K493" s="114"/>
    </row>
    <row r="494" spans="1:11" ht="24" outlineLevel="2">
      <c r="A494" s="99"/>
      <c r="B494" s="84" t="s">
        <v>1769</v>
      </c>
      <c r="C494" s="85"/>
      <c r="D494" s="86">
        <f>E494/K$2*10000</f>
        <v>5.358823862041632</v>
      </c>
      <c r="E494" s="87">
        <v>62.356999999999999</v>
      </c>
      <c r="F494" s="88">
        <f>SUM(F495:F496)</f>
        <v>0</v>
      </c>
      <c r="G494" s="88">
        <f t="shared" ref="G494:H494" si="241">SUM(G495:G496)</f>
        <v>0</v>
      </c>
      <c r="H494" s="88">
        <f t="shared" si="241"/>
        <v>0</v>
      </c>
      <c r="I494" s="107"/>
      <c r="J494" s="119"/>
      <c r="K494" s="114"/>
    </row>
    <row r="495" spans="1:11" ht="12.75" outlineLevel="3">
      <c r="A495" s="99"/>
      <c r="B495" s="84"/>
      <c r="C495" s="85"/>
      <c r="D495" s="86"/>
      <c r="E495" s="87"/>
      <c r="F495" s="88"/>
      <c r="G495" s="89"/>
      <c r="H495" s="87"/>
      <c r="I495" s="120"/>
      <c r="J495" s="119"/>
      <c r="K495" s="114"/>
    </row>
    <row r="496" spans="1:11" ht="12.75" outlineLevel="3">
      <c r="A496" s="99"/>
      <c r="B496" s="84"/>
      <c r="C496" s="85"/>
      <c r="D496" s="86"/>
      <c r="E496" s="87"/>
      <c r="F496" s="88"/>
      <c r="G496" s="89"/>
      <c r="H496" s="87"/>
      <c r="I496" s="120"/>
      <c r="J496" s="119"/>
      <c r="K496" s="114"/>
    </row>
    <row r="497" spans="1:13" ht="12.75" outlineLevel="2">
      <c r="A497" s="99"/>
      <c r="B497" s="84" t="s">
        <v>1770</v>
      </c>
      <c r="C497" s="85"/>
      <c r="D497" s="86">
        <f>E497/K$2*10000</f>
        <v>0.89313444574668854</v>
      </c>
      <c r="E497" s="87">
        <v>10.392799999999999</v>
      </c>
      <c r="F497" s="88">
        <f>SUM(F498:F499)</f>
        <v>0</v>
      </c>
      <c r="G497" s="88">
        <f t="shared" ref="G497:H497" si="242">SUM(G498:G499)</f>
        <v>0</v>
      </c>
      <c r="H497" s="88">
        <f t="shared" si="242"/>
        <v>0</v>
      </c>
      <c r="I497" s="88">
        <f t="shared" ref="I497:J497" si="243">SUM(I498:I499)</f>
        <v>0</v>
      </c>
      <c r="J497" s="88">
        <f t="shared" si="243"/>
        <v>0</v>
      </c>
      <c r="K497" s="114"/>
    </row>
    <row r="498" spans="1:13" ht="12.75" outlineLevel="3">
      <c r="A498" s="99"/>
      <c r="B498" s="84"/>
      <c r="C498" s="85"/>
      <c r="D498" s="86"/>
      <c r="E498" s="87"/>
      <c r="F498" s="88"/>
      <c r="G498" s="89"/>
      <c r="H498" s="87"/>
      <c r="I498" s="120"/>
      <c r="J498" s="119"/>
      <c r="K498" s="114"/>
    </row>
    <row r="499" spans="1:13" ht="12.75" outlineLevel="3">
      <c r="A499" s="99"/>
      <c r="B499" s="84"/>
      <c r="C499" s="85"/>
      <c r="D499" s="86"/>
      <c r="E499" s="87"/>
      <c r="F499" s="88"/>
      <c r="G499" s="89"/>
      <c r="H499" s="87"/>
      <c r="I499" s="120"/>
      <c r="J499" s="119"/>
      <c r="K499" s="114"/>
    </row>
    <row r="500" spans="1:13" ht="12.75" outlineLevel="2">
      <c r="A500" s="99"/>
      <c r="B500" s="84" t="s">
        <v>1771</v>
      </c>
      <c r="C500" s="85"/>
      <c r="D500" s="86">
        <f>E500/K$2*10000</f>
        <v>0.89313444574668854</v>
      </c>
      <c r="E500" s="87">
        <v>10.392799999999999</v>
      </c>
      <c r="F500" s="88">
        <f>SUM(F501:F502)</f>
        <v>0</v>
      </c>
      <c r="G500" s="88">
        <f t="shared" ref="G500:H500" si="244">SUM(G501:G502)</f>
        <v>0</v>
      </c>
      <c r="H500" s="88">
        <f t="shared" si="244"/>
        <v>0</v>
      </c>
      <c r="I500" s="107"/>
      <c r="J500" s="119"/>
      <c r="K500" s="114"/>
    </row>
    <row r="501" spans="1:13" ht="12.75" outlineLevel="3">
      <c r="A501" s="99"/>
      <c r="B501" s="84"/>
      <c r="C501" s="85"/>
      <c r="D501" s="86"/>
      <c r="E501" s="87"/>
      <c r="F501" s="88"/>
      <c r="G501" s="89"/>
      <c r="H501" s="87"/>
      <c r="I501" s="120"/>
      <c r="J501" s="119"/>
      <c r="K501" s="114"/>
    </row>
    <row r="502" spans="1:13" ht="12.75" outlineLevel="3">
      <c r="A502" s="99"/>
      <c r="B502" s="84"/>
      <c r="C502" s="85"/>
      <c r="D502" s="86"/>
      <c r="E502" s="87"/>
      <c r="F502" s="88"/>
      <c r="G502" s="89"/>
      <c r="H502" s="87"/>
      <c r="I502" s="120"/>
      <c r="J502" s="119"/>
      <c r="K502" s="114"/>
    </row>
    <row r="503" spans="1:13" ht="12.75" outlineLevel="1">
      <c r="A503" s="72"/>
      <c r="B503" s="73" t="s">
        <v>1772</v>
      </c>
      <c r="C503" s="74" t="s">
        <v>1767</v>
      </c>
      <c r="D503" s="90">
        <f>E503/K$2*10000</f>
        <v>0</v>
      </c>
      <c r="E503" s="91">
        <v>0</v>
      </c>
      <c r="F503" s="92">
        <f>SUM(F504:F506)</f>
        <v>0</v>
      </c>
      <c r="G503" s="92">
        <f t="shared" ref="G503:H503" si="245">SUM(G504:G506)</f>
        <v>0</v>
      </c>
      <c r="H503" s="92">
        <f t="shared" si="245"/>
        <v>0</v>
      </c>
      <c r="I503" s="137">
        <f>F503-E503*10000</f>
        <v>0</v>
      </c>
      <c r="J503" s="116">
        <f>G503-D503</f>
        <v>0</v>
      </c>
      <c r="K503" s="114"/>
    </row>
    <row r="504" spans="1:13" ht="12.75" outlineLevel="2">
      <c r="A504" s="99"/>
      <c r="B504" s="84"/>
      <c r="C504" s="85"/>
      <c r="D504" s="86"/>
      <c r="E504" s="87"/>
      <c r="F504" s="88"/>
      <c r="G504" s="89"/>
      <c r="H504" s="89"/>
      <c r="I504" s="107"/>
      <c r="J504" s="119"/>
      <c r="K504" s="114"/>
    </row>
    <row r="505" spans="1:13" ht="12.75" outlineLevel="3">
      <c r="A505" s="99"/>
      <c r="B505" s="84"/>
      <c r="C505" s="85"/>
      <c r="D505" s="86"/>
      <c r="E505" s="87"/>
      <c r="F505" s="88"/>
      <c r="G505" s="89"/>
      <c r="H505" s="87"/>
      <c r="I505" s="120"/>
      <c r="J505" s="119"/>
      <c r="K505" s="114"/>
    </row>
    <row r="506" spans="1:13" ht="12.75" outlineLevel="3">
      <c r="A506" s="99"/>
      <c r="B506" s="84"/>
      <c r="C506" s="85"/>
      <c r="D506" s="86"/>
      <c r="E506" s="87"/>
      <c r="F506" s="88"/>
      <c r="G506" s="89"/>
      <c r="H506" s="87"/>
      <c r="I506" s="120"/>
      <c r="J506" s="119"/>
      <c r="K506" s="114"/>
    </row>
    <row r="507" spans="1:13" ht="12.75" outlineLevel="1">
      <c r="A507" s="72"/>
      <c r="B507" s="73" t="s">
        <v>1773</v>
      </c>
      <c r="C507" s="74" t="s">
        <v>1774</v>
      </c>
      <c r="D507" s="90"/>
      <c r="E507" s="91"/>
      <c r="F507" s="92">
        <f>SUM(F508:F509)</f>
        <v>0</v>
      </c>
      <c r="G507" s="92">
        <f t="shared" ref="G507:H507" si="246">SUM(G508:G509)</f>
        <v>0</v>
      </c>
      <c r="H507" s="92">
        <f t="shared" si="246"/>
        <v>0</v>
      </c>
      <c r="I507" s="92">
        <f t="shared" ref="I507:J507" si="247">SUM(I508:I509)</f>
        <v>0</v>
      </c>
      <c r="J507" s="92">
        <f t="shared" si="247"/>
        <v>0</v>
      </c>
      <c r="K507" s="114"/>
      <c r="M507" s="53" t="e">
        <f>2689020+(-成本明细!#REF!)</f>
        <v>#REF!</v>
      </c>
    </row>
    <row r="508" spans="1:13" ht="12.75" outlineLevel="2">
      <c r="A508" s="99"/>
      <c r="B508" s="84"/>
      <c r="C508" s="85"/>
      <c r="D508" s="86"/>
      <c r="E508" s="87"/>
      <c r="F508" s="88"/>
      <c r="G508" s="89"/>
      <c r="H508" s="89"/>
      <c r="I508" s="107"/>
      <c r="J508" s="119"/>
      <c r="K508" s="114"/>
    </row>
    <row r="509" spans="1:13" ht="12.75" outlineLevel="2">
      <c r="A509" s="99"/>
      <c r="B509" s="84"/>
      <c r="C509" s="85"/>
      <c r="D509" s="86"/>
      <c r="E509" s="87"/>
      <c r="F509" s="88"/>
      <c r="G509" s="89"/>
      <c r="H509" s="87"/>
      <c r="I509" s="120"/>
      <c r="J509" s="119"/>
      <c r="K509" s="114"/>
    </row>
    <row r="510" spans="1:13" s="50" customFormat="1" ht="13.5" customHeight="1">
      <c r="A510" s="68"/>
      <c r="B510" s="69" t="s">
        <v>1775</v>
      </c>
      <c r="C510" s="70"/>
      <c r="D510" s="141">
        <f>E510/K$2*10000</f>
        <v>16.742034123840849</v>
      </c>
      <c r="E510" s="98">
        <v>194.81569999999999</v>
      </c>
      <c r="F510" s="113">
        <f>SUM(F511:F518)</f>
        <v>317649</v>
      </c>
      <c r="G510" s="113">
        <f t="shared" ref="G510:H510" si="248">SUM(G511:G518)</f>
        <v>2.7298058613365979</v>
      </c>
      <c r="H510" s="113">
        <f t="shared" ca="1" si="248"/>
        <v>228959.2</v>
      </c>
      <c r="I510" s="130">
        <f>F510-E510*10000</f>
        <v>-1630508</v>
      </c>
      <c r="J510" s="71">
        <f>G510-D510</f>
        <v>-14.012228262504252</v>
      </c>
      <c r="K510" s="114"/>
    </row>
    <row r="511" spans="1:13" s="52" customFormat="1" ht="12.75" outlineLevel="3">
      <c r="A511" s="103" t="s">
        <v>168</v>
      </c>
      <c r="B511" s="77" t="str">
        <f>IF(A511&lt;&gt;0,VLOOKUP(A511,合同台帐!$A$4:$D$195,4,1),"")</f>
        <v>公告展示牌（报修详）</v>
      </c>
      <c r="C511" s="78"/>
      <c r="D511" s="79"/>
      <c r="E511" s="80"/>
      <c r="F511" s="81">
        <f>IF(A511&lt;&gt;0,IF(VLOOKUP(A511,合同台帐!$A$4:$G$195,7,1),IF($H$2="元",VLOOKUP(A511,合同台帐!$A$4:$G$195,7,1),VLOOKUP(A511,合同台帐!$A$4:$G$195,7,1)),IF($H$2="元",VLOOKUP(A511,合同台帐!$A$4:$F$195,6,1),VLOOKUP(A511,合同台帐!$A$4:$F$195,6,1))),0)</f>
        <v>16200</v>
      </c>
      <c r="G511" s="82">
        <f>F511/K$2</f>
        <v>0.13921924814387227</v>
      </c>
      <c r="H511" s="80">
        <f ca="1">IF(A511&lt;&gt;0,IF($H$2="元",VLOOKUP(A511,合同台帐!$A$4:$K$1093,11,1),VLOOKUP(A511,合同台帐!$A$4:$K$1093,11,1)),0)</f>
        <v>16200</v>
      </c>
      <c r="I511" s="107"/>
      <c r="J511" s="117"/>
      <c r="K511" s="122"/>
    </row>
    <row r="512" spans="1:13" s="52" customFormat="1" ht="12.75" outlineLevel="3">
      <c r="A512" s="103" t="s">
        <v>251</v>
      </c>
      <c r="B512" s="77" t="str">
        <f>IF(A512&lt;&gt;0,VLOOKUP(A512,合同台帐!$A$4:$D$195,4,1),"")</f>
        <v>专家论证费</v>
      </c>
      <c r="C512" s="78"/>
      <c r="D512" s="79"/>
      <c r="E512" s="80"/>
      <c r="F512" s="81">
        <f>IF(A512&lt;&gt;0,IF(VLOOKUP(A512,合同台帐!$A$4:$G$195,7,1),IF($H$2="元",VLOOKUP(A512,合同台帐!$A$4:$G$195,7,1),VLOOKUP(A512,合同台帐!$A$4:$G$195,7,1)),IF($H$2="元",VLOOKUP(A512,合同台帐!$A$4:$F$195,6,1),VLOOKUP(A512,合同台帐!$A$4:$F$195,6,1))),0)</f>
        <v>2000</v>
      </c>
      <c r="G512" s="82">
        <f>F512/K$2</f>
        <v>1.7187561499243491E-2</v>
      </c>
      <c r="H512" s="80">
        <f ca="1">IF(A512&lt;&gt;0,IF($H$2="元",VLOOKUP(A512,合同台帐!$A$4:$K$1093,11,1),VLOOKUP(A512,合同台帐!$A$4:$K$1093,11,1)),0)</f>
        <v>2000</v>
      </c>
      <c r="I512" s="107"/>
      <c r="J512" s="117"/>
      <c r="K512" s="122"/>
    </row>
    <row r="513" spans="1:11" s="52" customFormat="1" ht="16.5" customHeight="1" outlineLevel="3">
      <c r="A513" s="76" t="s">
        <v>323</v>
      </c>
      <c r="B513" s="77" t="str">
        <f>IF(A513&lt;&gt;0,VLOOKUP(A513,合同台帐!$A$4:$D$893,4,1),"")</f>
        <v>示范区夜景照明</v>
      </c>
      <c r="C513" s="78"/>
      <c r="D513" s="79"/>
      <c r="E513" s="80"/>
      <c r="F513" s="81">
        <f>IF(A513&lt;&gt;0,VLOOKUP(A513,合同台帐!$A$4:$J$893,6,1),"")</f>
        <v>213449</v>
      </c>
      <c r="G513" s="82">
        <f>F513/K2</f>
        <v>1.8343339072260119</v>
      </c>
      <c r="H513" s="80">
        <f ca="1">IF(A513&lt;&gt;0,IF($H$2="元",VLOOKUP(A513,合同台帐!$A$4:$K$1093,11,1),VLOOKUP(A513,合同台帐!$A$4:$K$1093,11,1)),0)</f>
        <v>170759.2</v>
      </c>
      <c r="I513" s="81"/>
      <c r="J513" s="117"/>
      <c r="K513" s="118"/>
    </row>
    <row r="514" spans="1:11" s="52" customFormat="1" ht="12.75" outlineLevel="2">
      <c r="A514" s="103" t="s">
        <v>849</v>
      </c>
      <c r="B514" s="77" t="str">
        <f>IF(A514&lt;&gt;0,VLOOKUP(A514,合同台帐!$A$4:$D$195,4,1),"")</f>
        <v>现场监控设备采购安装</v>
      </c>
      <c r="C514" s="78"/>
      <c r="D514" s="79"/>
      <c r="E514" s="80"/>
      <c r="F514" s="81">
        <f>IF(A514&lt;&gt;0,IF(VLOOKUP(A514,合同台帐!$A$4:$G$195,7,1),IF($H$2="元",VLOOKUP(A514,合同台帐!$A$4:$G$195,7,1),VLOOKUP(A514,合同台帐!$A$4:$G$195,7,1)),IF($H$2="元",VLOOKUP(A514,合同台帐!$A$4:$F$195,6,1),VLOOKUP(A514,合同台帐!$A$4:$F$195,6,1))),0)</f>
        <v>29000</v>
      </c>
      <c r="G514" s="82">
        <f>F514/K$2</f>
        <v>0.24921964173903061</v>
      </c>
      <c r="H514" s="80">
        <f ca="1">IF(A514&lt;&gt;0,IF($H$2="元",VLOOKUP(A514,合同台帐!$A$4:$K$1093,11,1),VLOOKUP(A514,合同台帐!$A$4:$K$1093,11,1)),0)</f>
        <v>0</v>
      </c>
      <c r="I514" s="107"/>
      <c r="J514" s="117"/>
      <c r="K514" s="122"/>
    </row>
    <row r="515" spans="1:11" s="52" customFormat="1" ht="12.75" outlineLevel="2">
      <c r="A515" s="103" t="s">
        <v>357</v>
      </c>
      <c r="B515" s="77" t="str">
        <f>IF(A515&lt;&gt;0,VLOOKUP(A515,合同台帐!$A$4:$D$195,4,1),"")</f>
        <v>现场扬尘监测设备</v>
      </c>
      <c r="C515" s="78"/>
      <c r="D515" s="79"/>
      <c r="E515" s="80"/>
      <c r="F515" s="81">
        <f>IF(A515&lt;&gt;0,IF(VLOOKUP(A515,合同台帐!$A$4:$G$195,7,1),IF($H$2="元",VLOOKUP(A515,合同台帐!$A$4:$G$195,7,1),VLOOKUP(A515,合同台帐!$A$4:$G$195,7,1)),IF($H$2="元",VLOOKUP(A515,合同台帐!$A$4:$F$195,6,1),VLOOKUP(A515,合同台帐!$A$4:$F$195,6,1))),0)</f>
        <v>40000</v>
      </c>
      <c r="G515" s="82">
        <f>F515/K$2</f>
        <v>0.34375122998486979</v>
      </c>
      <c r="H515" s="80">
        <f ca="1">IF(A515&lt;&gt;0,IF($H$2="元",VLOOKUP(A515,合同台帐!$A$4:$K$1093,11,1),VLOOKUP(A515,合同台帐!$A$4:$K$1093,11,1)),0)</f>
        <v>40000</v>
      </c>
      <c r="I515" s="107"/>
      <c r="J515" s="117"/>
      <c r="K515" s="122"/>
    </row>
    <row r="516" spans="1:11" s="52" customFormat="1" ht="12.75" outlineLevel="2">
      <c r="A516" s="103" t="s">
        <v>876</v>
      </c>
      <c r="B516" s="77" t="str">
        <f>IF(A516&lt;&gt;0,VLOOKUP(A516,合同台帐!$A$4:$D$195,4,1),"")</f>
        <v>现场监控组网服务</v>
      </c>
      <c r="C516" s="78"/>
      <c r="D516" s="79"/>
      <c r="E516" s="80"/>
      <c r="F516" s="81">
        <f>IF(A516&lt;&gt;0,IF(VLOOKUP(A516,合同台帐!$A$4:$G$195,7,1),IF($H$2="元",VLOOKUP(A516,合同台帐!$A$4:$G$195,7,1),VLOOKUP(A516,合同台帐!$A$4:$G$195,7,1)),IF($H$2="元",VLOOKUP(A516,合同台帐!$A$4:$F$195,6,1),VLOOKUP(A516,合同台帐!$A$4:$F$195,6,1))),0)</f>
        <v>17000</v>
      </c>
      <c r="G516" s="82">
        <f>F516/K$2</f>
        <v>0.14609427274356965</v>
      </c>
      <c r="H516" s="80">
        <f ca="1">IF(A516&lt;&gt;0,IF($H$2="元",VLOOKUP(A516,合同台帐!$A$4:$K$1093,11,1),VLOOKUP(A516,合同台帐!$A$4:$K$1093,11,1)),0)</f>
        <v>0</v>
      </c>
      <c r="I516" s="107"/>
      <c r="J516" s="117"/>
      <c r="K516" s="122"/>
    </row>
    <row r="517" spans="1:11" ht="12.75" outlineLevel="3">
      <c r="A517" s="99"/>
      <c r="B517" s="84"/>
      <c r="C517" s="85"/>
      <c r="D517" s="86"/>
      <c r="E517" s="87"/>
      <c r="F517" s="88"/>
      <c r="G517" s="89"/>
      <c r="H517" s="87"/>
      <c r="I517" s="120"/>
      <c r="J517" s="119"/>
      <c r="K517" s="114"/>
    </row>
    <row r="518" spans="1:11" s="51" customFormat="1" ht="18.75" customHeight="1" outlineLevel="1">
      <c r="A518" s="99"/>
      <c r="B518" s="84"/>
      <c r="C518" s="85"/>
      <c r="D518" s="86"/>
      <c r="E518" s="87"/>
      <c r="F518" s="88"/>
      <c r="G518" s="89"/>
      <c r="H518" s="87"/>
      <c r="I518" s="120"/>
      <c r="J518" s="119"/>
      <c r="K518" s="158"/>
    </row>
    <row r="519" spans="1:11" s="51" customFormat="1" ht="12.75">
      <c r="A519" s="83"/>
      <c r="B519" s="84"/>
      <c r="C519" s="85"/>
      <c r="D519" s="134"/>
      <c r="E519" s="87"/>
      <c r="F519" s="127"/>
      <c r="G519" s="120"/>
      <c r="H519" s="127"/>
      <c r="I519" s="120"/>
      <c r="J519" s="119"/>
      <c r="K519" s="158"/>
    </row>
    <row r="520" spans="1:11" s="54" customFormat="1" ht="12.75">
      <c r="A520" s="142"/>
      <c r="B520" s="143" t="s">
        <v>1776</v>
      </c>
      <c r="C520" s="144"/>
      <c r="D520" s="145">
        <f t="shared" ref="D520:J520" si="249">D510+D485+D349+D227+D28</f>
        <v>4242.0642278548157</v>
      </c>
      <c r="E520" s="145">
        <f t="shared" si="249"/>
        <v>49362.025300000001</v>
      </c>
      <c r="F520" s="145">
        <f t="shared" si="249"/>
        <v>408377528.55999994</v>
      </c>
      <c r="G520" s="145" t="e">
        <f t="shared" si="249"/>
        <v>#VALUE!</v>
      </c>
      <c r="H520" s="145">
        <f t="shared" ca="1" si="249"/>
        <v>118844910.69</v>
      </c>
      <c r="I520" s="145" t="e">
        <f t="shared" si="249"/>
        <v>#REF!</v>
      </c>
      <c r="J520" s="145" t="e">
        <f t="shared" si="249"/>
        <v>#VALUE!</v>
      </c>
      <c r="K520" s="159"/>
    </row>
    <row r="521" spans="1:11" s="50" customFormat="1" ht="12.75">
      <c r="A521" s="146"/>
      <c r="B521" s="147" t="s">
        <v>1777</v>
      </c>
      <c r="C521" s="148"/>
      <c r="D521" s="149">
        <f t="shared" ref="D521:H521" si="250">D4+D28+D227+D349+D485+D510</f>
        <v>7846.321853245382</v>
      </c>
      <c r="E521" s="149">
        <f t="shared" si="250"/>
        <v>91302.327600000004</v>
      </c>
      <c r="F521" s="149">
        <f t="shared" si="250"/>
        <v>828044626.13</v>
      </c>
      <c r="G521" s="149" t="e">
        <f t="shared" si="250"/>
        <v>#VALUE!</v>
      </c>
      <c r="H521" s="149">
        <f t="shared" ca="1" si="250"/>
        <v>539976408.25999999</v>
      </c>
      <c r="I521" s="160">
        <f t="shared" ref="I521" si="251">F521-E521*10000</f>
        <v>-84978649.870000005</v>
      </c>
      <c r="J521" s="161" t="e">
        <f t="shared" ref="J521" si="252">G521-D521</f>
        <v>#VALUE!</v>
      </c>
      <c r="K521" s="162"/>
    </row>
    <row r="522" spans="1:11" s="55" customFormat="1" ht="12.75">
      <c r="A522" s="95"/>
      <c r="B522" s="150" t="s">
        <v>1778</v>
      </c>
      <c r="C522" s="151"/>
      <c r="D522" s="152">
        <f>E522/K$2*10000</f>
        <v>252.92957688864232</v>
      </c>
      <c r="E522" s="139">
        <v>2943.17</v>
      </c>
      <c r="F522" s="153"/>
      <c r="G522" s="140">
        <f>F522/K2</f>
        <v>0</v>
      </c>
      <c r="H522" s="154">
        <f>F522</f>
        <v>0</v>
      </c>
      <c r="I522" s="163"/>
      <c r="J522" s="119"/>
      <c r="K522" s="164"/>
    </row>
    <row r="523" spans="1:11" s="55" customFormat="1" ht="13.5" customHeight="1">
      <c r="A523" s="95"/>
      <c r="B523" s="96" t="s">
        <v>1779</v>
      </c>
      <c r="C523" s="97" t="s">
        <v>1780</v>
      </c>
      <c r="D523" s="152">
        <f>E523/K$2*10000</f>
        <v>285.69250661850026</v>
      </c>
      <c r="E523" s="139">
        <v>3324.41</v>
      </c>
      <c r="F523" s="140">
        <f t="shared" ref="F523:H523" si="253">F524+F548+F601</f>
        <v>400000</v>
      </c>
      <c r="G523" s="140">
        <f t="shared" si="253"/>
        <v>1.7187561499243489</v>
      </c>
      <c r="H523" s="140">
        <f t="shared" ca="1" si="253"/>
        <v>3709171.7</v>
      </c>
      <c r="I523" s="121">
        <f t="shared" ref="I523:I525" si="254">F523-E523*10000</f>
        <v>-32844100</v>
      </c>
      <c r="J523" s="119">
        <f>G523-D523</f>
        <v>-283.97375046857593</v>
      </c>
      <c r="K523" s="164"/>
    </row>
    <row r="524" spans="1:11" s="55" customFormat="1" ht="12.75" outlineLevel="1">
      <c r="A524" s="95"/>
      <c r="B524" s="96" t="s">
        <v>1781</v>
      </c>
      <c r="C524" s="97"/>
      <c r="D524" s="152"/>
      <c r="E524" s="139"/>
      <c r="F524" s="140">
        <f>F525+F529+F532</f>
        <v>400000</v>
      </c>
      <c r="G524" s="140">
        <f>G525+G535</f>
        <v>1.7187561499243489</v>
      </c>
      <c r="H524" s="140">
        <f ca="1">H525+H535</f>
        <v>200000</v>
      </c>
      <c r="I524" s="121">
        <f t="shared" si="254"/>
        <v>400000</v>
      </c>
      <c r="J524" s="119"/>
      <c r="K524" s="164"/>
    </row>
    <row r="525" spans="1:11" s="51" customFormat="1" ht="12.75" outlineLevel="2">
      <c r="A525" s="95"/>
      <c r="B525" s="96" t="s">
        <v>1782</v>
      </c>
      <c r="C525" s="85"/>
      <c r="D525" s="152">
        <f>E525/K$2*10000</f>
        <v>135.02861986803046</v>
      </c>
      <c r="E525" s="87">
        <f>15712365/10000</f>
        <v>1571.2365</v>
      </c>
      <c r="F525" s="88">
        <f t="shared" ref="F525:H525" si="255">F526+F529+F532</f>
        <v>200000</v>
      </c>
      <c r="G525" s="88">
        <f t="shared" si="255"/>
        <v>1.7187561499243489</v>
      </c>
      <c r="H525" s="88">
        <f t="shared" ca="1" si="255"/>
        <v>200000</v>
      </c>
      <c r="I525" s="88">
        <f t="shared" si="254"/>
        <v>-15512365</v>
      </c>
      <c r="J525" s="119">
        <f>G525-D525</f>
        <v>-133.3098637181061</v>
      </c>
      <c r="K525" s="158"/>
    </row>
    <row r="526" spans="1:11" s="51" customFormat="1" ht="12.75" outlineLevel="3">
      <c r="A526" s="95"/>
      <c r="B526" s="84" t="s">
        <v>1783</v>
      </c>
      <c r="C526" s="85"/>
      <c r="D526" s="152">
        <f>E526/K$2</f>
        <v>17.18756149924349</v>
      </c>
      <c r="E526" s="87">
        <v>2000000</v>
      </c>
      <c r="F526" s="88">
        <f t="shared" ref="F526:H526" si="256">SUM(F527:F528)</f>
        <v>0</v>
      </c>
      <c r="G526" s="88">
        <f t="shared" si="256"/>
        <v>0</v>
      </c>
      <c r="H526" s="88">
        <f t="shared" si="256"/>
        <v>0</v>
      </c>
      <c r="I526" s="120"/>
      <c r="J526" s="119">
        <f t="shared" ref="J526" si="257">G526-D526</f>
        <v>-17.18756149924349</v>
      </c>
      <c r="K526" s="158"/>
    </row>
    <row r="527" spans="1:11" s="51" customFormat="1" ht="12.75" outlineLevel="4" collapsed="1">
      <c r="A527" s="155"/>
      <c r="B527" s="84"/>
      <c r="C527" s="85"/>
      <c r="D527" s="152"/>
      <c r="E527" s="87"/>
      <c r="F527" s="87"/>
      <c r="G527" s="89"/>
      <c r="H527" s="87"/>
      <c r="I527" s="120"/>
      <c r="J527" s="119"/>
      <c r="K527" s="158"/>
    </row>
    <row r="528" spans="1:11" s="51" customFormat="1" ht="12.75" outlineLevel="4">
      <c r="A528" s="155"/>
      <c r="B528" s="84"/>
      <c r="C528" s="85"/>
      <c r="D528" s="152"/>
      <c r="E528" s="87"/>
      <c r="F528" s="87"/>
      <c r="G528" s="89"/>
      <c r="H528" s="87"/>
      <c r="I528" s="120"/>
      <c r="J528" s="119"/>
      <c r="K528" s="158"/>
    </row>
    <row r="529" spans="1:11" s="51" customFormat="1" ht="12.75" outlineLevel="3">
      <c r="A529" s="95"/>
      <c r="B529" s="84" t="s">
        <v>1784</v>
      </c>
      <c r="C529" s="85"/>
      <c r="D529" s="152">
        <f>E529/K$2</f>
        <v>5.1562684497730471</v>
      </c>
      <c r="E529" s="87">
        <v>600000</v>
      </c>
      <c r="F529" s="88">
        <f>SUM(F530:F531)</f>
        <v>100000</v>
      </c>
      <c r="G529" s="88">
        <f t="shared" ref="G529:H529" si="258">SUM(G530:G531)</f>
        <v>0.85937807496217444</v>
      </c>
      <c r="H529" s="88">
        <f t="shared" ca="1" si="258"/>
        <v>100000</v>
      </c>
      <c r="I529" s="120"/>
      <c r="J529" s="119">
        <f>G529-D529</f>
        <v>-4.2968903748108724</v>
      </c>
      <c r="K529" s="158"/>
    </row>
    <row r="530" spans="1:11" s="51" customFormat="1" ht="12.75" outlineLevel="2">
      <c r="A530" s="108" t="s">
        <v>356</v>
      </c>
      <c r="B530" s="77" t="str">
        <f>IF(A530&lt;&gt;0,VLOOKUP(A530,合同台帐!$A$4:$D$893,4,1),"")</f>
        <v>维修改建工程（集团办公室精装）</v>
      </c>
      <c r="C530" s="78"/>
      <c r="D530" s="79"/>
      <c r="E530" s="80"/>
      <c r="F530" s="81">
        <f>IF(A530&lt;&gt;0,VLOOKUP(A530,合同台帐!$A$4:$J$893,6,1),"")</f>
        <v>100000</v>
      </c>
      <c r="G530" s="82">
        <f>F530/K2</f>
        <v>0.85937807496217444</v>
      </c>
      <c r="H530" s="80">
        <f ca="1">IF(A530&lt;&gt;0,IF($H$2="元",VLOOKUP(A530,合同台帐!$A$4:$K$1093,11,1),VLOOKUP(A530,合同台帐!$A$4:$K$1093,11,1)),0)</f>
        <v>100000</v>
      </c>
      <c r="I530" s="81"/>
      <c r="J530" s="117"/>
      <c r="K530" s="118"/>
    </row>
    <row r="531" spans="1:11" s="51" customFormat="1" ht="12.75" outlineLevel="4">
      <c r="A531" s="156"/>
      <c r="B531" s="84"/>
      <c r="C531" s="85"/>
      <c r="D531" s="152"/>
      <c r="E531" s="87"/>
      <c r="F531" s="87"/>
      <c r="G531" s="89"/>
      <c r="H531" s="87"/>
      <c r="I531" s="120"/>
      <c r="J531" s="119"/>
      <c r="K531" s="158"/>
    </row>
    <row r="532" spans="1:11" s="51" customFormat="1" ht="18.75" customHeight="1" outlineLevel="3">
      <c r="A532" s="95"/>
      <c r="B532" s="84" t="s">
        <v>1785</v>
      </c>
      <c r="C532" s="85"/>
      <c r="D532" s="152">
        <f>E532/K$2</f>
        <v>12.998952761877851</v>
      </c>
      <c r="E532" s="87">
        <v>1512600</v>
      </c>
      <c r="F532" s="88">
        <f t="shared" ref="F532:H532" si="259">SUM(F533:F534)</f>
        <v>100000</v>
      </c>
      <c r="G532" s="88">
        <f t="shared" si="259"/>
        <v>0.85937807496217444</v>
      </c>
      <c r="H532" s="88">
        <f t="shared" ca="1" si="259"/>
        <v>100000</v>
      </c>
      <c r="I532" s="120"/>
      <c r="J532" s="119">
        <f>G532-D532</f>
        <v>-12.139574686915676</v>
      </c>
      <c r="K532" s="158"/>
    </row>
    <row r="533" spans="1:11" s="51" customFormat="1" ht="12.75" outlineLevel="2">
      <c r="A533" s="108" t="s">
        <v>356</v>
      </c>
      <c r="B533" s="77" t="str">
        <f>IF(A533&lt;&gt;0,VLOOKUP(A533,合同台帐!$A$4:$D$893,4,1),"")</f>
        <v>维修改建工程（集团办公室精装）</v>
      </c>
      <c r="C533" s="78"/>
      <c r="D533" s="79"/>
      <c r="E533" s="80"/>
      <c r="F533" s="81">
        <f>IF(A533&lt;&gt;0,VLOOKUP(A533,合同台帐!$A$4:$J$893,6,1),"")</f>
        <v>100000</v>
      </c>
      <c r="G533" s="82">
        <f>F533/K2</f>
        <v>0.85937807496217444</v>
      </c>
      <c r="H533" s="80">
        <f ca="1">IF(A533&lt;&gt;0,IF($H$2="元",VLOOKUP(A533,合同台帐!$A$4:$K$1093,11,1),VLOOKUP(A533,合同台帐!$A$4:$K$1093,11,1)),0)</f>
        <v>100000</v>
      </c>
      <c r="I533" s="81"/>
      <c r="J533" s="117"/>
      <c r="K533" s="118"/>
    </row>
    <row r="534" spans="1:11" s="51" customFormat="1" ht="12.75" outlineLevel="4">
      <c r="A534" s="156"/>
      <c r="B534" s="84"/>
      <c r="C534" s="85"/>
      <c r="D534" s="152"/>
      <c r="E534" s="87"/>
      <c r="F534" s="87"/>
      <c r="G534" s="89"/>
      <c r="H534" s="87"/>
      <c r="I534" s="120"/>
      <c r="J534" s="119"/>
      <c r="K534" s="158"/>
    </row>
    <row r="535" spans="1:11" s="51" customFormat="1" ht="12.75" outlineLevel="2">
      <c r="A535" s="95"/>
      <c r="B535" s="96" t="s">
        <v>1786</v>
      </c>
      <c r="C535" s="85"/>
      <c r="D535" s="152">
        <f>E535/K$2*10000</f>
        <v>150.7194111678931</v>
      </c>
      <c r="E535" s="87">
        <f>17538196/10000</f>
        <v>1753.8196</v>
      </c>
      <c r="F535" s="88">
        <f>F536+F539+F542</f>
        <v>0</v>
      </c>
      <c r="G535" s="88">
        <f t="shared" ref="G535:H535" si="260">G536+G539+G542</f>
        <v>0</v>
      </c>
      <c r="H535" s="88">
        <f t="shared" si="260"/>
        <v>0</v>
      </c>
      <c r="I535" s="120">
        <f>F535-E535</f>
        <v>-1753.8196</v>
      </c>
      <c r="J535" s="119">
        <f t="shared" ref="J535:J536" si="261">G535-D535</f>
        <v>-150.7194111678931</v>
      </c>
      <c r="K535" s="158"/>
    </row>
    <row r="536" spans="1:11" s="51" customFormat="1" ht="12.75" outlineLevel="3">
      <c r="A536" s="95"/>
      <c r="B536" s="84" t="s">
        <v>1787</v>
      </c>
      <c r="C536" s="85"/>
      <c r="D536" s="152">
        <f>E536/K$2</f>
        <v>133.05712922004048</v>
      </c>
      <c r="E536" s="87">
        <v>15482956</v>
      </c>
      <c r="F536" s="88">
        <f t="shared" ref="F536:H536" si="262">SUM(F537:F538)</f>
        <v>0</v>
      </c>
      <c r="G536" s="88">
        <f t="shared" si="262"/>
        <v>0</v>
      </c>
      <c r="H536" s="88">
        <f t="shared" si="262"/>
        <v>0</v>
      </c>
      <c r="I536" s="107"/>
      <c r="J536" s="119">
        <f t="shared" si="261"/>
        <v>-133.05712922004048</v>
      </c>
      <c r="K536" s="158"/>
    </row>
    <row r="537" spans="1:11" s="51" customFormat="1" ht="12.75" outlineLevel="4">
      <c r="A537" s="156"/>
      <c r="B537" s="84"/>
      <c r="C537" s="85"/>
      <c r="D537" s="152"/>
      <c r="E537" s="87"/>
      <c r="F537" s="87"/>
      <c r="G537" s="89"/>
      <c r="H537" s="87"/>
      <c r="I537" s="120"/>
      <c r="J537" s="119"/>
      <c r="K537" s="158"/>
    </row>
    <row r="538" spans="1:11" s="51" customFormat="1" ht="12.75" outlineLevel="4">
      <c r="A538" s="156"/>
      <c r="B538" s="84"/>
      <c r="C538" s="85"/>
      <c r="D538" s="152"/>
      <c r="E538" s="87"/>
      <c r="F538" s="87"/>
      <c r="G538" s="89"/>
      <c r="H538" s="87"/>
      <c r="I538" s="120"/>
      <c r="J538" s="119"/>
      <c r="K538" s="158"/>
    </row>
    <row r="539" spans="1:11" s="51" customFormat="1" ht="12.75" outlineLevel="3">
      <c r="A539" s="95"/>
      <c r="B539" s="84" t="s">
        <v>1788</v>
      </c>
      <c r="C539" s="85"/>
      <c r="D539" s="152">
        <f>E539/K$2</f>
        <v>17.662281947852595</v>
      </c>
      <c r="E539" s="87">
        <v>2055240</v>
      </c>
      <c r="F539" s="88">
        <f t="shared" ref="F539:H539" si="263">SUM(F540:F541)</f>
        <v>0</v>
      </c>
      <c r="G539" s="88">
        <f t="shared" si="263"/>
        <v>0</v>
      </c>
      <c r="H539" s="88">
        <f t="shared" si="263"/>
        <v>0</v>
      </c>
      <c r="I539" s="107"/>
      <c r="J539" s="119">
        <f>G539-D539</f>
        <v>-17.662281947852595</v>
      </c>
      <c r="K539" s="158"/>
    </row>
    <row r="540" spans="1:11" s="51" customFormat="1" ht="12.75" outlineLevel="4">
      <c r="A540" s="99"/>
      <c r="B540" s="84"/>
      <c r="C540" s="85"/>
      <c r="D540" s="152"/>
      <c r="E540" s="87"/>
      <c r="F540" s="87"/>
      <c r="G540" s="89"/>
      <c r="H540" s="87"/>
      <c r="I540" s="107"/>
      <c r="J540" s="119"/>
      <c r="K540" s="158"/>
    </row>
    <row r="541" spans="1:11" s="51" customFormat="1" ht="12.75" outlineLevel="4">
      <c r="A541" s="99"/>
      <c r="B541" s="84"/>
      <c r="C541" s="85"/>
      <c r="D541" s="152"/>
      <c r="E541" s="87"/>
      <c r="F541" s="87"/>
      <c r="G541" s="89"/>
      <c r="H541" s="87"/>
      <c r="I541" s="107"/>
      <c r="J541" s="119"/>
      <c r="K541" s="158"/>
    </row>
    <row r="542" spans="1:11" s="51" customFormat="1" ht="12.75" outlineLevel="3">
      <c r="A542" s="95"/>
      <c r="B542" s="84" t="s">
        <v>1789</v>
      </c>
      <c r="C542" s="85"/>
      <c r="D542" s="152">
        <f>E542/K$2</f>
        <v>17.662281947852595</v>
      </c>
      <c r="E542" s="87">
        <v>2055240</v>
      </c>
      <c r="F542" s="88">
        <f>SUM(F544:F547)</f>
        <v>0</v>
      </c>
      <c r="G542" s="88">
        <f t="shared" ref="G542:H542" si="264">SUM(G544:G547)</f>
        <v>0</v>
      </c>
      <c r="H542" s="88">
        <f t="shared" si="264"/>
        <v>0</v>
      </c>
      <c r="I542" s="107"/>
      <c r="J542" s="119">
        <f>G542-D542</f>
        <v>-17.662281947852595</v>
      </c>
      <c r="K542" s="158"/>
    </row>
    <row r="543" spans="1:11" s="51" customFormat="1" ht="12.75" outlineLevel="3">
      <c r="A543" s="95"/>
      <c r="B543" s="84"/>
      <c r="C543" s="85"/>
      <c r="D543" s="152"/>
      <c r="E543" s="87"/>
      <c r="F543" s="127"/>
      <c r="G543" s="120"/>
      <c r="H543" s="127"/>
      <c r="I543" s="107"/>
      <c r="J543" s="119"/>
      <c r="K543" s="158"/>
    </row>
    <row r="544" spans="1:11" s="51" customFormat="1" ht="12.75" outlineLevel="4">
      <c r="A544" s="99"/>
      <c r="B544" s="84"/>
      <c r="C544" s="85"/>
      <c r="D544" s="152"/>
      <c r="E544" s="87"/>
      <c r="F544" s="87"/>
      <c r="G544" s="89"/>
      <c r="H544" s="87"/>
      <c r="I544" s="107"/>
      <c r="J544" s="119"/>
      <c r="K544" s="158"/>
    </row>
    <row r="545" spans="1:11" s="51" customFormat="1" ht="12.75" outlineLevel="4">
      <c r="A545" s="99"/>
      <c r="B545" s="84" t="s">
        <v>1790</v>
      </c>
      <c r="C545" s="85"/>
      <c r="D545" s="152"/>
      <c r="E545" s="87"/>
      <c r="F545" s="87"/>
      <c r="G545" s="89"/>
      <c r="H545" s="87"/>
      <c r="I545" s="107"/>
      <c r="J545" s="119"/>
      <c r="K545" s="158"/>
    </row>
    <row r="546" spans="1:11" s="51" customFormat="1" ht="12.75" outlineLevel="4">
      <c r="A546" s="99"/>
      <c r="B546" s="84"/>
      <c r="C546" s="85"/>
      <c r="D546" s="152"/>
      <c r="E546" s="87"/>
      <c r="F546" s="87"/>
      <c r="G546" s="89"/>
      <c r="H546" s="87"/>
      <c r="I546" s="107"/>
      <c r="J546" s="119"/>
      <c r="K546" s="158"/>
    </row>
    <row r="547" spans="1:11" s="51" customFormat="1" ht="12.75" outlineLevel="4">
      <c r="A547" s="99"/>
      <c r="B547" s="84"/>
      <c r="C547" s="85"/>
      <c r="D547" s="152"/>
      <c r="E547" s="87"/>
      <c r="F547" s="87"/>
      <c r="G547" s="89"/>
      <c r="H547" s="87"/>
      <c r="I547" s="107"/>
      <c r="J547" s="119"/>
      <c r="K547" s="158"/>
    </row>
    <row r="548" spans="1:11" s="55" customFormat="1" ht="12.75" outlineLevel="1">
      <c r="A548" s="95"/>
      <c r="B548" s="96" t="s">
        <v>1791</v>
      </c>
      <c r="C548" s="97"/>
      <c r="D548" s="152">
        <f>E548/K$2*10000</f>
        <v>209.56106233567616</v>
      </c>
      <c r="E548" s="139">
        <v>2438.52</v>
      </c>
      <c r="F548" s="139">
        <f>F549+F557+F565+F571+F574+F582+F590</f>
        <v>0</v>
      </c>
      <c r="G548" s="139">
        <f>G549+G557+G565+G571+G574+G582+G590</f>
        <v>0</v>
      </c>
      <c r="H548" s="139">
        <f>H549+H557+H565+H571+H574+H582+H590+H598</f>
        <v>3509171.7</v>
      </c>
      <c r="I548" s="163">
        <f>F548-E548*10000</f>
        <v>-24385200</v>
      </c>
      <c r="J548" s="119">
        <f>G548-D548</f>
        <v>-209.56106233567616</v>
      </c>
      <c r="K548" s="164"/>
    </row>
    <row r="549" spans="1:11" s="51" customFormat="1" ht="12.75" outlineLevel="2">
      <c r="A549" s="95"/>
      <c r="B549" s="96" t="s">
        <v>1792</v>
      </c>
      <c r="C549" s="85"/>
      <c r="D549" s="152">
        <f>E549/K$2*10000</f>
        <v>150.7194111678931</v>
      </c>
      <c r="E549" s="87">
        <f>17538196/10000</f>
        <v>1753.8196</v>
      </c>
      <c r="F549" s="88">
        <f>F557+F565</f>
        <v>0</v>
      </c>
      <c r="G549" s="88">
        <f>G557+G565</f>
        <v>0</v>
      </c>
      <c r="H549" s="157">
        <f>SUM(H550:H556)</f>
        <v>1642173.1</v>
      </c>
      <c r="I549" s="120">
        <f>F549-E549</f>
        <v>-1753.8196</v>
      </c>
      <c r="J549" s="119">
        <f>G549-D549</f>
        <v>-150.7194111678931</v>
      </c>
      <c r="K549" s="158"/>
    </row>
    <row r="550" spans="1:11" s="51" customFormat="1" ht="12.75" outlineLevel="3">
      <c r="A550" s="95"/>
      <c r="B550" s="84" t="s">
        <v>1793</v>
      </c>
      <c r="C550" s="85"/>
      <c r="D550" s="152"/>
      <c r="E550" s="87"/>
      <c r="F550" s="88"/>
      <c r="G550" s="88"/>
      <c r="H550" s="88">
        <v>394489.05</v>
      </c>
      <c r="I550" s="120"/>
      <c r="J550" s="119"/>
      <c r="K550" s="158"/>
    </row>
    <row r="551" spans="1:11" s="51" customFormat="1" ht="12.75" outlineLevel="3">
      <c r="A551" s="95"/>
      <c r="B551" s="84" t="s">
        <v>1794</v>
      </c>
      <c r="C551" s="85"/>
      <c r="D551" s="152"/>
      <c r="E551" s="87"/>
      <c r="F551" s="88"/>
      <c r="G551" s="88"/>
      <c r="H551" s="88">
        <v>163416.85999999999</v>
      </c>
      <c r="I551" s="120"/>
      <c r="J551" s="119"/>
      <c r="K551" s="158"/>
    </row>
    <row r="552" spans="1:11" s="51" customFormat="1" ht="12.75" outlineLevel="3">
      <c r="A552" s="95"/>
      <c r="B552" s="84" t="s">
        <v>1795</v>
      </c>
      <c r="C552" s="85"/>
      <c r="D552" s="152"/>
      <c r="E552" s="87"/>
      <c r="F552" s="88"/>
      <c r="G552" s="88"/>
      <c r="H552" s="127">
        <v>169560.59</v>
      </c>
      <c r="I552" s="120"/>
      <c r="J552" s="119"/>
      <c r="K552" s="158"/>
    </row>
    <row r="553" spans="1:11" s="51" customFormat="1" ht="12.75" outlineLevel="3">
      <c r="A553" s="95"/>
      <c r="B553" s="84" t="s">
        <v>1796</v>
      </c>
      <c r="C553" s="85"/>
      <c r="D553" s="152"/>
      <c r="E553" s="87"/>
      <c r="F553" s="88"/>
      <c r="G553" s="88"/>
      <c r="H553" s="127">
        <v>350200</v>
      </c>
      <c r="I553" s="120"/>
      <c r="J553" s="119"/>
      <c r="K553" s="158"/>
    </row>
    <row r="554" spans="1:11" s="51" customFormat="1" ht="12.75" outlineLevel="3">
      <c r="A554" s="95"/>
      <c r="B554" s="84" t="s">
        <v>1797</v>
      </c>
      <c r="C554" s="85"/>
      <c r="D554" s="152"/>
      <c r="E554" s="87"/>
      <c r="F554" s="88"/>
      <c r="G554" s="88"/>
      <c r="H554" s="127">
        <v>211400</v>
      </c>
      <c r="I554" s="120"/>
      <c r="J554" s="119"/>
      <c r="K554" s="158"/>
    </row>
    <row r="555" spans="1:11" s="51" customFormat="1" ht="12.75" outlineLevel="3">
      <c r="A555" s="95"/>
      <c r="B555" s="84" t="s">
        <v>1798</v>
      </c>
      <c r="C555" s="85"/>
      <c r="D555" s="152"/>
      <c r="E555" s="87"/>
      <c r="F555" s="88"/>
      <c r="G555" s="88"/>
      <c r="H555" s="127">
        <v>181491.51</v>
      </c>
      <c r="I555" s="120"/>
      <c r="J555" s="119"/>
      <c r="K555" s="158"/>
    </row>
    <row r="556" spans="1:11" s="51" customFormat="1" ht="12.75" outlineLevel="3">
      <c r="A556" s="95"/>
      <c r="B556" s="84" t="s">
        <v>1799</v>
      </c>
      <c r="C556" s="85"/>
      <c r="D556" s="152"/>
      <c r="E556" s="87"/>
      <c r="F556" s="88"/>
      <c r="G556" s="88"/>
      <c r="H556" s="127">
        <v>171615.09</v>
      </c>
      <c r="I556" s="120"/>
      <c r="J556" s="119"/>
      <c r="K556" s="158"/>
    </row>
    <row r="557" spans="1:11" s="51" customFormat="1" ht="12.75" outlineLevel="2">
      <c r="A557" s="95"/>
      <c r="B557" s="96" t="s">
        <v>1800</v>
      </c>
      <c r="C557" s="85"/>
      <c r="D557" s="152">
        <f>E557/K$2*10000</f>
        <v>150.7194111678931</v>
      </c>
      <c r="E557" s="87">
        <f>17538196/10000</f>
        <v>1753.8196</v>
      </c>
      <c r="F557" s="88">
        <f>F558+F566</f>
        <v>0</v>
      </c>
      <c r="G557" s="88">
        <f>G558+G566</f>
        <v>0</v>
      </c>
      <c r="H557" s="157">
        <f>SUM(H558:H564)</f>
        <v>88715.85000000002</v>
      </c>
      <c r="I557" s="120">
        <f>F557-E557</f>
        <v>-1753.8196</v>
      </c>
      <c r="J557" s="119">
        <f>G557-D557</f>
        <v>-150.7194111678931</v>
      </c>
      <c r="K557" s="158"/>
    </row>
    <row r="558" spans="1:11" s="51" customFormat="1" ht="12.75" outlineLevel="3">
      <c r="A558" s="156"/>
      <c r="B558" s="84" t="s">
        <v>1793</v>
      </c>
      <c r="C558" s="85"/>
      <c r="D558" s="152"/>
      <c r="E558" s="87"/>
      <c r="F558" s="87"/>
      <c r="G558" s="89"/>
      <c r="H558" s="88">
        <v>28642.5</v>
      </c>
      <c r="I558" s="120"/>
      <c r="J558" s="119"/>
      <c r="K558" s="158"/>
    </row>
    <row r="559" spans="1:11" s="51" customFormat="1" ht="12.75" outlineLevel="3">
      <c r="A559" s="156"/>
      <c r="B559" s="84" t="s">
        <v>1794</v>
      </c>
      <c r="C559" s="85"/>
      <c r="D559" s="152"/>
      <c r="E559" s="87"/>
      <c r="F559" s="87"/>
      <c r="G559" s="89"/>
      <c r="H559" s="88">
        <v>20886.8</v>
      </c>
      <c r="I559" s="120"/>
      <c r="J559" s="119"/>
      <c r="K559" s="158"/>
    </row>
    <row r="560" spans="1:11" s="51" customFormat="1" ht="12.75" outlineLevel="3">
      <c r="A560" s="156"/>
      <c r="B560" s="84" t="s">
        <v>1795</v>
      </c>
      <c r="C560" s="85"/>
      <c r="D560" s="152"/>
      <c r="E560" s="87"/>
      <c r="F560" s="127"/>
      <c r="G560" s="120"/>
      <c r="H560" s="127">
        <v>7083.65</v>
      </c>
      <c r="I560" s="120"/>
      <c r="J560" s="119"/>
      <c r="K560" s="158"/>
    </row>
    <row r="561" spans="1:11" s="51" customFormat="1" ht="12.75" outlineLevel="3">
      <c r="A561" s="156"/>
      <c r="B561" s="84" t="s">
        <v>1796</v>
      </c>
      <c r="C561" s="85"/>
      <c r="D561" s="152"/>
      <c r="E561" s="87"/>
      <c r="F561" s="127"/>
      <c r="G561" s="120"/>
      <c r="H561" s="127">
        <v>26300</v>
      </c>
      <c r="I561" s="120"/>
      <c r="J561" s="119"/>
      <c r="K561" s="158"/>
    </row>
    <row r="562" spans="1:11" s="51" customFormat="1" ht="12.75" outlineLevel="3">
      <c r="A562" s="156"/>
      <c r="B562" s="84" t="s">
        <v>1797</v>
      </c>
      <c r="C562" s="85"/>
      <c r="D562" s="152"/>
      <c r="E562" s="87"/>
      <c r="F562" s="127"/>
      <c r="G562" s="120"/>
      <c r="H562" s="127">
        <v>2300</v>
      </c>
      <c r="I562" s="120"/>
      <c r="J562" s="119"/>
      <c r="K562" s="158"/>
    </row>
    <row r="563" spans="1:11" s="51" customFormat="1" ht="12.75" outlineLevel="3">
      <c r="A563" s="156"/>
      <c r="B563" s="84" t="s">
        <v>1798</v>
      </c>
      <c r="C563" s="85"/>
      <c r="D563" s="152"/>
      <c r="E563" s="87"/>
      <c r="F563" s="127"/>
      <c r="G563" s="120"/>
      <c r="H563" s="127">
        <v>1779.3</v>
      </c>
      <c r="I563" s="120"/>
      <c r="J563" s="119"/>
      <c r="K563" s="158"/>
    </row>
    <row r="564" spans="1:11" s="51" customFormat="1" ht="12.75" outlineLevel="3">
      <c r="A564" s="156"/>
      <c r="B564" s="84" t="s">
        <v>1799</v>
      </c>
      <c r="C564" s="85"/>
      <c r="D564" s="152"/>
      <c r="E564" s="87"/>
      <c r="F564" s="127"/>
      <c r="G564" s="120"/>
      <c r="H564" s="127">
        <v>1723.6</v>
      </c>
      <c r="I564" s="120"/>
      <c r="J564" s="119"/>
      <c r="K564" s="158"/>
    </row>
    <row r="565" spans="1:11" s="51" customFormat="1" ht="12.75" outlineLevel="2">
      <c r="A565" s="95"/>
      <c r="B565" s="96" t="s">
        <v>1801</v>
      </c>
      <c r="C565" s="85"/>
      <c r="D565" s="152">
        <f>E565/K$2*10000</f>
        <v>150.7194111678931</v>
      </c>
      <c r="E565" s="87">
        <f>17538196/10000</f>
        <v>1753.8196</v>
      </c>
      <c r="F565" s="88">
        <f>F566+F572</f>
        <v>0</v>
      </c>
      <c r="G565" s="88">
        <f>G566+G572</f>
        <v>0</v>
      </c>
      <c r="H565" s="157">
        <f>SUM(H566:H570)</f>
        <v>202385.45</v>
      </c>
      <c r="I565" s="120">
        <f>F565-E565</f>
        <v>-1753.8196</v>
      </c>
      <c r="J565" s="119">
        <f>G565-D565</f>
        <v>-150.7194111678931</v>
      </c>
      <c r="K565" s="158"/>
    </row>
    <row r="566" spans="1:11" s="51" customFormat="1" ht="13.5" customHeight="1" outlineLevel="3">
      <c r="A566" s="99"/>
      <c r="B566" s="84" t="s">
        <v>1793</v>
      </c>
      <c r="C566" s="85"/>
      <c r="D566" s="152"/>
      <c r="E566" s="87"/>
      <c r="F566" s="87"/>
      <c r="G566" s="89"/>
      <c r="H566" s="88">
        <v>118886.45</v>
      </c>
      <c r="I566" s="107"/>
      <c r="J566" s="119"/>
      <c r="K566" s="158"/>
    </row>
    <row r="567" spans="1:11" s="51" customFormat="1" ht="12.75" outlineLevel="3">
      <c r="A567" s="99"/>
      <c r="B567" s="84" t="s">
        <v>1794</v>
      </c>
      <c r="C567" s="85"/>
      <c r="D567" s="152"/>
      <c r="E567" s="87"/>
      <c r="F567" s="87"/>
      <c r="G567" s="89"/>
      <c r="H567" s="88">
        <v>5970</v>
      </c>
      <c r="I567" s="107"/>
      <c r="J567" s="119"/>
      <c r="K567" s="158"/>
    </row>
    <row r="568" spans="1:11" s="51" customFormat="1" ht="12.75" outlineLevel="3">
      <c r="A568" s="99"/>
      <c r="B568" s="84" t="s">
        <v>1795</v>
      </c>
      <c r="C568" s="85"/>
      <c r="D568" s="152"/>
      <c r="E568" s="87"/>
      <c r="F568" s="127"/>
      <c r="G568" s="120"/>
      <c r="H568" s="127">
        <v>47800</v>
      </c>
      <c r="I568" s="107"/>
      <c r="J568" s="119"/>
      <c r="K568" s="158"/>
    </row>
    <row r="569" spans="1:11" s="51" customFormat="1" ht="12.75" outlineLevel="3">
      <c r="A569" s="99"/>
      <c r="B569" s="84" t="s">
        <v>1798</v>
      </c>
      <c r="C569" s="85"/>
      <c r="D569" s="152"/>
      <c r="E569" s="87"/>
      <c r="F569" s="127"/>
      <c r="G569" s="120"/>
      <c r="H569" s="127">
        <v>26281</v>
      </c>
      <c r="I569" s="107"/>
      <c r="J569" s="119"/>
      <c r="K569" s="158"/>
    </row>
    <row r="570" spans="1:11" s="51" customFormat="1" ht="12.75" outlineLevel="3">
      <c r="A570" s="99"/>
      <c r="B570" s="84" t="s">
        <v>1799</v>
      </c>
      <c r="C570" s="85"/>
      <c r="D570" s="152"/>
      <c r="E570" s="87"/>
      <c r="F570" s="127"/>
      <c r="G570" s="120"/>
      <c r="H570" s="127">
        <v>3448</v>
      </c>
      <c r="I570" s="107"/>
      <c r="J570" s="119"/>
      <c r="K570" s="158"/>
    </row>
    <row r="571" spans="1:11" s="51" customFormat="1" ht="12.75" outlineLevel="2">
      <c r="A571" s="95"/>
      <c r="B571" s="96" t="s">
        <v>1802</v>
      </c>
      <c r="C571" s="85"/>
      <c r="D571" s="152">
        <f>E571/K$2*10000</f>
        <v>150.7194111678931</v>
      </c>
      <c r="E571" s="87">
        <f>17538196/10000</f>
        <v>1753.8196</v>
      </c>
      <c r="F571" s="88">
        <f>F572</f>
        <v>0</v>
      </c>
      <c r="G571" s="88">
        <f>G572</f>
        <v>0</v>
      </c>
      <c r="H571" s="157">
        <f>SUM(H572:H573)</f>
        <v>752071.96</v>
      </c>
      <c r="I571" s="120">
        <f>F571-E571</f>
        <v>-1753.8196</v>
      </c>
      <c r="J571" s="119">
        <f>G571-D571</f>
        <v>-150.7194111678931</v>
      </c>
      <c r="K571" s="158"/>
    </row>
    <row r="572" spans="1:11" s="51" customFormat="1" ht="12.75" outlineLevel="3">
      <c r="A572" s="99"/>
      <c r="B572" s="84" t="s">
        <v>1793</v>
      </c>
      <c r="C572" s="85"/>
      <c r="D572" s="152"/>
      <c r="E572" s="87"/>
      <c r="F572" s="87"/>
      <c r="G572" s="89"/>
      <c r="H572" s="88">
        <v>750693.96</v>
      </c>
      <c r="I572" s="107"/>
      <c r="J572" s="119"/>
      <c r="K572" s="158"/>
    </row>
    <row r="573" spans="1:11" s="51" customFormat="1" ht="12.75" outlineLevel="3">
      <c r="A573" s="99"/>
      <c r="B573" s="84" t="s">
        <v>1798</v>
      </c>
      <c r="C573" s="85"/>
      <c r="D573" s="152"/>
      <c r="E573" s="87"/>
      <c r="F573" s="127"/>
      <c r="G573" s="120"/>
      <c r="H573" s="127">
        <v>1378</v>
      </c>
      <c r="I573" s="107"/>
      <c r="J573" s="119"/>
      <c r="K573" s="158"/>
    </row>
    <row r="574" spans="1:11" s="51" customFormat="1" ht="12.75" outlineLevel="2">
      <c r="A574" s="95"/>
      <c r="B574" s="96" t="s">
        <v>1803</v>
      </c>
      <c r="C574" s="85"/>
      <c r="D574" s="152">
        <f>E574/K$2*10000</f>
        <v>150.7194111678931</v>
      </c>
      <c r="E574" s="87">
        <f>17538196/10000</f>
        <v>1753.8196</v>
      </c>
      <c r="F574" s="88">
        <f>F575+F576</f>
        <v>0</v>
      </c>
      <c r="G574" s="88">
        <f t="shared" ref="G574" si="265">G575+G576</f>
        <v>0</v>
      </c>
      <c r="H574" s="157">
        <f>SUM(H575:H581)</f>
        <v>433552.64000000001</v>
      </c>
      <c r="I574" s="120">
        <f>F574-E574</f>
        <v>-1753.8196</v>
      </c>
      <c r="J574" s="119">
        <f>G574-D574</f>
        <v>-150.7194111678931</v>
      </c>
      <c r="K574" s="158"/>
    </row>
    <row r="575" spans="1:11" s="51" customFormat="1" ht="12.75" outlineLevel="3">
      <c r="A575" s="99"/>
      <c r="B575" s="84" t="s">
        <v>1793</v>
      </c>
      <c r="C575" s="85"/>
      <c r="D575" s="152"/>
      <c r="E575" s="87"/>
      <c r="F575" s="87"/>
      <c r="G575" s="89"/>
      <c r="H575" s="88">
        <v>137610.64000000001</v>
      </c>
      <c r="I575" s="107"/>
      <c r="J575" s="119"/>
      <c r="K575" s="158"/>
    </row>
    <row r="576" spans="1:11" s="51" customFormat="1" ht="12.75" outlineLevel="3">
      <c r="A576" s="99"/>
      <c r="B576" s="84" t="s">
        <v>1794</v>
      </c>
      <c r="C576" s="85"/>
      <c r="D576" s="152"/>
      <c r="E576" s="87"/>
      <c r="F576" s="87"/>
      <c r="G576" s="89"/>
      <c r="H576" s="88">
        <v>28757.7</v>
      </c>
      <c r="I576" s="107"/>
      <c r="J576" s="119"/>
      <c r="K576" s="158"/>
    </row>
    <row r="577" spans="1:11" s="51" customFormat="1" ht="12.75" outlineLevel="3">
      <c r="A577" s="99"/>
      <c r="B577" s="84" t="s">
        <v>1795</v>
      </c>
      <c r="C577" s="85"/>
      <c r="D577" s="152"/>
      <c r="E577" s="87"/>
      <c r="F577" s="127"/>
      <c r="G577" s="120"/>
      <c r="H577" s="127">
        <v>69647.8</v>
      </c>
      <c r="I577" s="107"/>
      <c r="J577" s="119"/>
      <c r="K577" s="158"/>
    </row>
    <row r="578" spans="1:11" s="51" customFormat="1" ht="12.75" outlineLevel="3">
      <c r="A578" s="99"/>
      <c r="B578" s="84" t="s">
        <v>1796</v>
      </c>
      <c r="C578" s="85"/>
      <c r="D578" s="152"/>
      <c r="E578" s="87"/>
      <c r="F578" s="127"/>
      <c r="G578" s="127"/>
      <c r="H578" s="127">
        <v>118200</v>
      </c>
      <c r="I578" s="107"/>
      <c r="J578" s="119"/>
      <c r="K578" s="158"/>
    </row>
    <row r="579" spans="1:11" s="51" customFormat="1" ht="12.75" outlineLevel="3">
      <c r="A579" s="99"/>
      <c r="B579" s="84" t="s">
        <v>1797</v>
      </c>
      <c r="C579" s="85"/>
      <c r="D579" s="152"/>
      <c r="E579" s="87"/>
      <c r="F579" s="127"/>
      <c r="G579" s="127"/>
      <c r="H579" s="127">
        <v>29500</v>
      </c>
      <c r="I579" s="107"/>
      <c r="J579" s="119"/>
      <c r="K579" s="158"/>
    </row>
    <row r="580" spans="1:11" s="51" customFormat="1" ht="12.75" outlineLevel="3">
      <c r="A580" s="99"/>
      <c r="B580" s="84" t="s">
        <v>1798</v>
      </c>
      <c r="C580" s="85"/>
      <c r="D580" s="152"/>
      <c r="E580" s="87"/>
      <c r="F580" s="127"/>
      <c r="G580" s="127"/>
      <c r="H580" s="127">
        <v>25028.5</v>
      </c>
      <c r="I580" s="107"/>
      <c r="J580" s="119"/>
      <c r="K580" s="158"/>
    </row>
    <row r="581" spans="1:11" s="51" customFormat="1" ht="12.75" outlineLevel="3">
      <c r="A581" s="99"/>
      <c r="B581" s="84" t="s">
        <v>1799</v>
      </c>
      <c r="C581" s="85"/>
      <c r="D581" s="152"/>
      <c r="E581" s="87"/>
      <c r="F581" s="127"/>
      <c r="G581" s="127"/>
      <c r="H581" s="127">
        <v>24808</v>
      </c>
      <c r="I581" s="107"/>
      <c r="J581" s="119"/>
      <c r="K581" s="158"/>
    </row>
    <row r="582" spans="1:11" s="51" customFormat="1" ht="12.75" outlineLevel="2">
      <c r="A582" s="95"/>
      <c r="B582" s="96" t="s">
        <v>1804</v>
      </c>
      <c r="C582" s="85"/>
      <c r="D582" s="152">
        <f>E582/K$2*10000</f>
        <v>150.7194111678931</v>
      </c>
      <c r="E582" s="87">
        <f>17538196/10000</f>
        <v>1753.8196</v>
      </c>
      <c r="F582" s="157">
        <f>SUM(F583:F585)</f>
        <v>0</v>
      </c>
      <c r="G582" s="157">
        <f>SUM(G583:G585)</f>
        <v>0</v>
      </c>
      <c r="H582" s="157">
        <f>SUM(H583:H589)</f>
        <v>123127.15000000001</v>
      </c>
      <c r="I582" s="120">
        <f>F582-E582</f>
        <v>-1753.8196</v>
      </c>
      <c r="J582" s="119">
        <f>G582-D582</f>
        <v>-150.7194111678931</v>
      </c>
      <c r="K582" s="158"/>
    </row>
    <row r="583" spans="1:11" s="51" customFormat="1" ht="12.75" outlineLevel="3">
      <c r="A583" s="99"/>
      <c r="B583" s="84" t="s">
        <v>1793</v>
      </c>
      <c r="C583" s="85"/>
      <c r="D583" s="152"/>
      <c r="E583" s="87"/>
      <c r="F583" s="87"/>
      <c r="G583" s="89"/>
      <c r="H583" s="88">
        <v>61037.1</v>
      </c>
      <c r="I583" s="107"/>
      <c r="J583" s="119"/>
      <c r="K583" s="158"/>
    </row>
    <row r="584" spans="1:11" s="51" customFormat="1" ht="12.75" outlineLevel="3">
      <c r="A584" s="99"/>
      <c r="B584" s="84" t="s">
        <v>1794</v>
      </c>
      <c r="C584" s="85"/>
      <c r="D584" s="152"/>
      <c r="E584" s="87"/>
      <c r="F584" s="87"/>
      <c r="G584" s="89"/>
      <c r="H584" s="88">
        <v>8483.85</v>
      </c>
      <c r="I584" s="107"/>
      <c r="J584" s="119"/>
      <c r="K584" s="158"/>
    </row>
    <row r="585" spans="1:11" s="51" customFormat="1" ht="12.75" outlineLevel="3">
      <c r="A585" s="99"/>
      <c r="B585" s="84" t="s">
        <v>1795</v>
      </c>
      <c r="C585" s="85"/>
      <c r="D585" s="152"/>
      <c r="E585" s="87"/>
      <c r="F585" s="127"/>
      <c r="G585" s="120"/>
      <c r="H585" s="127">
        <v>10776.35</v>
      </c>
      <c r="I585" s="107"/>
      <c r="J585" s="119"/>
      <c r="K585" s="158"/>
    </row>
    <row r="586" spans="1:11" s="51" customFormat="1" ht="12.75" outlineLevel="3">
      <c r="A586" s="99"/>
      <c r="B586" s="84" t="s">
        <v>1796</v>
      </c>
      <c r="C586" s="85"/>
      <c r="D586" s="152"/>
      <c r="E586" s="87"/>
      <c r="F586" s="127"/>
      <c r="G586" s="127"/>
      <c r="H586" s="127">
        <v>8100</v>
      </c>
      <c r="I586" s="107"/>
      <c r="J586" s="119"/>
      <c r="K586" s="158"/>
    </row>
    <row r="587" spans="1:11" s="51" customFormat="1" ht="12.75" outlineLevel="3">
      <c r="A587" s="99"/>
      <c r="B587" s="84" t="s">
        <v>1797</v>
      </c>
      <c r="C587" s="85"/>
      <c r="D587" s="152"/>
      <c r="E587" s="87"/>
      <c r="F587" s="127"/>
      <c r="G587" s="127"/>
      <c r="H587" s="127">
        <v>10300</v>
      </c>
      <c r="I587" s="107"/>
      <c r="J587" s="119"/>
      <c r="K587" s="158"/>
    </row>
    <row r="588" spans="1:11" s="51" customFormat="1" ht="12.75" outlineLevel="3">
      <c r="A588" s="99"/>
      <c r="B588" s="84" t="s">
        <v>1798</v>
      </c>
      <c r="C588" s="85"/>
      <c r="D588" s="152"/>
      <c r="E588" s="87"/>
      <c r="F588" s="127"/>
      <c r="G588" s="127"/>
      <c r="H588" s="127">
        <v>11159.8</v>
      </c>
      <c r="I588" s="107"/>
      <c r="J588" s="119"/>
      <c r="K588" s="158"/>
    </row>
    <row r="589" spans="1:11" s="51" customFormat="1" ht="12.75" outlineLevel="3">
      <c r="A589" s="99"/>
      <c r="B589" s="84" t="s">
        <v>1799</v>
      </c>
      <c r="C589" s="85"/>
      <c r="D589" s="152"/>
      <c r="E589" s="87"/>
      <c r="F589" s="127"/>
      <c r="G589" s="127"/>
      <c r="H589" s="127">
        <v>13270.05</v>
      </c>
      <c r="I589" s="107"/>
      <c r="J589" s="119"/>
      <c r="K589" s="158"/>
    </row>
    <row r="590" spans="1:11" s="55" customFormat="1" ht="12.75" outlineLevel="2">
      <c r="A590" s="95"/>
      <c r="B590" s="96" t="s">
        <v>1805</v>
      </c>
      <c r="C590" s="97"/>
      <c r="D590" s="152">
        <f>E590/K$2*10000</f>
        <v>150.7194111678931</v>
      </c>
      <c r="E590" s="139">
        <f>17538196/10000</f>
        <v>1753.8196</v>
      </c>
      <c r="F590" s="165">
        <f t="shared" ref="F590:G590" si="266">SUM(F591:F593)</f>
        <v>0</v>
      </c>
      <c r="G590" s="165">
        <f t="shared" si="266"/>
        <v>0</v>
      </c>
      <c r="H590" s="165">
        <f>SUM(H591:H597)</f>
        <v>64534.71</v>
      </c>
      <c r="I590" s="121">
        <f>F590-E590</f>
        <v>-1753.8196</v>
      </c>
      <c r="J590" s="119">
        <f>G590-D590</f>
        <v>-150.7194111678931</v>
      </c>
      <c r="K590" s="164"/>
    </row>
    <row r="591" spans="1:11" s="51" customFormat="1" ht="12.75" outlineLevel="3">
      <c r="A591" s="99"/>
      <c r="B591" s="84" t="s">
        <v>1793</v>
      </c>
      <c r="C591" s="85"/>
      <c r="D591" s="152"/>
      <c r="E591" s="87"/>
      <c r="F591" s="87"/>
      <c r="G591" s="89"/>
      <c r="H591" s="88">
        <v>41055.31</v>
      </c>
      <c r="I591" s="107"/>
      <c r="J591" s="119"/>
      <c r="K591" s="158"/>
    </row>
    <row r="592" spans="1:11" s="51" customFormat="1" ht="12.75" outlineLevel="3">
      <c r="A592" s="99"/>
      <c r="B592" s="84" t="s">
        <v>1794</v>
      </c>
      <c r="C592" s="85"/>
      <c r="D592" s="152"/>
      <c r="E592" s="87"/>
      <c r="F592" s="87"/>
      <c r="G592" s="89"/>
      <c r="H592" s="88">
        <v>515</v>
      </c>
      <c r="I592" s="107"/>
      <c r="J592" s="119"/>
      <c r="K592" s="158"/>
    </row>
    <row r="593" spans="1:11" s="51" customFormat="1" ht="12.75" outlineLevel="3">
      <c r="A593" s="99"/>
      <c r="B593" s="84" t="s">
        <v>1795</v>
      </c>
      <c r="C593" s="85"/>
      <c r="D593" s="152"/>
      <c r="E593" s="87"/>
      <c r="F593" s="87"/>
      <c r="G593" s="120"/>
      <c r="H593" s="88">
        <v>2268.4</v>
      </c>
      <c r="I593" s="107"/>
      <c r="J593" s="119"/>
      <c r="K593" s="158"/>
    </row>
    <row r="594" spans="1:11" s="51" customFormat="1" ht="12.75" outlineLevel="3">
      <c r="A594" s="99"/>
      <c r="B594" s="84" t="s">
        <v>1796</v>
      </c>
      <c r="C594" s="85"/>
      <c r="D594" s="152"/>
      <c r="E594" s="87"/>
      <c r="F594" s="127"/>
      <c r="G594" s="120"/>
      <c r="H594" s="88">
        <v>3200</v>
      </c>
      <c r="I594" s="107"/>
      <c r="J594" s="121"/>
      <c r="K594" s="158"/>
    </row>
    <row r="595" spans="1:11" s="51" customFormat="1" ht="12.75" outlineLevel="3">
      <c r="A595" s="99"/>
      <c r="B595" s="84" t="s">
        <v>1797</v>
      </c>
      <c r="C595" s="85"/>
      <c r="D595" s="152"/>
      <c r="E595" s="87"/>
      <c r="F595" s="127"/>
      <c r="G595" s="120"/>
      <c r="H595" s="88">
        <v>200</v>
      </c>
      <c r="I595" s="107"/>
      <c r="J595" s="121"/>
      <c r="K595" s="158"/>
    </row>
    <row r="596" spans="1:11" s="51" customFormat="1" ht="12.75" outlineLevel="3">
      <c r="A596" s="99"/>
      <c r="B596" s="84" t="s">
        <v>1798</v>
      </c>
      <c r="C596" s="85"/>
      <c r="D596" s="152"/>
      <c r="E596" s="87"/>
      <c r="F596" s="127"/>
      <c r="G596" s="120"/>
      <c r="H596" s="88">
        <v>276</v>
      </c>
      <c r="I596" s="107"/>
      <c r="J596" s="121"/>
      <c r="K596" s="158"/>
    </row>
    <row r="597" spans="1:11" s="51" customFormat="1" ht="12.75" outlineLevel="3">
      <c r="A597" s="99"/>
      <c r="B597" s="84" t="s">
        <v>1799</v>
      </c>
      <c r="C597" s="85"/>
      <c r="D597" s="152"/>
      <c r="E597" s="87"/>
      <c r="F597" s="127"/>
      <c r="G597" s="120"/>
      <c r="H597" s="88">
        <v>17020</v>
      </c>
      <c r="I597" s="107"/>
      <c r="J597" s="121"/>
      <c r="K597" s="158"/>
    </row>
    <row r="598" spans="1:11" s="55" customFormat="1" ht="12.75" outlineLevel="3">
      <c r="A598" s="95"/>
      <c r="B598" s="96" t="s">
        <v>1806</v>
      </c>
      <c r="C598" s="97"/>
      <c r="D598" s="152"/>
      <c r="E598" s="139"/>
      <c r="F598" s="140">
        <f t="shared" ref="F598:H598" si="267">SUM(F599:F600)</f>
        <v>199459.4</v>
      </c>
      <c r="G598" s="140">
        <f t="shared" si="267"/>
        <v>0</v>
      </c>
      <c r="H598" s="140">
        <f t="shared" si="267"/>
        <v>202610.84</v>
      </c>
      <c r="I598" s="140">
        <f t="shared" ref="I598:J598" si="268">SUM(I599:I600)</f>
        <v>0</v>
      </c>
      <c r="J598" s="140">
        <f t="shared" si="268"/>
        <v>0</v>
      </c>
      <c r="K598" s="164"/>
    </row>
    <row r="599" spans="1:11" s="55" customFormat="1" ht="12.75" outlineLevel="3">
      <c r="A599" s="95"/>
      <c r="B599" s="84" t="s">
        <v>1794</v>
      </c>
      <c r="C599" s="97"/>
      <c r="D599" s="152"/>
      <c r="E599" s="139"/>
      <c r="F599" s="154">
        <v>199459.4</v>
      </c>
      <c r="G599" s="121"/>
      <c r="H599" s="140">
        <v>199459.4</v>
      </c>
      <c r="I599" s="163"/>
      <c r="J599" s="119"/>
      <c r="K599" s="164"/>
    </row>
    <row r="600" spans="1:11" s="55" customFormat="1" ht="12.75" outlineLevel="3">
      <c r="A600" s="95"/>
      <c r="B600" s="84" t="s">
        <v>1796</v>
      </c>
      <c r="C600" s="97"/>
      <c r="D600" s="152"/>
      <c r="E600" s="139"/>
      <c r="F600" s="154"/>
      <c r="G600" s="121"/>
      <c r="H600" s="140">
        <v>3151.44</v>
      </c>
      <c r="I600" s="163"/>
      <c r="J600" s="119"/>
      <c r="K600" s="164"/>
    </row>
    <row r="601" spans="1:11" s="55" customFormat="1" ht="12.75" outlineLevel="1">
      <c r="A601" s="95"/>
      <c r="B601" s="96" t="s">
        <v>1807</v>
      </c>
      <c r="C601" s="97"/>
      <c r="D601" s="152"/>
      <c r="E601" s="139"/>
      <c r="F601" s="140">
        <f>F602+F605</f>
        <v>0</v>
      </c>
      <c r="G601" s="140">
        <f t="shared" ref="G601:H601" si="269">G602+G605</f>
        <v>0</v>
      </c>
      <c r="H601" s="88">
        <f t="shared" si="269"/>
        <v>0</v>
      </c>
      <c r="I601" s="121">
        <f>F601-E601*10000</f>
        <v>0</v>
      </c>
      <c r="J601" s="119"/>
      <c r="K601" s="164"/>
    </row>
    <row r="602" spans="1:11" s="51" customFormat="1" ht="12.75" outlineLevel="2">
      <c r="A602" s="95"/>
      <c r="B602" s="96" t="s">
        <v>1808</v>
      </c>
      <c r="C602" s="85"/>
      <c r="D602" s="152">
        <f>E602/K$2*10000</f>
        <v>135.02861986803046</v>
      </c>
      <c r="E602" s="87">
        <f>15712365/10000</f>
        <v>1571.2365</v>
      </c>
      <c r="F602" s="88">
        <f>SUM(F603:F604)</f>
        <v>0</v>
      </c>
      <c r="G602" s="88">
        <f t="shared" ref="G602:H602" si="270">SUM(G603:G604)</f>
        <v>0</v>
      </c>
      <c r="H602" s="88">
        <f t="shared" si="270"/>
        <v>0</v>
      </c>
      <c r="I602" s="88">
        <f>F602-E602*10000</f>
        <v>-15712365</v>
      </c>
      <c r="J602" s="119">
        <f>G602-D602</f>
        <v>-135.02861986803046</v>
      </c>
      <c r="K602" s="158"/>
    </row>
    <row r="603" spans="1:11" s="51" customFormat="1" ht="12.75" outlineLevel="3" collapsed="1">
      <c r="A603" s="155"/>
      <c r="B603" s="84"/>
      <c r="C603" s="85"/>
      <c r="D603" s="152"/>
      <c r="E603" s="87"/>
      <c r="F603" s="87"/>
      <c r="G603" s="89"/>
      <c r="H603" s="88"/>
      <c r="I603" s="120"/>
      <c r="J603" s="119"/>
      <c r="K603" s="158"/>
    </row>
    <row r="604" spans="1:11" s="51" customFormat="1" ht="12.75" outlineLevel="3">
      <c r="A604" s="155"/>
      <c r="B604" s="84"/>
      <c r="C604" s="85"/>
      <c r="D604" s="152"/>
      <c r="E604" s="87"/>
      <c r="F604" s="87"/>
      <c r="G604" s="89"/>
      <c r="H604" s="88"/>
      <c r="I604" s="120"/>
      <c r="J604" s="119"/>
      <c r="K604" s="158"/>
    </row>
    <row r="605" spans="1:11" s="51" customFormat="1" ht="12.75" outlineLevel="2">
      <c r="A605" s="95"/>
      <c r="B605" s="96" t="s">
        <v>1809</v>
      </c>
      <c r="C605" s="85"/>
      <c r="D605" s="152">
        <f>E605/K$2*10000</f>
        <v>150.7194111678931</v>
      </c>
      <c r="E605" s="87">
        <f>17538196/10000</f>
        <v>1753.8196</v>
      </c>
      <c r="F605" s="88">
        <f>SUM(F606:F607)</f>
        <v>0</v>
      </c>
      <c r="G605" s="88">
        <f t="shared" ref="G605:H605" si="271">SUM(G606:G607)</f>
        <v>0</v>
      </c>
      <c r="H605" s="88">
        <f t="shared" si="271"/>
        <v>0</v>
      </c>
      <c r="I605" s="120">
        <f>F605-E605</f>
        <v>-1753.8196</v>
      </c>
      <c r="J605" s="119">
        <f t="shared" ref="J605" si="272">G605-D605</f>
        <v>-150.7194111678931</v>
      </c>
      <c r="K605" s="158"/>
    </row>
    <row r="606" spans="1:11" s="51" customFormat="1" ht="12.75" outlineLevel="3">
      <c r="A606" s="95"/>
      <c r="B606" s="96"/>
      <c r="C606" s="85"/>
      <c r="D606" s="152"/>
      <c r="E606" s="87"/>
      <c r="F606" s="127"/>
      <c r="G606" s="88"/>
      <c r="H606" s="88"/>
      <c r="I606" s="120"/>
      <c r="J606" s="119"/>
      <c r="K606" s="158"/>
    </row>
    <row r="607" spans="1:11" s="51" customFormat="1" ht="12.75" outlineLevel="3">
      <c r="A607" s="95"/>
      <c r="B607" s="96"/>
      <c r="C607" s="85"/>
      <c r="D607" s="152"/>
      <c r="E607" s="87"/>
      <c r="F607" s="127"/>
      <c r="G607" s="88"/>
      <c r="H607" s="88"/>
      <c r="I607" s="120"/>
      <c r="J607" s="119"/>
      <c r="K607" s="158"/>
    </row>
    <row r="608" spans="1:11" s="55" customFormat="1" ht="13.5" customHeight="1">
      <c r="A608" s="166"/>
      <c r="B608" s="167" t="s">
        <v>1810</v>
      </c>
      <c r="C608" s="168"/>
      <c r="D608" s="169">
        <f>E608/K$2*10000</f>
        <v>100.37879666788182</v>
      </c>
      <c r="E608" s="170">
        <v>1168.04</v>
      </c>
      <c r="F608" s="170">
        <f>F609+F612+F615+F618</f>
        <v>0</v>
      </c>
      <c r="G608" s="170">
        <f t="shared" ref="G608:H608" si="273">G609+G612+G615+G618</f>
        <v>0</v>
      </c>
      <c r="H608" s="170">
        <f t="shared" si="273"/>
        <v>0</v>
      </c>
      <c r="I608" s="171">
        <f>F608-E608*10000</f>
        <v>-11680400</v>
      </c>
      <c r="J608" s="172">
        <f t="shared" ref="J608:J612" si="274">G608-D608</f>
        <v>-100.37879666788182</v>
      </c>
      <c r="K608" s="173"/>
    </row>
    <row r="609" spans="1:11" s="51" customFormat="1" ht="12.75" outlineLevel="1">
      <c r="A609" s="155"/>
      <c r="B609" s="84" t="s">
        <v>1811</v>
      </c>
      <c r="C609" s="85"/>
      <c r="D609" s="86">
        <f>E609/K2</f>
        <v>14.695365081853183</v>
      </c>
      <c r="E609" s="87">
        <v>1710000</v>
      </c>
      <c r="F609" s="88">
        <f>SUM(F610:F611)</f>
        <v>0</v>
      </c>
      <c r="G609" s="88">
        <f t="shared" ref="G609:H609" si="275">SUM(G610:G611)</f>
        <v>0</v>
      </c>
      <c r="H609" s="88">
        <f t="shared" si="275"/>
        <v>0</v>
      </c>
      <c r="I609" s="120"/>
      <c r="J609" s="119">
        <f t="shared" si="274"/>
        <v>-14.695365081853183</v>
      </c>
      <c r="K609" s="158"/>
    </row>
    <row r="610" spans="1:11" s="51" customFormat="1" ht="12.75" outlineLevel="2">
      <c r="A610" s="155"/>
      <c r="B610" s="84"/>
      <c r="C610" s="85"/>
      <c r="D610" s="152"/>
      <c r="E610" s="87"/>
      <c r="F610" s="87"/>
      <c r="G610" s="89"/>
      <c r="H610" s="87"/>
      <c r="I610" s="120"/>
      <c r="J610" s="119"/>
      <c r="K610" s="158"/>
    </row>
    <row r="611" spans="1:11" s="51" customFormat="1" ht="12.75" outlineLevel="2">
      <c r="A611" s="155"/>
      <c r="B611" s="84"/>
      <c r="C611" s="85"/>
      <c r="D611" s="152"/>
      <c r="E611" s="87"/>
      <c r="F611" s="87"/>
      <c r="G611" s="89"/>
      <c r="H611" s="87"/>
      <c r="I611" s="120"/>
      <c r="J611" s="119"/>
      <c r="K611" s="158"/>
    </row>
    <row r="612" spans="1:11" s="51" customFormat="1" ht="14.25" customHeight="1" outlineLevel="1">
      <c r="A612" s="155"/>
      <c r="B612" s="84" t="s">
        <v>1812</v>
      </c>
      <c r="C612" s="85"/>
      <c r="D612" s="86">
        <f>E612/K2</f>
        <v>14.695365081853183</v>
      </c>
      <c r="E612" s="87">
        <v>1710000</v>
      </c>
      <c r="F612" s="88">
        <f>SUM(F613:F614)</f>
        <v>0</v>
      </c>
      <c r="G612" s="88">
        <f t="shared" ref="G612:H612" si="276">SUM(G613:G614)</f>
        <v>0</v>
      </c>
      <c r="H612" s="88">
        <f t="shared" si="276"/>
        <v>0</v>
      </c>
      <c r="I612" s="120"/>
      <c r="J612" s="119">
        <f t="shared" si="274"/>
        <v>-14.695365081853183</v>
      </c>
      <c r="K612" s="158"/>
    </row>
    <row r="613" spans="1:11" s="51" customFormat="1" ht="12.75" outlineLevel="2">
      <c r="A613" s="155"/>
      <c r="B613" s="84"/>
      <c r="C613" s="85"/>
      <c r="D613" s="152"/>
      <c r="E613" s="87"/>
      <c r="F613" s="87"/>
      <c r="G613" s="89"/>
      <c r="H613" s="87"/>
      <c r="I613" s="120"/>
      <c r="J613" s="119"/>
      <c r="K613" s="158"/>
    </row>
    <row r="614" spans="1:11" s="51" customFormat="1" ht="12.75" outlineLevel="2">
      <c r="A614" s="155"/>
      <c r="B614" s="84"/>
      <c r="C614" s="85"/>
      <c r="D614" s="152"/>
      <c r="E614" s="87"/>
      <c r="F614" s="87"/>
      <c r="G614" s="89"/>
      <c r="H614" s="87"/>
      <c r="I614" s="120"/>
      <c r="J614" s="119"/>
      <c r="K614" s="158"/>
    </row>
    <row r="615" spans="1:11" s="51" customFormat="1" ht="12.75" outlineLevel="1">
      <c r="A615" s="155"/>
      <c r="B615" s="84" t="s">
        <v>1813</v>
      </c>
      <c r="C615" s="85"/>
      <c r="D615" s="86">
        <f>E615/K2</f>
        <v>14.695365081853183</v>
      </c>
      <c r="E615" s="87">
        <v>1710000</v>
      </c>
      <c r="F615" s="88">
        <f>SUM(F616:F617)</f>
        <v>0</v>
      </c>
      <c r="G615" s="88">
        <f t="shared" ref="G615:H615" si="277">SUM(G616:G617)</f>
        <v>0</v>
      </c>
      <c r="H615" s="88">
        <f t="shared" si="277"/>
        <v>0</v>
      </c>
      <c r="I615" s="120"/>
      <c r="J615" s="119">
        <f>G615-D615</f>
        <v>-14.695365081853183</v>
      </c>
      <c r="K615" s="158"/>
    </row>
    <row r="616" spans="1:11" s="51" customFormat="1" ht="12.75" outlineLevel="2">
      <c r="A616" s="155"/>
      <c r="B616" s="84"/>
      <c r="C616" s="85"/>
      <c r="D616" s="152"/>
      <c r="E616" s="87"/>
      <c r="F616" s="87"/>
      <c r="G616" s="89"/>
      <c r="H616" s="87"/>
      <c r="I616" s="120"/>
      <c r="J616" s="119"/>
      <c r="K616" s="158"/>
    </row>
    <row r="617" spans="1:11" s="51" customFormat="1" ht="12.75" outlineLevel="2">
      <c r="A617" s="155"/>
      <c r="B617" s="84"/>
      <c r="C617" s="85"/>
      <c r="D617" s="152"/>
      <c r="E617" s="87"/>
      <c r="F617" s="87"/>
      <c r="G617" s="89"/>
      <c r="H617" s="87"/>
      <c r="I617" s="120"/>
      <c r="J617" s="119"/>
      <c r="K617" s="158"/>
    </row>
    <row r="618" spans="1:11" s="51" customFormat="1" ht="12.75" outlineLevel="1">
      <c r="A618" s="155"/>
      <c r="B618" s="84" t="s">
        <v>1814</v>
      </c>
      <c r="C618" s="85"/>
      <c r="D618" s="86">
        <f>E618/K2</f>
        <v>14.695365081853183</v>
      </c>
      <c r="E618" s="87">
        <v>1710000</v>
      </c>
      <c r="F618" s="88">
        <f t="shared" ref="F618:H618" si="278">SUM(F619:F620)</f>
        <v>0</v>
      </c>
      <c r="G618" s="88">
        <f t="shared" si="278"/>
        <v>0</v>
      </c>
      <c r="H618" s="88">
        <f t="shared" si="278"/>
        <v>0</v>
      </c>
      <c r="I618" s="120"/>
      <c r="J618" s="119">
        <f t="shared" ref="J618" si="279">G618-D618</f>
        <v>-14.695365081853183</v>
      </c>
      <c r="K618" s="158"/>
    </row>
    <row r="619" spans="1:11" s="51" customFormat="1" ht="12.75" outlineLevel="2">
      <c r="A619" s="155"/>
      <c r="B619" s="84"/>
      <c r="C619" s="85"/>
      <c r="D619" s="152"/>
      <c r="E619" s="87"/>
      <c r="F619" s="87"/>
      <c r="G619" s="89"/>
      <c r="H619" s="87"/>
      <c r="I619" s="120"/>
      <c r="J619" s="119"/>
      <c r="K619" s="158"/>
    </row>
    <row r="620" spans="1:11" s="51" customFormat="1" ht="12.75" outlineLevel="2">
      <c r="A620" s="155"/>
      <c r="B620" s="84"/>
      <c r="C620" s="85"/>
      <c r="D620" s="152"/>
      <c r="E620" s="87"/>
      <c r="F620" s="87"/>
      <c r="G620" s="89"/>
      <c r="H620" s="87"/>
      <c r="I620" s="120"/>
      <c r="J620" s="119"/>
      <c r="K620" s="158"/>
    </row>
    <row r="621" spans="1:11" s="55" customFormat="1" ht="12.75">
      <c r="A621" s="95"/>
      <c r="B621" s="96" t="s">
        <v>1815</v>
      </c>
      <c r="C621" s="97" t="s">
        <v>1816</v>
      </c>
      <c r="D621" s="152">
        <f>E621/K$2*10000</f>
        <v>520.29842419279908</v>
      </c>
      <c r="E621" s="139">
        <v>6054.36</v>
      </c>
      <c r="F621" s="139">
        <f t="shared" ref="F621:H621" si="280">F622+F625+F628+F632+F635+F638</f>
        <v>383546.13</v>
      </c>
      <c r="G621" s="139">
        <f t="shared" si="280"/>
        <v>3.2961113485859195</v>
      </c>
      <c r="H621" s="139">
        <f t="shared" si="280"/>
        <v>0</v>
      </c>
      <c r="I621" s="121">
        <f>F621-E621*10000</f>
        <v>-60160053.869999997</v>
      </c>
      <c r="J621" s="119">
        <f t="shared" ref="J621:J625" si="281">G621-D621</f>
        <v>-517.00231284421318</v>
      </c>
      <c r="K621" s="164"/>
    </row>
    <row r="622" spans="1:11" s="51" customFormat="1" ht="12.75" outlineLevel="1">
      <c r="A622" s="155"/>
      <c r="B622" s="84" t="s">
        <v>1817</v>
      </c>
      <c r="C622" s="85"/>
      <c r="D622" s="86">
        <f>E622/K2</f>
        <v>14.695365081853183</v>
      </c>
      <c r="E622" s="87">
        <v>1710000</v>
      </c>
      <c r="F622" s="88">
        <f t="shared" ref="F622" si="282">SUM(F623:F624)</f>
        <v>0</v>
      </c>
      <c r="G622" s="88">
        <f t="shared" ref="G622" si="283">SUM(G623:G624)</f>
        <v>0</v>
      </c>
      <c r="H622" s="88">
        <f t="shared" ref="H622" si="284">SUM(H623:H624)</f>
        <v>0</v>
      </c>
      <c r="I622" s="120"/>
      <c r="J622" s="119">
        <f t="shared" si="281"/>
        <v>-14.695365081853183</v>
      </c>
      <c r="K622" s="158"/>
    </row>
    <row r="623" spans="1:11" s="51" customFormat="1" ht="12.75" outlineLevel="2">
      <c r="A623" s="155"/>
      <c r="B623" s="84"/>
      <c r="C623" s="85"/>
      <c r="D623" s="152"/>
      <c r="E623" s="87"/>
      <c r="F623" s="87"/>
      <c r="G623" s="89"/>
      <c r="H623" s="87"/>
      <c r="I623" s="120"/>
      <c r="J623" s="119"/>
      <c r="K623" s="158"/>
    </row>
    <row r="624" spans="1:11" s="51" customFormat="1" ht="12.75" outlineLevel="2">
      <c r="A624" s="155"/>
      <c r="B624" s="84"/>
      <c r="C624" s="85"/>
      <c r="D624" s="152"/>
      <c r="E624" s="87"/>
      <c r="F624" s="87"/>
      <c r="G624" s="89"/>
      <c r="H624" s="87"/>
      <c r="I624" s="120"/>
      <c r="J624" s="119"/>
      <c r="K624" s="158"/>
    </row>
    <row r="625" spans="1:11" s="51" customFormat="1" ht="12.75" outlineLevel="1">
      <c r="A625" s="155"/>
      <c r="B625" s="84" t="s">
        <v>1818</v>
      </c>
      <c r="C625" s="85"/>
      <c r="D625" s="86">
        <f>E625/K2</f>
        <v>14.695365081853183</v>
      </c>
      <c r="E625" s="87">
        <v>1710000</v>
      </c>
      <c r="F625" s="88">
        <f t="shared" ref="F625" si="285">SUM(F626:F627)</f>
        <v>0</v>
      </c>
      <c r="G625" s="88">
        <f t="shared" ref="G625" si="286">SUM(G626:G627)</f>
        <v>0</v>
      </c>
      <c r="H625" s="88">
        <f t="shared" ref="H625" si="287">SUM(H626:H627)</f>
        <v>0</v>
      </c>
      <c r="I625" s="120"/>
      <c r="J625" s="119">
        <f t="shared" si="281"/>
        <v>-14.695365081853183</v>
      </c>
      <c r="K625" s="158"/>
    </row>
    <row r="626" spans="1:11" s="51" customFormat="1" ht="12.75" outlineLevel="2">
      <c r="A626" s="155"/>
      <c r="B626" s="84"/>
      <c r="C626" s="85"/>
      <c r="D626" s="152"/>
      <c r="E626" s="87"/>
      <c r="F626" s="87"/>
      <c r="G626" s="89"/>
      <c r="H626" s="87"/>
      <c r="I626" s="120"/>
      <c r="J626" s="119"/>
      <c r="K626" s="158"/>
    </row>
    <row r="627" spans="1:11" s="51" customFormat="1" ht="12.75" outlineLevel="2">
      <c r="A627" s="155"/>
      <c r="B627" s="84"/>
      <c r="C627" s="85"/>
      <c r="D627" s="152"/>
      <c r="E627" s="87"/>
      <c r="F627" s="87"/>
      <c r="G627" s="89"/>
      <c r="H627" s="87"/>
      <c r="I627" s="120"/>
      <c r="J627" s="119"/>
      <c r="K627" s="158"/>
    </row>
    <row r="628" spans="1:11" s="51" customFormat="1" ht="12.75" outlineLevel="1">
      <c r="A628" s="155"/>
      <c r="B628" s="84" t="s">
        <v>1819</v>
      </c>
      <c r="C628" s="85"/>
      <c r="D628" s="86">
        <f>E628/K2</f>
        <v>14.695365081853183</v>
      </c>
      <c r="E628" s="87">
        <v>1710000</v>
      </c>
      <c r="F628" s="88">
        <f>SUM(F629:F631)</f>
        <v>349627.4</v>
      </c>
      <c r="G628" s="88">
        <f>SUM(G629:G631)</f>
        <v>3.0046212196603017</v>
      </c>
      <c r="H628" s="88">
        <f t="shared" ref="H628:K628" si="288">SUM(H629:H629)</f>
        <v>0</v>
      </c>
      <c r="I628" s="88">
        <f t="shared" si="288"/>
        <v>0</v>
      </c>
      <c r="J628" s="88">
        <f t="shared" si="288"/>
        <v>0</v>
      </c>
      <c r="K628" s="88">
        <f t="shared" si="288"/>
        <v>0</v>
      </c>
    </row>
    <row r="629" spans="1:11" s="51" customFormat="1" ht="12.75" outlineLevel="2">
      <c r="A629" s="102"/>
      <c r="B629" s="84" t="s">
        <v>1275</v>
      </c>
      <c r="C629" s="85"/>
      <c r="D629" s="86"/>
      <c r="E629" s="87"/>
      <c r="F629" s="88">
        <v>150000</v>
      </c>
      <c r="G629" s="89">
        <f t="shared" ref="G629:G631" si="289">F629/K$2</f>
        <v>1.2890671124432618</v>
      </c>
      <c r="H629" s="87">
        <f>IF(A629&lt;&gt;0,IF($H$2="元",VLOOKUP(A629,合同台帐!$A$4:$K$1093,11,1),VLOOKUP(A629,合同台帐!$A$4:$K$1093,11,1)),0)</f>
        <v>0</v>
      </c>
      <c r="I629" s="120"/>
      <c r="J629" s="119"/>
      <c r="K629" s="114"/>
    </row>
    <row r="630" spans="1:11" s="51" customFormat="1" ht="12.75" outlineLevel="2">
      <c r="A630" s="102"/>
      <c r="B630" s="84" t="s">
        <v>1820</v>
      </c>
      <c r="C630" s="85"/>
      <c r="D630" s="86"/>
      <c r="E630" s="87"/>
      <c r="F630" s="88">
        <v>168</v>
      </c>
      <c r="G630" s="89">
        <f t="shared" si="289"/>
        <v>1.4437551659364531E-3</v>
      </c>
      <c r="H630" s="127"/>
      <c r="I630" s="120"/>
      <c r="J630" s="119"/>
      <c r="K630" s="114"/>
    </row>
    <row r="631" spans="1:11" s="51" customFormat="1" ht="12.75" outlineLevel="2">
      <c r="A631" s="102"/>
      <c r="B631" s="84" t="s">
        <v>1821</v>
      </c>
      <c r="C631" s="85"/>
      <c r="D631" s="86"/>
      <c r="E631" s="87"/>
      <c r="F631" s="88">
        <v>199459.4</v>
      </c>
      <c r="G631" s="89">
        <f t="shared" si="289"/>
        <v>1.7141103520511034</v>
      </c>
      <c r="H631" s="127"/>
      <c r="I631" s="120"/>
      <c r="J631" s="119"/>
      <c r="K631" s="114"/>
    </row>
    <row r="632" spans="1:11" s="51" customFormat="1" ht="12.75" outlineLevel="1">
      <c r="A632" s="155"/>
      <c r="B632" s="84" t="s">
        <v>1822</v>
      </c>
      <c r="C632" s="85"/>
      <c r="D632" s="86">
        <f>E632/K2</f>
        <v>14.695365081853183</v>
      </c>
      <c r="E632" s="87">
        <v>1710000</v>
      </c>
      <c r="F632" s="88">
        <f t="shared" ref="F632" si="290">SUM(F633:F634)</f>
        <v>0</v>
      </c>
      <c r="G632" s="88">
        <f t="shared" ref="G632" si="291">SUM(G633:G634)</f>
        <v>0</v>
      </c>
      <c r="H632" s="88">
        <f t="shared" ref="H632" si="292">SUM(H633:H634)</f>
        <v>0</v>
      </c>
      <c r="I632" s="120"/>
      <c r="J632" s="119">
        <f>G632-D632</f>
        <v>-14.695365081853183</v>
      </c>
      <c r="K632" s="158"/>
    </row>
    <row r="633" spans="1:11" s="51" customFormat="1" ht="12.75" outlineLevel="2">
      <c r="A633" s="155"/>
      <c r="B633" s="84"/>
      <c r="C633" s="85"/>
      <c r="D633" s="152"/>
      <c r="E633" s="87"/>
      <c r="F633" s="87"/>
      <c r="G633" s="89"/>
      <c r="H633" s="87"/>
      <c r="I633" s="120"/>
      <c r="J633" s="119"/>
      <c r="K633" s="158"/>
    </row>
    <row r="634" spans="1:11" s="51" customFormat="1" ht="12.75" outlineLevel="2">
      <c r="A634" s="155"/>
      <c r="B634" s="84"/>
      <c r="C634" s="85"/>
      <c r="D634" s="152"/>
      <c r="E634" s="87"/>
      <c r="F634" s="87"/>
      <c r="G634" s="89"/>
      <c r="H634" s="87"/>
      <c r="I634" s="120"/>
      <c r="J634" s="119"/>
      <c r="K634" s="158"/>
    </row>
    <row r="635" spans="1:11" s="51" customFormat="1" ht="12.75" outlineLevel="1">
      <c r="A635" s="155"/>
      <c r="B635" s="84" t="s">
        <v>1823</v>
      </c>
      <c r="C635" s="85"/>
      <c r="D635" s="86">
        <f>E635/K2</f>
        <v>14.695365081853183</v>
      </c>
      <c r="E635" s="87">
        <v>1710000</v>
      </c>
      <c r="F635" s="88">
        <f t="shared" ref="F635" si="293">SUM(F636:F637)</f>
        <v>0</v>
      </c>
      <c r="G635" s="88">
        <f t="shared" ref="G635" si="294">SUM(G636:G637)</f>
        <v>0</v>
      </c>
      <c r="H635" s="88">
        <f t="shared" ref="H635" si="295">SUM(H636:H637)</f>
        <v>0</v>
      </c>
      <c r="I635" s="120"/>
      <c r="J635" s="119">
        <f>G635-D635</f>
        <v>-14.695365081853183</v>
      </c>
      <c r="K635" s="158"/>
    </row>
    <row r="636" spans="1:11" s="51" customFormat="1" ht="12.75" outlineLevel="2">
      <c r="A636" s="155"/>
      <c r="B636" s="84" t="str">
        <f>IF(A636&lt;&gt;0,VLOOKUP(A636,合同台帐!$A$4:$D$195,4,1),"")</f>
        <v/>
      </c>
      <c r="C636" s="85"/>
      <c r="D636" s="86"/>
      <c r="E636" s="87"/>
      <c r="F636" s="88">
        <f>IF(A636&lt;&gt;0,IF(VLOOKUP(A636,合同台帐!$A$4:$G$195,7,1),IF($H$2="元",VLOOKUP(A636,合同台帐!$A$4:$G$195,7,1),VLOOKUP(A636,合同台帐!$A$4:$G$195,7,1)),IF($H$2="元",VLOOKUP(A636,合同台帐!$A$4:$F$195,6,1),VLOOKUP(A636,合同台帐!$A$4:$F$195,6,1))),0)</f>
        <v>0</v>
      </c>
      <c r="G636" s="89">
        <f t="shared" ref="G636" si="296">F636/K$2</f>
        <v>0</v>
      </c>
      <c r="H636" s="87">
        <f>IF(A636&lt;&gt;0,IF($H$2="元",VLOOKUP(A636,合同台帐!$A$4:$K$1093,11,1),VLOOKUP(A636,合同台帐!$A$4:$K$1093,11,1)),0)</f>
        <v>0</v>
      </c>
      <c r="I636" s="120"/>
      <c r="J636" s="119"/>
      <c r="K636" s="114"/>
    </row>
    <row r="637" spans="1:11" s="51" customFormat="1" ht="12.75" outlineLevel="2">
      <c r="A637" s="155"/>
      <c r="B637" s="84"/>
      <c r="C637" s="85"/>
      <c r="D637" s="152"/>
      <c r="E637" s="87"/>
      <c r="F637" s="87"/>
      <c r="G637" s="89"/>
      <c r="H637" s="87"/>
      <c r="I637" s="120"/>
      <c r="J637" s="119"/>
      <c r="K637" s="158"/>
    </row>
    <row r="638" spans="1:11" s="51" customFormat="1" ht="12.75" outlineLevel="1">
      <c r="A638" s="155"/>
      <c r="B638" s="84" t="s">
        <v>1824</v>
      </c>
      <c r="C638" s="85"/>
      <c r="D638" s="86">
        <f>E638/K2</f>
        <v>14.695365081853183</v>
      </c>
      <c r="E638" s="87">
        <v>1710000</v>
      </c>
      <c r="F638" s="88">
        <f t="shared" ref="F638" si="297">SUM(F639:F640)</f>
        <v>33918.730000000003</v>
      </c>
      <c r="G638" s="88">
        <f t="shared" ref="G638" si="298">SUM(G639:G640)</f>
        <v>0.2914901289256176</v>
      </c>
      <c r="H638" s="88">
        <f t="shared" ref="H638" si="299">SUM(H639:H640)</f>
        <v>0</v>
      </c>
      <c r="I638" s="120"/>
      <c r="J638" s="119">
        <f>G638-D638</f>
        <v>-14.403874952927564</v>
      </c>
      <c r="K638" s="158"/>
    </row>
    <row r="639" spans="1:11" s="51" customFormat="1" ht="12.75" outlineLevel="2">
      <c r="A639" s="155"/>
      <c r="B639" s="84" t="s">
        <v>1794</v>
      </c>
      <c r="C639" s="85"/>
      <c r="D639" s="152"/>
      <c r="E639" s="87"/>
      <c r="F639" s="88">
        <v>15</v>
      </c>
      <c r="G639" s="89">
        <f t="shared" ref="G639:G640" si="300">F639/K$2</f>
        <v>1.2890671124432616E-4</v>
      </c>
      <c r="H639" s="87">
        <f>IF(A639&lt;&gt;0,IF($H$2="元",VLOOKUP(A639,合同台帐!$A$4:$K$1093,11,1),VLOOKUP(A639,合同台帐!$A$4:$K$1093,11,1)),0)</f>
        <v>0</v>
      </c>
      <c r="I639" s="120"/>
      <c r="J639" s="119"/>
      <c r="K639" s="114"/>
    </row>
    <row r="640" spans="1:11" s="51" customFormat="1" ht="12.75" outlineLevel="2">
      <c r="A640" s="155"/>
      <c r="B640" s="84" t="s">
        <v>1795</v>
      </c>
      <c r="C640" s="85"/>
      <c r="D640" s="152"/>
      <c r="E640" s="87"/>
      <c r="F640" s="88">
        <v>33903.730000000003</v>
      </c>
      <c r="G640" s="89">
        <f t="shared" si="300"/>
        <v>0.29136122221437327</v>
      </c>
      <c r="H640" s="88">
        <f>IF(C640&lt;&gt;0,IF(VLOOKUP(C640,合同台帐!$A$4:$G$195,7,1),IF($H$2="元",VLOOKUP(C640,合同台帐!$A$4:$G$195,7,1),VLOOKUP(C640,合同台帐!$A$4:$G$195,7,1)),IF($H$2="元",VLOOKUP(C640,合同台帐!$A$4:$F$195,6,1),VLOOKUP(C640,合同台帐!$A$4:$F$195,6,1))),0)</f>
        <v>0</v>
      </c>
      <c r="I640" s="88">
        <f>IF(D640&lt;&gt;0,IF(VLOOKUP(D640,合同台帐!$A$4:$G$195,7,1),IF($H$2="元",VLOOKUP(D640,合同台帐!$A$4:$G$195,7,1),VLOOKUP(D640,合同台帐!$A$4:$G$195,7,1)),IF($H$2="元",VLOOKUP(D640,合同台帐!$A$4:$F$195,6,1),VLOOKUP(D640,合同台帐!$A$4:$F$195,6,1))),0)</f>
        <v>0</v>
      </c>
      <c r="J640" s="88">
        <f>IF(E640&lt;&gt;0,IF(VLOOKUP(E640,合同台帐!$A$4:$G$195,7,1),IF($H$2="元",VLOOKUP(E640,合同台帐!$A$4:$G$195,7,1),VLOOKUP(E640,合同台帐!$A$4:$G$195,7,1)),IF($H$2="元",VLOOKUP(E640,合同台帐!$A$4:$F$195,6,1),VLOOKUP(E640,合同台帐!$A$4:$F$195,6,1))),0)</f>
        <v>0</v>
      </c>
      <c r="K640" s="88" t="e">
        <f>IF(F640&lt;&gt;0,IF(VLOOKUP(F640,合同台帐!$A$4:$G$195,7,1),IF($H$2="元",VLOOKUP(F640,合同台帐!$A$4:$G$195,7,1),VLOOKUP(F640,合同台帐!$A$4:$G$195,7,1)),IF($H$2="元",VLOOKUP(F640,合同台帐!$A$4:$F$195,6,1),VLOOKUP(F640,合同台帐!$A$4:$F$195,6,1))),0)</f>
        <v>#N/A</v>
      </c>
    </row>
    <row r="641" spans="1:11" s="55" customFormat="1" ht="12.75" collapsed="1">
      <c r="A641" s="146"/>
      <c r="B641" s="174" t="s">
        <v>1825</v>
      </c>
      <c r="C641" s="175"/>
      <c r="D641" s="176">
        <f t="shared" ref="D641:D645" si="301">E641/K$2*10000</f>
        <v>632.09749609885318</v>
      </c>
      <c r="E641" s="149">
        <v>7355.29</v>
      </c>
      <c r="F641" s="149">
        <f>F521+F522+F523+F621</f>
        <v>828828172.25999999</v>
      </c>
      <c r="G641" s="161"/>
      <c r="H641" s="177">
        <f t="shared" ref="H641:H644" si="302">F641</f>
        <v>828828172.25999999</v>
      </c>
      <c r="I641" s="194"/>
      <c r="J641" s="161">
        <f>G641-D641</f>
        <v>-632.09749609885318</v>
      </c>
      <c r="K641" s="162"/>
    </row>
    <row r="642" spans="1:11" s="55" customFormat="1" ht="13.5" customHeight="1">
      <c r="A642" s="95"/>
      <c r="B642" s="96" t="s">
        <v>1826</v>
      </c>
      <c r="C642" s="97"/>
      <c r="D642" s="152">
        <f t="shared" si="301"/>
        <v>1004.9360957869677</v>
      </c>
      <c r="E642" s="139">
        <v>11693.76</v>
      </c>
      <c r="F642" s="139">
        <f>F608-F641</f>
        <v>-828828172.25999999</v>
      </c>
      <c r="G642" s="119">
        <f>F642/K2</f>
        <v>-7122.7675915121636</v>
      </c>
      <c r="H642" s="140">
        <f t="shared" si="302"/>
        <v>-828828172.25999999</v>
      </c>
      <c r="I642" s="121"/>
      <c r="J642" s="119">
        <f>成本明细!H1079</f>
        <v>0</v>
      </c>
      <c r="K642" s="164"/>
    </row>
    <row r="643" spans="1:11" s="55" customFormat="1" ht="12.75">
      <c r="A643" s="95"/>
      <c r="B643" s="96" t="s">
        <v>1827</v>
      </c>
      <c r="C643" s="97"/>
      <c r="D643" s="152">
        <f t="shared" si="301"/>
        <v>14.388567109091689</v>
      </c>
      <c r="E643" s="139">
        <v>167.43</v>
      </c>
      <c r="F643" s="139" t="e">
        <f>F642/F608</f>
        <v>#DIV/0!</v>
      </c>
      <c r="G643" s="119" t="e">
        <f>F643/K2</f>
        <v>#DIV/0!</v>
      </c>
      <c r="H643" s="140" t="e">
        <f t="shared" si="302"/>
        <v>#DIV/0!</v>
      </c>
      <c r="I643" s="121"/>
      <c r="J643" s="119">
        <f>成本明细!H1080</f>
        <v>0</v>
      </c>
      <c r="K643" s="164"/>
    </row>
    <row r="644" spans="1:11" s="51" customFormat="1" ht="12.75">
      <c r="A644" s="146"/>
      <c r="B644" s="174" t="s">
        <v>1828</v>
      </c>
      <c r="C644" s="175"/>
      <c r="D644" s="176">
        <f t="shared" si="301"/>
        <v>907.73871675259591</v>
      </c>
      <c r="E644" s="149">
        <v>10562.74</v>
      </c>
      <c r="F644" s="149">
        <f>F641+F621</f>
        <v>829211718.38999999</v>
      </c>
      <c r="G644" s="161">
        <f>F644/K2</f>
        <v>7126.0637028607489</v>
      </c>
      <c r="H644" s="177">
        <f t="shared" si="302"/>
        <v>829211718.38999999</v>
      </c>
      <c r="I644" s="195"/>
      <c r="J644" s="161">
        <f>成本明细!H1086</f>
        <v>0</v>
      </c>
      <c r="K644" s="196"/>
    </row>
    <row r="645" spans="1:11" s="51" customFormat="1" ht="12.75">
      <c r="A645" s="178"/>
      <c r="B645" s="179" t="s">
        <v>1829</v>
      </c>
      <c r="C645" s="180"/>
      <c r="D645" s="181">
        <f t="shared" si="301"/>
        <v>11774.343095696389</v>
      </c>
      <c r="E645" s="182">
        <f>E521+E522+E523+E548+E608+E621+E641+E642+E643+E644</f>
        <v>137010.04759999999</v>
      </c>
      <c r="F645" s="182">
        <f>F608-F644</f>
        <v>-829211718.38999999</v>
      </c>
      <c r="G645" s="182">
        <f>F645/K2</f>
        <v>-7126.0637028607489</v>
      </c>
      <c r="H645" s="183">
        <f>IF($J$2="元",成本明细!G1334/10000,成本明细!G1334)</f>
        <v>0</v>
      </c>
      <c r="I645" s="183"/>
      <c r="J645" s="182">
        <f>成本明细!H1317</f>
        <v>0</v>
      </c>
      <c r="K645" s="197"/>
    </row>
    <row r="646" spans="1:11" s="51" customFormat="1" ht="12.75">
      <c r="A646" s="178"/>
      <c r="B646" s="179" t="s">
        <v>1830</v>
      </c>
      <c r="C646" s="180"/>
      <c r="D646" s="181"/>
      <c r="E646" s="182"/>
      <c r="F646" s="183" t="e">
        <f>F645/F608</f>
        <v>#DIV/0!</v>
      </c>
      <c r="G646" s="182" t="e">
        <f>F646/K2</f>
        <v>#DIV/0!</v>
      </c>
      <c r="H646" s="183">
        <f>IF($J$2="元",成本明细!G1343/10000,成本明细!G1343)</f>
        <v>0</v>
      </c>
      <c r="I646" s="183"/>
      <c r="J646" s="182">
        <f>成本明细!H1333</f>
        <v>0</v>
      </c>
      <c r="K646" s="197"/>
    </row>
    <row r="647" spans="1:11" s="50" customFormat="1" ht="12.75">
      <c r="A647" s="178"/>
      <c r="B647" s="179" t="s">
        <v>1831</v>
      </c>
      <c r="C647" s="184"/>
      <c r="D647" s="185"/>
      <c r="E647" s="186"/>
      <c r="F647" s="182"/>
      <c r="G647" s="182"/>
      <c r="H647" s="182"/>
      <c r="I647" s="182"/>
      <c r="J647" s="182"/>
      <c r="K647" s="198"/>
    </row>
    <row r="648" spans="1:11">
      <c r="A648" s="187"/>
      <c r="B648" s="179" t="s">
        <v>1832</v>
      </c>
      <c r="C648" s="188"/>
      <c r="D648" s="189"/>
      <c r="E648" s="189"/>
      <c r="F648" s="189"/>
      <c r="G648" s="189"/>
      <c r="H648" s="189"/>
      <c r="I648" s="189"/>
      <c r="J648" s="199"/>
      <c r="K648" s="188"/>
    </row>
    <row r="649" spans="1:11">
      <c r="A649" s="187"/>
      <c r="B649" s="179" t="s">
        <v>1833</v>
      </c>
      <c r="C649" s="188"/>
      <c r="D649" s="189"/>
      <c r="E649" s="189"/>
      <c r="F649" s="189"/>
      <c r="G649" s="189"/>
      <c r="H649" s="189"/>
      <c r="I649" s="189"/>
      <c r="J649" s="199"/>
      <c r="K649" s="188"/>
    </row>
    <row r="650" spans="1:11">
      <c r="A650" s="187"/>
      <c r="B650" s="179" t="s">
        <v>1834</v>
      </c>
      <c r="C650" s="188"/>
      <c r="D650" s="189"/>
      <c r="E650" s="189"/>
      <c r="F650" s="189"/>
      <c r="G650" s="189"/>
      <c r="H650" s="189"/>
      <c r="I650" s="189"/>
      <c r="J650" s="199"/>
      <c r="K650" s="188"/>
    </row>
    <row r="651" spans="1:11">
      <c r="A651" s="187"/>
      <c r="B651" s="179" t="s">
        <v>1835</v>
      </c>
      <c r="C651" s="188"/>
      <c r="D651" s="189"/>
      <c r="E651" s="189"/>
      <c r="F651" s="189"/>
      <c r="G651" s="189"/>
      <c r="H651" s="189"/>
      <c r="I651" s="189"/>
      <c r="J651" s="199"/>
      <c r="K651" s="188"/>
    </row>
    <row r="652" spans="1:11">
      <c r="A652" s="190"/>
      <c r="B652" s="179" t="s">
        <v>1836</v>
      </c>
      <c r="C652" s="188"/>
      <c r="D652" s="189"/>
      <c r="E652" s="189"/>
      <c r="F652" s="191"/>
      <c r="G652" s="191"/>
      <c r="H652" s="189"/>
      <c r="I652" s="189"/>
      <c r="J652" s="199"/>
      <c r="K652" s="188"/>
    </row>
    <row r="653" spans="1:11" s="50" customFormat="1">
      <c r="A653" s="53"/>
      <c r="B653" s="53"/>
      <c r="C653" s="56"/>
      <c r="D653" s="57"/>
      <c r="E653" s="57"/>
      <c r="F653" s="57"/>
      <c r="G653" s="192"/>
      <c r="H653" s="192"/>
      <c r="I653" s="57"/>
      <c r="J653" s="58"/>
      <c r="K653" s="56"/>
    </row>
    <row r="654" spans="1:11" s="50" customFormat="1">
      <c r="C654" s="193"/>
      <c r="D654" s="57"/>
      <c r="E654" s="57"/>
      <c r="F654" s="57"/>
      <c r="G654" s="57"/>
      <c r="H654" s="57"/>
      <c r="I654" s="57"/>
      <c r="J654" s="58"/>
      <c r="K654" s="56"/>
    </row>
    <row r="655" spans="1:11" s="50" customFormat="1">
      <c r="C655" s="193"/>
      <c r="D655" s="57"/>
      <c r="E655" s="57"/>
      <c r="F655" s="57"/>
      <c r="G655" s="57"/>
      <c r="H655" s="57"/>
      <c r="I655" s="57"/>
      <c r="J655" s="58"/>
      <c r="K655" s="56"/>
    </row>
    <row r="656" spans="1:11" s="50" customFormat="1">
      <c r="C656" s="193"/>
      <c r="D656" s="57"/>
      <c r="E656" s="57"/>
      <c r="F656" s="57"/>
      <c r="G656" s="57"/>
      <c r="H656" s="57"/>
      <c r="I656" s="57"/>
      <c r="J656" s="58"/>
      <c r="K656" s="56"/>
    </row>
    <row r="657" spans="1:3">
      <c r="A657" s="50"/>
      <c r="B657" s="50"/>
      <c r="C657" s="193"/>
    </row>
    <row r="658" spans="1:3">
      <c r="A658" s="50"/>
      <c r="B658" s="50"/>
      <c r="C658" s="193"/>
    </row>
  </sheetData>
  <mergeCells count="2">
    <mergeCell ref="A1:K1"/>
    <mergeCell ref="D2:G2"/>
  </mergeCells>
  <phoneticPr fontId="40" type="noConversion"/>
  <dataValidations count="1">
    <dataValidation type="list" allowBlank="1" showInputMessage="1" showErrorMessage="1" sqref="A3">
      <formula1>$A$4:$A$647</formula1>
    </dataValidation>
  </dataValidations>
  <printOptions horizontalCentered="1"/>
  <pageMargins left="0.27500000000000002" right="0.156944444444444" top="0.59027777777777801" bottom="0.39305555555555599" header="0.51180555555555596" footer="0.51180555555555596"/>
  <pageSetup paperSize="9" orientation="portrait" useFirstPageNumber="1"/>
  <headerFooter alignWithMargins="0">
    <oddFooter>&amp;C第&amp;"Times New Roman,常规"&amp;P&amp;"宋体,常规"页&amp;"Times New Roman,常规"    &amp;"宋体,常规"共&amp;"Times New Roman,常规"&amp;N&amp;"宋体,常规"页</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
  <sheetViews>
    <sheetView workbookViewId="0">
      <selection activeCell="E13" sqref="E13"/>
    </sheetView>
  </sheetViews>
  <sheetFormatPr defaultColWidth="9" defaultRowHeight="14.25"/>
  <cols>
    <col min="1" max="1" width="8.125" style="11" customWidth="1"/>
    <col min="2" max="2" width="10.125" style="11" customWidth="1"/>
    <col min="3" max="3" width="22.125" style="12" customWidth="1"/>
    <col min="4" max="4" width="33" customWidth="1"/>
    <col min="5" max="5" width="12.625" style="13" customWidth="1"/>
    <col min="6" max="6" width="6" customWidth="1"/>
    <col min="7" max="7" width="8.125" customWidth="1"/>
    <col min="8" max="8" width="10.125" customWidth="1"/>
    <col min="9" max="10" width="10.125" style="11" customWidth="1"/>
    <col min="11" max="11" width="12.375" style="11" customWidth="1"/>
  </cols>
  <sheetData>
    <row r="1" spans="1:17" s="8" customFormat="1" ht="43.5" customHeight="1">
      <c r="A1" s="821" t="s">
        <v>1837</v>
      </c>
      <c r="B1" s="821"/>
      <c r="C1" s="821"/>
      <c r="D1" s="821"/>
      <c r="E1" s="821"/>
      <c r="F1" s="821"/>
      <c r="G1" s="821"/>
      <c r="H1" s="821"/>
      <c r="I1" s="821"/>
      <c r="J1" s="821"/>
      <c r="K1" s="821"/>
      <c r="L1" s="821"/>
    </row>
    <row r="2" spans="1:17" s="9" customFormat="1" ht="33.75" customHeight="1">
      <c r="A2" s="14" t="s">
        <v>363</v>
      </c>
      <c r="B2" s="15" t="s">
        <v>1838</v>
      </c>
      <c r="C2" s="16" t="s">
        <v>366</v>
      </c>
      <c r="D2" s="15" t="s">
        <v>100</v>
      </c>
      <c r="E2" s="17" t="s">
        <v>1839</v>
      </c>
      <c r="F2" s="15" t="s">
        <v>375</v>
      </c>
      <c r="G2" s="15" t="s">
        <v>1840</v>
      </c>
      <c r="H2" s="15" t="s">
        <v>376</v>
      </c>
      <c r="I2" s="15" t="s">
        <v>1841</v>
      </c>
      <c r="J2" s="42" t="s">
        <v>1842</v>
      </c>
      <c r="K2" s="42" t="s">
        <v>1843</v>
      </c>
      <c r="L2" s="43" t="s">
        <v>102</v>
      </c>
    </row>
    <row r="3" spans="1:17" s="3" customFormat="1" ht="18" customHeight="1">
      <c r="A3" s="18" t="s">
        <v>1844</v>
      </c>
      <c r="B3" s="19" t="s">
        <v>177</v>
      </c>
      <c r="C3" s="18" t="s">
        <v>1845</v>
      </c>
      <c r="D3" s="18" t="s">
        <v>1846</v>
      </c>
      <c r="E3" s="20">
        <v>10000</v>
      </c>
      <c r="F3" s="18" t="s">
        <v>401</v>
      </c>
      <c r="G3" s="18" t="s">
        <v>1847</v>
      </c>
      <c r="H3" s="18"/>
      <c r="I3" s="19"/>
      <c r="J3" s="44">
        <v>0</v>
      </c>
      <c r="K3" s="45">
        <f>E3-J3</f>
        <v>10000</v>
      </c>
      <c r="L3" s="18"/>
    </row>
    <row r="4" spans="1:17" s="10" customFormat="1" ht="48">
      <c r="A4" s="21" t="s">
        <v>581</v>
      </c>
      <c r="B4" s="22" t="s">
        <v>221</v>
      </c>
      <c r="C4" s="18" t="s">
        <v>582</v>
      </c>
      <c r="D4" s="23" t="s">
        <v>583</v>
      </c>
      <c r="E4" s="24"/>
      <c r="F4" s="18" t="s">
        <v>401</v>
      </c>
      <c r="G4" s="25"/>
      <c r="H4" s="25"/>
      <c r="I4" s="25"/>
      <c r="J4" s="46"/>
      <c r="K4" s="45">
        <f t="shared" ref="K4:K13" si="0">E4-J4</f>
        <v>0</v>
      </c>
      <c r="L4" s="27" t="s">
        <v>584</v>
      </c>
      <c r="M4" s="47"/>
      <c r="P4" s="48"/>
      <c r="Q4" s="48"/>
    </row>
    <row r="5" spans="1:17" s="10" customFormat="1">
      <c r="A5" s="21" t="s">
        <v>212</v>
      </c>
      <c r="B5" s="26" t="s">
        <v>216</v>
      </c>
      <c r="C5" s="27" t="s">
        <v>669</v>
      </c>
      <c r="D5" s="28" t="s">
        <v>592</v>
      </c>
      <c r="E5" s="10">
        <v>300000</v>
      </c>
      <c r="F5" s="18" t="s">
        <v>401</v>
      </c>
      <c r="G5" s="18" t="s">
        <v>1848</v>
      </c>
      <c r="H5" s="25"/>
      <c r="I5" s="25"/>
      <c r="J5" s="46">
        <v>0</v>
      </c>
      <c r="K5" s="45">
        <f t="shared" si="0"/>
        <v>300000</v>
      </c>
      <c r="L5" s="27"/>
      <c r="M5" s="47"/>
      <c r="P5" s="48"/>
      <c r="Q5" s="48"/>
    </row>
    <row r="6" spans="1:17" s="3" customFormat="1" ht="18" customHeight="1">
      <c r="A6" s="29" t="s">
        <v>220</v>
      </c>
      <c r="B6" s="30" t="s">
        <v>216</v>
      </c>
      <c r="C6" s="31" t="s">
        <v>1849</v>
      </c>
      <c r="D6" s="32" t="s">
        <v>592</v>
      </c>
      <c r="E6" s="33">
        <v>18110000</v>
      </c>
      <c r="F6" s="18" t="s">
        <v>401</v>
      </c>
      <c r="G6" s="18" t="s">
        <v>1848</v>
      </c>
      <c r="H6" s="18"/>
      <c r="I6" s="19"/>
      <c r="J6" s="44"/>
      <c r="K6" s="45">
        <f t="shared" si="0"/>
        <v>18110000</v>
      </c>
      <c r="L6" s="18"/>
    </row>
    <row r="7" spans="1:17" s="3" customFormat="1" ht="18" customHeight="1">
      <c r="A7" s="29" t="s">
        <v>214</v>
      </c>
      <c r="B7" s="30" t="s">
        <v>216</v>
      </c>
      <c r="C7" s="31" t="s">
        <v>672</v>
      </c>
      <c r="D7" s="32" t="s">
        <v>592</v>
      </c>
      <c r="E7" s="33">
        <v>423900</v>
      </c>
      <c r="F7" s="18" t="s">
        <v>401</v>
      </c>
      <c r="G7" s="18" t="s">
        <v>1848</v>
      </c>
      <c r="H7" s="18"/>
      <c r="I7" s="19"/>
      <c r="J7" s="44"/>
      <c r="K7" s="45">
        <f t="shared" si="0"/>
        <v>423900</v>
      </c>
      <c r="L7" s="18"/>
    </row>
    <row r="8" spans="1:17" s="3" customFormat="1" ht="18" customHeight="1">
      <c r="A8" s="29" t="s">
        <v>222</v>
      </c>
      <c r="B8" s="30" t="s">
        <v>687</v>
      </c>
      <c r="C8" s="31" t="s">
        <v>691</v>
      </c>
      <c r="D8" s="31" t="s">
        <v>667</v>
      </c>
      <c r="E8" s="34">
        <v>446476.84</v>
      </c>
      <c r="F8" s="18" t="s">
        <v>401</v>
      </c>
      <c r="G8" s="18" t="s">
        <v>1848</v>
      </c>
      <c r="H8" s="18"/>
      <c r="I8" s="19"/>
      <c r="J8" s="44"/>
      <c r="K8" s="45">
        <f t="shared" si="0"/>
        <v>446476.84</v>
      </c>
      <c r="L8" s="18"/>
    </row>
    <row r="9" spans="1:17" s="3" customFormat="1" ht="18" customHeight="1">
      <c r="A9" s="29" t="s">
        <v>469</v>
      </c>
      <c r="B9" s="30" t="s">
        <v>242</v>
      </c>
      <c r="C9" s="18" t="s">
        <v>1850</v>
      </c>
      <c r="D9" s="35" t="s">
        <v>569</v>
      </c>
      <c r="E9" s="34">
        <v>2000</v>
      </c>
      <c r="F9" s="18"/>
      <c r="G9" s="18" t="s">
        <v>1851</v>
      </c>
      <c r="H9" s="18"/>
      <c r="I9" s="19"/>
      <c r="J9" s="44"/>
      <c r="K9" s="45">
        <f t="shared" si="0"/>
        <v>2000</v>
      </c>
      <c r="L9" s="18"/>
    </row>
    <row r="10" spans="1:17" s="3" customFormat="1" ht="18" customHeight="1">
      <c r="A10" s="29" t="s">
        <v>473</v>
      </c>
      <c r="B10" s="30" t="s">
        <v>242</v>
      </c>
      <c r="C10" s="18" t="s">
        <v>1852</v>
      </c>
      <c r="D10" s="35" t="s">
        <v>569</v>
      </c>
      <c r="E10" s="20">
        <v>10000</v>
      </c>
      <c r="F10" s="18"/>
      <c r="G10" s="18" t="s">
        <v>1851</v>
      </c>
      <c r="H10" s="18"/>
      <c r="I10" s="19"/>
      <c r="J10" s="44"/>
      <c r="K10" s="45">
        <f t="shared" si="0"/>
        <v>10000</v>
      </c>
      <c r="L10" s="18"/>
    </row>
    <row r="11" spans="1:17" s="3" customFormat="1" ht="18" customHeight="1">
      <c r="A11" s="29" t="s">
        <v>220</v>
      </c>
      <c r="B11" s="30" t="s">
        <v>270</v>
      </c>
      <c r="C11" s="31" t="s">
        <v>1853</v>
      </c>
      <c r="D11" s="32" t="s">
        <v>592</v>
      </c>
      <c r="E11" s="33">
        <v>6000000</v>
      </c>
      <c r="F11" s="18" t="s">
        <v>401</v>
      </c>
      <c r="G11" s="18" t="s">
        <v>1851</v>
      </c>
      <c r="H11" s="18"/>
      <c r="I11" s="19"/>
      <c r="J11" s="44"/>
      <c r="K11" s="45">
        <f t="shared" si="0"/>
        <v>6000000</v>
      </c>
      <c r="L11" s="18"/>
    </row>
    <row r="12" spans="1:17" s="3" customFormat="1" ht="18" customHeight="1">
      <c r="A12" s="36" t="s">
        <v>920</v>
      </c>
      <c r="B12" s="30">
        <v>2016.01</v>
      </c>
      <c r="C12" s="37" t="s">
        <v>1854</v>
      </c>
      <c r="D12" s="32"/>
      <c r="E12" s="33">
        <v>810100</v>
      </c>
      <c r="F12" s="18"/>
      <c r="G12" s="18" t="s">
        <v>1855</v>
      </c>
      <c r="H12" s="18"/>
      <c r="I12" s="19"/>
      <c r="J12" s="44"/>
      <c r="K12" s="45"/>
      <c r="L12" s="18"/>
    </row>
    <row r="13" spans="1:17" s="3" customFormat="1" ht="18" customHeight="1">
      <c r="D13" s="18"/>
      <c r="E13" s="20">
        <f>SUM(E3:E12)</f>
        <v>26112476.84</v>
      </c>
      <c r="F13" s="18"/>
      <c r="G13" s="18"/>
      <c r="H13" s="18"/>
      <c r="I13" s="19"/>
      <c r="J13" s="19"/>
      <c r="K13" s="45">
        <f t="shared" si="0"/>
        <v>26112476.84</v>
      </c>
      <c r="L13" s="18"/>
    </row>
    <row r="14" spans="1:17" s="3" customFormat="1" ht="18" customHeight="1">
      <c r="A14" s="18"/>
      <c r="B14" s="19"/>
      <c r="C14" s="18"/>
      <c r="D14" s="18"/>
      <c r="E14" s="20"/>
      <c r="F14" s="18"/>
      <c r="G14" s="18"/>
      <c r="H14" s="18"/>
      <c r="I14" s="19"/>
      <c r="J14" s="19"/>
      <c r="K14" s="19"/>
      <c r="L14" s="18"/>
    </row>
    <row r="15" spans="1:17" s="3" customFormat="1" ht="18" customHeight="1">
      <c r="A15" s="18"/>
      <c r="B15" s="19"/>
      <c r="C15" s="18"/>
      <c r="D15" s="18"/>
      <c r="E15" s="20"/>
      <c r="F15" s="18"/>
      <c r="G15" s="18"/>
      <c r="H15" s="18"/>
      <c r="I15" s="19"/>
      <c r="J15" s="19"/>
      <c r="K15" s="19"/>
      <c r="L15" s="18"/>
    </row>
    <row r="16" spans="1:17" s="3" customFormat="1" ht="18" customHeight="1">
      <c r="A16" s="18"/>
      <c r="B16" s="19"/>
      <c r="C16" s="18"/>
      <c r="D16" s="18"/>
      <c r="E16" s="20"/>
      <c r="F16" s="18"/>
      <c r="G16" s="18"/>
      <c r="H16" s="18"/>
      <c r="I16" s="19"/>
      <c r="J16" s="19"/>
      <c r="K16" s="19"/>
      <c r="L16" s="18"/>
    </row>
    <row r="17" spans="1:12" s="3" customFormat="1" ht="18" customHeight="1">
      <c r="A17" s="18"/>
      <c r="B17" s="19"/>
      <c r="C17" s="18"/>
      <c r="D17" s="18"/>
      <c r="E17" s="20"/>
      <c r="F17" s="18"/>
      <c r="G17" s="18"/>
      <c r="H17" s="18"/>
      <c r="I17" s="19"/>
      <c r="J17" s="19"/>
      <c r="K17" s="19"/>
      <c r="L17" s="18"/>
    </row>
    <row r="18" spans="1:12" ht="18" customHeight="1">
      <c r="A18" s="38"/>
      <c r="B18" s="38"/>
      <c r="C18" s="39"/>
      <c r="D18" s="40"/>
      <c r="E18" s="41"/>
      <c r="F18" s="40"/>
      <c r="G18" s="40"/>
      <c r="H18" s="40"/>
      <c r="I18" s="38"/>
      <c r="J18" s="38"/>
      <c r="K18" s="38"/>
      <c r="L18" s="40"/>
    </row>
    <row r="19" spans="1:12" ht="18" customHeight="1">
      <c r="A19" s="38"/>
      <c r="B19" s="38"/>
      <c r="C19" s="39"/>
      <c r="D19" s="40"/>
      <c r="E19" s="41"/>
      <c r="F19" s="40"/>
      <c r="G19" s="40"/>
      <c r="H19" s="40"/>
      <c r="I19" s="38"/>
      <c r="J19" s="38"/>
      <c r="K19" s="38"/>
      <c r="L19" s="40"/>
    </row>
    <row r="20" spans="1:12" ht="18" customHeight="1">
      <c r="A20" s="38"/>
      <c r="B20" s="38"/>
      <c r="C20" s="39"/>
      <c r="D20" s="40"/>
      <c r="E20" s="41"/>
      <c r="F20" s="40"/>
      <c r="G20" s="40"/>
      <c r="H20" s="40"/>
      <c r="I20" s="38"/>
      <c r="J20" s="38"/>
      <c r="K20" s="38"/>
      <c r="L20" s="40"/>
    </row>
    <row r="21" spans="1:12" ht="18" customHeight="1">
      <c r="A21" s="38"/>
      <c r="B21" s="38"/>
      <c r="C21" s="39"/>
      <c r="D21" s="40"/>
      <c r="E21" s="41"/>
      <c r="F21" s="40"/>
      <c r="G21" s="40"/>
      <c r="H21" s="40"/>
      <c r="I21" s="38"/>
      <c r="J21" s="38"/>
      <c r="K21" s="38"/>
      <c r="L21" s="40"/>
    </row>
    <row r="22" spans="1:12" ht="18" customHeight="1">
      <c r="A22" s="38"/>
      <c r="B22" s="38"/>
      <c r="C22" s="39"/>
      <c r="D22" s="40"/>
      <c r="E22" s="41"/>
      <c r="F22" s="40"/>
      <c r="G22" s="40"/>
      <c r="H22" s="40"/>
      <c r="I22" s="38"/>
      <c r="J22" s="38"/>
      <c r="K22" s="38"/>
      <c r="L22" s="40"/>
    </row>
    <row r="23" spans="1:12" ht="18" customHeight="1">
      <c r="A23" s="38"/>
      <c r="B23" s="38"/>
      <c r="C23" s="39"/>
      <c r="D23" s="40"/>
      <c r="E23" s="41"/>
      <c r="F23" s="40"/>
      <c r="G23" s="40"/>
      <c r="H23" s="40"/>
      <c r="I23" s="38"/>
      <c r="J23" s="38"/>
      <c r="K23" s="38"/>
      <c r="L23" s="40"/>
    </row>
    <row r="24" spans="1:12" ht="18" customHeight="1">
      <c r="A24" s="38"/>
      <c r="B24" s="38"/>
      <c r="C24" s="39"/>
      <c r="D24" s="40"/>
      <c r="E24" s="41"/>
      <c r="F24" s="40"/>
      <c r="G24" s="40"/>
      <c r="H24" s="40"/>
      <c r="I24" s="38"/>
      <c r="J24" s="38"/>
      <c r="K24" s="38"/>
      <c r="L24" s="40"/>
    </row>
    <row r="25" spans="1:12" ht="18" customHeight="1">
      <c r="A25" s="38"/>
      <c r="B25" s="38"/>
      <c r="C25" s="39"/>
      <c r="D25" s="40"/>
      <c r="E25" s="41"/>
      <c r="F25" s="40"/>
      <c r="G25" s="40"/>
      <c r="H25" s="40"/>
      <c r="I25" s="38"/>
      <c r="J25" s="38"/>
      <c r="K25" s="38"/>
      <c r="L25" s="40"/>
    </row>
    <row r="26" spans="1:12" ht="18" customHeight="1"/>
    <row r="27" spans="1:12" ht="18" customHeight="1"/>
    <row r="28" spans="1:12" ht="18" customHeight="1"/>
    <row r="29" spans="1:12" ht="18" customHeight="1"/>
    <row r="30" spans="1:12" ht="18" customHeight="1"/>
    <row r="31" spans="1:12" ht="18" customHeight="1"/>
    <row r="32" spans="1: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sheetData>
  <mergeCells count="1">
    <mergeCell ref="A1:L1"/>
  </mergeCells>
  <phoneticPr fontId="40" type="noConversion"/>
  <pageMargins left="0.75" right="0.75" top="1" bottom="1" header="0.5" footer="0.5"/>
  <pageSetup paperSize="9"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11" sqref="D11"/>
    </sheetView>
  </sheetViews>
  <sheetFormatPr defaultColWidth="9" defaultRowHeight="27" customHeight="1"/>
  <cols>
    <col min="1" max="1" width="9" style="1"/>
    <col min="2" max="2" width="31.375" style="2" customWidth="1"/>
    <col min="3" max="3" width="9" style="2"/>
    <col min="4" max="4" width="15" style="2" customWidth="1"/>
    <col min="5" max="16384" width="9" style="2"/>
  </cols>
  <sheetData>
    <row r="3" spans="1:4" ht="27" customHeight="1">
      <c r="A3" s="1" t="s">
        <v>1856</v>
      </c>
      <c r="B3" s="3" t="s">
        <v>1857</v>
      </c>
      <c r="C3" s="4"/>
      <c r="D3" s="5">
        <v>355327</v>
      </c>
    </row>
    <row r="4" spans="1:4" ht="27" customHeight="1">
      <c r="A4" s="1" t="s">
        <v>1858</v>
      </c>
      <c r="B4" s="3" t="s">
        <v>1859</v>
      </c>
      <c r="C4" s="4"/>
      <c r="D4" s="5">
        <v>355327</v>
      </c>
    </row>
    <row r="5" spans="1:4" ht="27" customHeight="1">
      <c r="A5" s="1" t="s">
        <v>1860</v>
      </c>
      <c r="B5" s="3" t="s">
        <v>1861</v>
      </c>
      <c r="C5" s="4"/>
      <c r="D5" s="5">
        <v>355327</v>
      </c>
    </row>
    <row r="6" spans="1:4" ht="27" customHeight="1">
      <c r="A6" s="1" t="s">
        <v>1862</v>
      </c>
      <c r="B6" s="3" t="s">
        <v>1863</v>
      </c>
      <c r="C6" s="4"/>
      <c r="D6" s="5">
        <v>355327</v>
      </c>
    </row>
    <row r="7" spans="1:4" ht="27" customHeight="1">
      <c r="A7" s="1" t="s">
        <v>1864</v>
      </c>
      <c r="B7" s="3" t="s">
        <v>1865</v>
      </c>
      <c r="C7" s="4"/>
      <c r="D7" s="5">
        <v>355327</v>
      </c>
    </row>
    <row r="8" spans="1:4" ht="27" customHeight="1">
      <c r="A8" s="1" t="s">
        <v>1866</v>
      </c>
      <c r="B8" s="3" t="s">
        <v>1867</v>
      </c>
      <c r="C8" s="4"/>
      <c r="D8" s="5">
        <v>355327</v>
      </c>
    </row>
    <row r="9" spans="1:4" ht="27" customHeight="1">
      <c r="A9" s="1" t="s">
        <v>1868</v>
      </c>
      <c r="B9" s="3" t="s">
        <v>1869</v>
      </c>
      <c r="C9" s="4"/>
      <c r="D9" s="5">
        <v>355327</v>
      </c>
    </row>
    <row r="10" spans="1:4" ht="27" customHeight="1">
      <c r="A10" s="1" t="s">
        <v>1870</v>
      </c>
      <c r="B10" s="3" t="s">
        <v>1871</v>
      </c>
      <c r="C10" s="4"/>
      <c r="D10" s="5">
        <v>52023.4</v>
      </c>
    </row>
    <row r="11" spans="1:4" ht="27" customHeight="1">
      <c r="D11" s="6">
        <f>SUM(D3:D10)</f>
        <v>2539312.4</v>
      </c>
    </row>
    <row r="13" spans="1:4" ht="27" customHeight="1">
      <c r="D13" s="2">
        <v>979452412.35000002</v>
      </c>
    </row>
    <row r="14" spans="1:4" ht="27" customHeight="1">
      <c r="D14" s="7">
        <f>D13+D11</f>
        <v>981991724.75</v>
      </c>
    </row>
    <row r="15" spans="1:4" ht="27" customHeight="1">
      <c r="D15" s="2">
        <v>3000000</v>
      </c>
    </row>
    <row r="16" spans="1:4" ht="27" customHeight="1">
      <c r="D16" s="7">
        <f>D14+D15</f>
        <v>984991724.75</v>
      </c>
    </row>
  </sheetData>
  <phoneticPr fontId="4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3" sqref="E13"/>
    </sheetView>
  </sheetViews>
  <sheetFormatPr defaultColWidth="9" defaultRowHeight="14.25"/>
  <sheetData>
    <row r="1" spans="1:13" ht="69" customHeight="1">
      <c r="A1" s="717" t="s">
        <v>4</v>
      </c>
      <c r="B1" s="718"/>
      <c r="C1" s="718"/>
      <c r="D1" s="718"/>
      <c r="E1" s="718"/>
      <c r="F1" s="718"/>
      <c r="G1" s="718"/>
      <c r="H1" s="718"/>
      <c r="I1" s="718"/>
      <c r="J1" s="718"/>
      <c r="K1" s="718"/>
      <c r="L1" s="718"/>
      <c r="M1" s="718"/>
    </row>
    <row r="2" spans="1:13" s="12" customFormat="1" ht="64.5" customHeight="1">
      <c r="A2" s="716" t="s">
        <v>5</v>
      </c>
      <c r="B2" s="716"/>
      <c r="C2" s="716"/>
      <c r="D2" s="716"/>
      <c r="E2" s="716"/>
      <c r="F2" s="716"/>
      <c r="G2" s="716"/>
      <c r="H2" s="716"/>
      <c r="I2" s="716"/>
      <c r="J2" s="716"/>
      <c r="K2" s="716"/>
      <c r="L2" s="716"/>
      <c r="M2" s="716"/>
    </row>
    <row r="3" spans="1:13" s="12" customFormat="1" ht="32.25" customHeight="1">
      <c r="A3" s="716" t="s">
        <v>6</v>
      </c>
      <c r="B3" s="716"/>
      <c r="C3" s="716"/>
      <c r="D3" s="716"/>
      <c r="E3" s="716"/>
      <c r="F3" s="716"/>
      <c r="G3" s="716"/>
      <c r="H3" s="716"/>
      <c r="I3" s="716"/>
      <c r="J3" s="716"/>
      <c r="K3" s="716"/>
      <c r="L3" s="716"/>
      <c r="M3" s="716"/>
    </row>
    <row r="4" spans="1:13" s="12" customFormat="1" ht="19.5" customHeight="1">
      <c r="A4" s="716" t="s">
        <v>7</v>
      </c>
      <c r="B4" s="716"/>
      <c r="C4" s="716"/>
      <c r="D4" s="716"/>
      <c r="E4" s="716"/>
      <c r="F4" s="716"/>
      <c r="G4" s="716"/>
      <c r="H4" s="716"/>
      <c r="I4" s="716"/>
      <c r="J4" s="716"/>
      <c r="K4" s="716"/>
      <c r="L4" s="716"/>
      <c r="M4" s="716"/>
    </row>
    <row r="5" spans="1:13" s="12" customFormat="1" ht="33" customHeight="1">
      <c r="A5" s="719" t="s">
        <v>8</v>
      </c>
      <c r="B5" s="719"/>
      <c r="C5" s="719"/>
      <c r="D5" s="719"/>
      <c r="E5" s="719"/>
      <c r="F5" s="719"/>
      <c r="G5" s="719"/>
      <c r="H5" s="719"/>
      <c r="I5" s="719"/>
      <c r="J5" s="719"/>
      <c r="K5" s="719"/>
      <c r="L5" s="719"/>
      <c r="M5" s="719"/>
    </row>
    <row r="6" spans="1:13" ht="32.25" customHeight="1">
      <c r="A6" s="716" t="s">
        <v>9</v>
      </c>
      <c r="B6" s="716"/>
      <c r="C6" s="716"/>
      <c r="D6" s="716"/>
      <c r="E6" s="716"/>
      <c r="F6" s="716"/>
      <c r="G6" s="716"/>
      <c r="H6" s="716"/>
      <c r="I6" s="716"/>
      <c r="J6" s="716"/>
      <c r="K6" s="716"/>
      <c r="L6" s="716"/>
      <c r="M6" s="716"/>
    </row>
    <row r="7" spans="1:13" s="12" customFormat="1" ht="33.75" customHeight="1">
      <c r="A7" s="716" t="s">
        <v>10</v>
      </c>
      <c r="B7" s="716"/>
      <c r="C7" s="716"/>
      <c r="D7" s="716"/>
      <c r="E7" s="716"/>
      <c r="F7" s="716"/>
      <c r="G7" s="716"/>
      <c r="H7" s="716"/>
      <c r="I7" s="716"/>
      <c r="J7" s="716"/>
      <c r="K7" s="716"/>
      <c r="L7" s="716"/>
      <c r="M7" s="716"/>
    </row>
    <row r="15" spans="1:13">
      <c r="L15" t="s">
        <v>11</v>
      </c>
    </row>
    <row r="16" spans="1:13">
      <c r="L16">
        <v>2009.09</v>
      </c>
    </row>
  </sheetData>
  <mergeCells count="7">
    <mergeCell ref="A6:M6"/>
    <mergeCell ref="A7:M7"/>
    <mergeCell ref="A1:M1"/>
    <mergeCell ref="A2:M2"/>
    <mergeCell ref="A3:M3"/>
    <mergeCell ref="A4:M4"/>
    <mergeCell ref="A5:M5"/>
  </mergeCells>
  <phoneticPr fontId="40" type="noConversion"/>
  <pageMargins left="0.75" right="0.75" top="1" bottom="1" header="0.5" footer="0.5"/>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E17" sqref="E17"/>
    </sheetView>
  </sheetViews>
  <sheetFormatPr defaultColWidth="9" defaultRowHeight="14.25"/>
  <cols>
    <col min="2" max="2" width="15.625" customWidth="1"/>
    <col min="3" max="3" width="16.125" customWidth="1"/>
  </cols>
  <sheetData>
    <row r="1" spans="1:4">
      <c r="B1" t="s">
        <v>12</v>
      </c>
      <c r="C1" t="s">
        <v>13</v>
      </c>
      <c r="D1" t="s">
        <v>14</v>
      </c>
    </row>
    <row r="2" spans="1:4">
      <c r="A2" t="s">
        <v>15</v>
      </c>
      <c r="C2">
        <v>60000</v>
      </c>
    </row>
    <row r="3" spans="1:4">
      <c r="A3" t="s">
        <v>16</v>
      </c>
      <c r="B3">
        <v>970000</v>
      </c>
      <c r="C3">
        <v>1640000</v>
      </c>
    </row>
    <row r="4" spans="1:4">
      <c r="A4" t="s">
        <v>17</v>
      </c>
      <c r="C4">
        <v>21200</v>
      </c>
    </row>
    <row r="5" spans="1:4">
      <c r="A5" t="s">
        <v>18</v>
      </c>
      <c r="C5">
        <v>4000</v>
      </c>
    </row>
    <row r="6" spans="1:4">
      <c r="A6" t="s">
        <v>19</v>
      </c>
      <c r="C6">
        <v>21000</v>
      </c>
    </row>
    <row r="7" spans="1:4">
      <c r="A7" t="s">
        <v>20</v>
      </c>
      <c r="C7">
        <v>105000</v>
      </c>
    </row>
    <row r="8" spans="1:4">
      <c r="A8" t="s">
        <v>21</v>
      </c>
      <c r="C8">
        <v>72000</v>
      </c>
    </row>
    <row r="9" spans="1:4">
      <c r="A9" t="s">
        <v>22</v>
      </c>
      <c r="B9">
        <v>16000</v>
      </c>
      <c r="C9">
        <v>48000</v>
      </c>
    </row>
    <row r="10" spans="1:4">
      <c r="A10" t="s">
        <v>23</v>
      </c>
      <c r="B10">
        <v>8000</v>
      </c>
      <c r="C10">
        <v>24000</v>
      </c>
    </row>
    <row r="11" spans="1:4">
      <c r="A11" t="s">
        <v>24</v>
      </c>
      <c r="C11">
        <v>37100</v>
      </c>
    </row>
    <row r="12" spans="1:4">
      <c r="A12" t="s">
        <v>25</v>
      </c>
      <c r="B12">
        <v>137100</v>
      </c>
      <c r="C12">
        <v>137100</v>
      </c>
    </row>
    <row r="13" spans="1:4">
      <c r="A13" t="s">
        <v>26</v>
      </c>
      <c r="B13">
        <v>17500</v>
      </c>
      <c r="C13">
        <v>35000</v>
      </c>
    </row>
    <row r="14" spans="1:4">
      <c r="A14" t="s">
        <v>27</v>
      </c>
      <c r="C14">
        <v>100000</v>
      </c>
    </row>
    <row r="15" spans="1:4">
      <c r="A15" t="s">
        <v>28</v>
      </c>
      <c r="B15">
        <v>16360</v>
      </c>
      <c r="C15">
        <v>93480</v>
      </c>
    </row>
    <row r="16" spans="1:4">
      <c r="A16" t="s">
        <v>29</v>
      </c>
      <c r="B16">
        <v>19000</v>
      </c>
      <c r="C16">
        <v>19000</v>
      </c>
    </row>
    <row r="17" spans="1:3">
      <c r="A17" t="s">
        <v>30</v>
      </c>
      <c r="B17">
        <v>600000</v>
      </c>
      <c r="C17">
        <v>600000</v>
      </c>
    </row>
    <row r="18" spans="1:3" s="705" customFormat="1">
      <c r="A18" s="705" t="s">
        <v>31</v>
      </c>
      <c r="B18" s="705">
        <v>2964107.99</v>
      </c>
      <c r="C18" s="705">
        <v>3428216.43</v>
      </c>
    </row>
    <row r="19" spans="1:3">
      <c r="A19" t="s">
        <v>32</v>
      </c>
      <c r="B19">
        <v>14400</v>
      </c>
      <c r="C19">
        <v>14400</v>
      </c>
    </row>
    <row r="20" spans="1:3">
      <c r="A20" t="s">
        <v>33</v>
      </c>
      <c r="B20">
        <v>1000</v>
      </c>
      <c r="C20">
        <v>1000</v>
      </c>
    </row>
    <row r="21" spans="1:3">
      <c r="A21" t="s">
        <v>34</v>
      </c>
      <c r="B21">
        <v>300000</v>
      </c>
      <c r="C21">
        <v>300000</v>
      </c>
    </row>
    <row r="22" spans="1:3">
      <c r="A22" t="s">
        <v>35</v>
      </c>
      <c r="B22">
        <v>378000</v>
      </c>
      <c r="C22">
        <v>378000</v>
      </c>
    </row>
    <row r="23" spans="1:3">
      <c r="A23" t="s">
        <v>36</v>
      </c>
      <c r="B23">
        <v>30700</v>
      </c>
      <c r="C23">
        <v>30700</v>
      </c>
    </row>
    <row r="24" spans="1:3">
      <c r="A24" t="s">
        <v>37</v>
      </c>
      <c r="B24">
        <v>461030</v>
      </c>
      <c r="C24">
        <v>461030</v>
      </c>
    </row>
    <row r="25" spans="1:3" s="705" customFormat="1">
      <c r="A25" s="705" t="s">
        <v>38</v>
      </c>
      <c r="B25" s="705">
        <v>672100</v>
      </c>
      <c r="C25" s="705">
        <v>672100</v>
      </c>
    </row>
    <row r="26" spans="1:3">
      <c r="A26" t="s">
        <v>39</v>
      </c>
      <c r="B26">
        <v>168050</v>
      </c>
      <c r="C26">
        <v>168050</v>
      </c>
    </row>
    <row r="27" spans="1:3">
      <c r="A27" t="s">
        <v>40</v>
      </c>
      <c r="B27">
        <v>98000</v>
      </c>
      <c r="C27">
        <v>98000</v>
      </c>
    </row>
    <row r="28" spans="1:3">
      <c r="A28" t="s">
        <v>41</v>
      </c>
      <c r="B28">
        <v>5800</v>
      </c>
      <c r="C28">
        <v>5800</v>
      </c>
    </row>
    <row r="29" spans="1:3">
      <c r="A29" t="s">
        <v>42</v>
      </c>
      <c r="B29">
        <v>104155.96</v>
      </c>
      <c r="C29">
        <v>104155.96</v>
      </c>
    </row>
    <row r="30" spans="1:3">
      <c r="A30" t="s">
        <v>43</v>
      </c>
      <c r="B30">
        <v>11772</v>
      </c>
      <c r="C30">
        <v>11772</v>
      </c>
    </row>
    <row r="31" spans="1:3">
      <c r="A31" t="s">
        <v>44</v>
      </c>
      <c r="B31">
        <v>19753</v>
      </c>
      <c r="C31">
        <v>19753</v>
      </c>
    </row>
    <row r="32" spans="1:3">
      <c r="A32" t="s">
        <v>45</v>
      </c>
      <c r="B32">
        <v>60000</v>
      </c>
      <c r="C32">
        <v>60000</v>
      </c>
    </row>
    <row r="33" spans="1:3">
      <c r="A33" t="s">
        <v>46</v>
      </c>
      <c r="B33">
        <v>13600</v>
      </c>
      <c r="C33">
        <v>13600</v>
      </c>
    </row>
    <row r="34" spans="1:3">
      <c r="A34" t="s">
        <v>47</v>
      </c>
      <c r="B34">
        <v>10000</v>
      </c>
      <c r="C34">
        <v>10000</v>
      </c>
    </row>
    <row r="35" spans="1:3">
      <c r="A35" t="s">
        <v>48</v>
      </c>
      <c r="B35">
        <v>5000</v>
      </c>
      <c r="C35">
        <v>5000</v>
      </c>
    </row>
    <row r="36" spans="1:3">
      <c r="A36" t="s">
        <v>49</v>
      </c>
      <c r="B36">
        <v>24400</v>
      </c>
      <c r="C36">
        <v>24400</v>
      </c>
    </row>
    <row r="37" spans="1:3">
      <c r="A37" t="s">
        <v>50</v>
      </c>
      <c r="B37">
        <v>10145</v>
      </c>
      <c r="C37">
        <v>10145</v>
      </c>
    </row>
    <row r="38" spans="1:3">
      <c r="A38" t="s">
        <v>51</v>
      </c>
      <c r="B38">
        <v>16033</v>
      </c>
      <c r="C38">
        <v>16033</v>
      </c>
    </row>
    <row r="39" spans="1:3">
      <c r="A39" t="s">
        <v>52</v>
      </c>
      <c r="B39">
        <v>16000</v>
      </c>
      <c r="C39">
        <v>16000</v>
      </c>
    </row>
    <row r="40" spans="1:3">
      <c r="A40" s="102" t="s">
        <v>53</v>
      </c>
      <c r="B40" s="706">
        <v>210000</v>
      </c>
      <c r="C40" s="706">
        <v>210000</v>
      </c>
    </row>
    <row r="41" spans="1:3">
      <c r="A41" s="102" t="s">
        <v>54</v>
      </c>
      <c r="B41" s="706">
        <v>29700</v>
      </c>
      <c r="C41" s="706">
        <v>29700</v>
      </c>
    </row>
    <row r="42" spans="1:3">
      <c r="A42" s="102" t="s">
        <v>55</v>
      </c>
      <c r="B42" s="706">
        <v>5800</v>
      </c>
      <c r="C42" s="706">
        <v>5800</v>
      </c>
    </row>
    <row r="43" spans="1:3">
      <c r="A43" s="102" t="s">
        <v>56</v>
      </c>
      <c r="B43" s="706">
        <v>41768.65</v>
      </c>
      <c r="C43" s="706">
        <v>41768.65</v>
      </c>
    </row>
    <row r="44" spans="1:3">
      <c r="A44" s="102" t="s">
        <v>57</v>
      </c>
      <c r="B44" s="706">
        <v>12000</v>
      </c>
      <c r="C44" s="706">
        <v>12000</v>
      </c>
    </row>
    <row r="45" spans="1:3">
      <c r="A45" s="102" t="s">
        <v>58</v>
      </c>
      <c r="B45" s="706">
        <v>17325</v>
      </c>
      <c r="C45" s="706">
        <v>17325</v>
      </c>
    </row>
    <row r="46" spans="1:3">
      <c r="A46" s="102" t="s">
        <v>59</v>
      </c>
      <c r="B46" s="706">
        <v>80000</v>
      </c>
      <c r="C46" s="706">
        <v>80000</v>
      </c>
    </row>
    <row r="47" spans="1:3">
      <c r="A47" s="102" t="s">
        <v>60</v>
      </c>
      <c r="B47" s="706">
        <v>55800</v>
      </c>
      <c r="C47" s="706">
        <v>55800</v>
      </c>
    </row>
    <row r="48" spans="1:3">
      <c r="A48" s="102" t="s">
        <v>61</v>
      </c>
      <c r="B48" s="706">
        <v>200000</v>
      </c>
      <c r="C48" s="706">
        <v>200000</v>
      </c>
    </row>
    <row r="49" spans="1:3">
      <c r="A49" s="102" t="s">
        <v>62</v>
      </c>
      <c r="B49" s="706">
        <v>300000</v>
      </c>
      <c r="C49" s="706">
        <v>300000</v>
      </c>
    </row>
    <row r="50" spans="1:3" s="705" customFormat="1">
      <c r="A50" s="707" t="s">
        <v>63</v>
      </c>
      <c r="B50" s="708">
        <v>1200000</v>
      </c>
      <c r="C50" s="708">
        <v>1500000</v>
      </c>
    </row>
    <row r="51" spans="1:3">
      <c r="A51" s="102" t="s">
        <v>64</v>
      </c>
      <c r="B51" s="706">
        <v>0</v>
      </c>
      <c r="C51" s="706">
        <v>0</v>
      </c>
    </row>
    <row r="52" spans="1:3">
      <c r="A52" s="102" t="s">
        <v>65</v>
      </c>
      <c r="B52" s="706">
        <v>175636</v>
      </c>
      <c r="C52" s="706">
        <v>175636</v>
      </c>
    </row>
    <row r="53" spans="1:3">
      <c r="A53" s="102" t="s">
        <v>66</v>
      </c>
      <c r="B53" s="706">
        <v>0</v>
      </c>
      <c r="C53" s="706">
        <v>0</v>
      </c>
    </row>
    <row r="54" spans="1:3">
      <c r="A54" s="102" t="s">
        <v>67</v>
      </c>
      <c r="B54" s="706">
        <v>20000</v>
      </c>
      <c r="C54" s="706">
        <v>20000</v>
      </c>
    </row>
    <row r="55" spans="1:3">
      <c r="A55" s="102" t="s">
        <v>68</v>
      </c>
      <c r="B55" s="706">
        <v>78000</v>
      </c>
      <c r="C55" s="706">
        <v>78000</v>
      </c>
    </row>
    <row r="56" spans="1:3">
      <c r="A56" s="102" t="s">
        <v>69</v>
      </c>
      <c r="B56" s="706">
        <v>0</v>
      </c>
      <c r="C56" s="706">
        <v>0</v>
      </c>
    </row>
    <row r="57" spans="1:3">
      <c r="A57" s="102" t="s">
        <v>70</v>
      </c>
      <c r="B57" s="706">
        <v>4680</v>
      </c>
      <c r="C57" s="706">
        <v>4680</v>
      </c>
    </row>
    <row r="58" spans="1:3">
      <c r="A58" s="102" t="s">
        <v>71</v>
      </c>
      <c r="B58" s="706">
        <v>103947.2</v>
      </c>
      <c r="C58" s="706">
        <v>103947.2</v>
      </c>
    </row>
    <row r="59" spans="1:3">
      <c r="A59" s="102" t="s">
        <v>72</v>
      </c>
      <c r="B59" s="706"/>
      <c r="C59" s="706">
        <v>271256</v>
      </c>
    </row>
    <row r="60" spans="1:3">
      <c r="A60" s="102" t="s">
        <v>73</v>
      </c>
      <c r="B60" s="706">
        <v>20000</v>
      </c>
      <c r="C60" s="706">
        <v>20000</v>
      </c>
    </row>
    <row r="61" spans="1:3" s="705" customFormat="1">
      <c r="A61" s="707" t="s">
        <v>74</v>
      </c>
      <c r="B61" s="708">
        <v>848540</v>
      </c>
      <c r="C61" s="708">
        <v>848540</v>
      </c>
    </row>
    <row r="62" spans="1:3">
      <c r="A62" s="102" t="s">
        <v>75</v>
      </c>
      <c r="B62" s="706">
        <v>0</v>
      </c>
      <c r="C62" s="706">
        <v>0</v>
      </c>
    </row>
    <row r="63" spans="1:3" s="705" customFormat="1">
      <c r="A63" s="707" t="s">
        <v>76</v>
      </c>
      <c r="B63" s="708">
        <v>537944</v>
      </c>
      <c r="C63" s="708">
        <v>537944</v>
      </c>
    </row>
    <row r="64" spans="1:3">
      <c r="A64" s="102" t="s">
        <v>77</v>
      </c>
      <c r="B64" s="706">
        <v>5800</v>
      </c>
      <c r="C64" s="706">
        <v>5800</v>
      </c>
    </row>
    <row r="65" spans="1:3">
      <c r="A65" s="102" t="s">
        <v>78</v>
      </c>
      <c r="B65" s="706">
        <v>0</v>
      </c>
      <c r="C65" s="706">
        <v>0</v>
      </c>
    </row>
    <row r="66" spans="1:3">
      <c r="A66" s="102" t="s">
        <v>79</v>
      </c>
      <c r="B66" s="706">
        <v>0</v>
      </c>
      <c r="C66" s="706">
        <v>0</v>
      </c>
    </row>
    <row r="67" spans="1:3">
      <c r="A67" s="102" t="s">
        <v>80</v>
      </c>
      <c r="B67" s="706">
        <v>10000</v>
      </c>
      <c r="C67" s="706">
        <v>10000</v>
      </c>
    </row>
    <row r="68" spans="1:3">
      <c r="A68" s="102" t="s">
        <v>81</v>
      </c>
      <c r="B68" s="706">
        <v>49800</v>
      </c>
      <c r="C68" s="706">
        <v>49800</v>
      </c>
    </row>
    <row r="69" spans="1:3">
      <c r="A69" s="102" t="s">
        <v>82</v>
      </c>
      <c r="B69" s="706">
        <v>20000</v>
      </c>
      <c r="C69" s="706">
        <v>20000</v>
      </c>
    </row>
    <row r="70" spans="1:3">
      <c r="A70" s="102" t="s">
        <v>83</v>
      </c>
      <c r="B70" s="706">
        <v>19401</v>
      </c>
      <c r="C70" s="706">
        <v>19401</v>
      </c>
    </row>
    <row r="71" spans="1:3">
      <c r="A71" s="102" t="s">
        <v>84</v>
      </c>
      <c r="B71" s="706">
        <v>7670</v>
      </c>
      <c r="C71" s="706">
        <v>7670</v>
      </c>
    </row>
    <row r="72" spans="1:3">
      <c r="A72" s="102" t="s">
        <v>85</v>
      </c>
      <c r="B72" s="706">
        <v>97200</v>
      </c>
      <c r="C72" s="706">
        <v>97200</v>
      </c>
    </row>
    <row r="73" spans="1:3">
      <c r="A73" s="102" t="s">
        <v>86</v>
      </c>
      <c r="B73" s="706">
        <v>0</v>
      </c>
      <c r="C73" s="706">
        <v>7000</v>
      </c>
    </row>
    <row r="74" spans="1:3">
      <c r="A74" s="102" t="s">
        <v>87</v>
      </c>
      <c r="B74" s="706">
        <v>0</v>
      </c>
      <c r="C74" s="706">
        <v>169368.56</v>
      </c>
    </row>
    <row r="75" spans="1:3">
      <c r="A75" s="102" t="s">
        <v>88</v>
      </c>
      <c r="B75" s="706">
        <v>0</v>
      </c>
      <c r="C75" s="706">
        <v>0</v>
      </c>
    </row>
    <row r="76" spans="1:3">
      <c r="A76" s="709" t="s">
        <v>89</v>
      </c>
      <c r="B76" s="710">
        <f>SUM(B2:B75)</f>
        <v>11319018.800000001</v>
      </c>
      <c r="C76" s="710">
        <f>SUM(C2:C75)</f>
        <v>13763671.800000001</v>
      </c>
    </row>
    <row r="77" spans="1:3">
      <c r="A77" s="102"/>
    </row>
    <row r="78" spans="1:3">
      <c r="A78" s="705" t="s">
        <v>90</v>
      </c>
      <c r="B78">
        <v>52000</v>
      </c>
      <c r="C78">
        <v>260000</v>
      </c>
    </row>
    <row r="79" spans="1:3">
      <c r="A79" s="705" t="s">
        <v>91</v>
      </c>
      <c r="B79">
        <v>200000</v>
      </c>
      <c r="C79">
        <v>300000</v>
      </c>
    </row>
    <row r="80" spans="1:3">
      <c r="A80" s="705" t="s">
        <v>92</v>
      </c>
      <c r="B80">
        <v>156000</v>
      </c>
      <c r="C80">
        <v>156000</v>
      </c>
    </row>
    <row r="81" spans="1:3">
      <c r="A81" s="705" t="s">
        <v>93</v>
      </c>
      <c r="B81">
        <v>960000</v>
      </c>
      <c r="C81">
        <v>960000</v>
      </c>
    </row>
  </sheetData>
  <phoneticPr fontId="40" type="noConversion"/>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113" zoomScaleNormal="113" workbookViewId="0"/>
  </sheetViews>
  <sheetFormatPr defaultColWidth="9" defaultRowHeight="14.25"/>
  <sheetData/>
  <phoneticPr fontId="40"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I268"/>
  <sheetViews>
    <sheetView zoomScale="87" zoomScaleNormal="87" workbookViewId="0">
      <pane xSplit="9" ySplit="1" topLeftCell="J210" activePane="bottomRight" state="frozen"/>
      <selection pane="topRight"/>
      <selection pane="bottomLeft"/>
      <selection pane="bottomRight" activeCell="B237" sqref="B237"/>
    </sheetView>
  </sheetViews>
  <sheetFormatPr defaultColWidth="9" defaultRowHeight="14.25"/>
  <cols>
    <col min="1" max="1" width="11.625" style="631" customWidth="1"/>
    <col min="2" max="2" width="11.625" style="632" customWidth="1"/>
    <col min="3" max="3" width="17.125" style="633" customWidth="1"/>
    <col min="4" max="4" width="19.125" style="634" customWidth="1"/>
    <col min="5" max="5" width="19.625" style="634" customWidth="1"/>
    <col min="6" max="6" width="40.625" style="635" customWidth="1"/>
    <col min="7" max="7" width="31.125" style="635" customWidth="1"/>
    <col min="8" max="8" width="9.625" style="636" customWidth="1"/>
    <col min="9" max="9" width="10.375" style="632" customWidth="1"/>
    <col min="10" max="16384" width="9" style="632"/>
  </cols>
  <sheetData>
    <row r="1" spans="1:9" ht="15.75">
      <c r="A1" s="637" t="s">
        <v>94</v>
      </c>
      <c r="B1" s="638" t="s">
        <v>95</v>
      </c>
      <c r="C1" s="639" t="s">
        <v>96</v>
      </c>
      <c r="D1" s="640" t="s">
        <v>97</v>
      </c>
      <c r="E1" s="640" t="s">
        <v>98</v>
      </c>
      <c r="F1" s="638" t="s">
        <v>99</v>
      </c>
      <c r="G1" s="641" t="s">
        <v>100</v>
      </c>
      <c r="H1" s="642" t="s">
        <v>101</v>
      </c>
      <c r="I1" s="661" t="s">
        <v>102</v>
      </c>
    </row>
    <row r="2" spans="1:9" s="622" customFormat="1" ht="15.75" customHeight="1">
      <c r="A2" s="566" t="s">
        <v>103</v>
      </c>
      <c r="B2" s="643" t="s">
        <v>104</v>
      </c>
      <c r="C2" s="644">
        <v>12055.17</v>
      </c>
      <c r="D2" s="645">
        <f>SUMIF(A$2:A2,A2,C$2:C2)</f>
        <v>12055.17</v>
      </c>
      <c r="E2" s="646">
        <f>IF(VLOOKUP(A2,合同台帐!$A$4:$K$195,7,1)&gt;0,VLOOKUP(A2,合同台帐!$A$4:$K$195,7,1)-D2,VLOOKUP(A2,合同台帐!$A$4:$F$195,6,1)-D2)</f>
        <v>0</v>
      </c>
      <c r="F2" s="647" t="str">
        <f>VLOOKUP(A2,合同台帐!$A$4:$D$195,4,1)</f>
        <v>南郡蓝山核定用地图合同</v>
      </c>
      <c r="G2" s="647" t="str">
        <f>VLOOKUP(A2,合同台帐!$A$4:$E$195,5,1)</f>
        <v>天津市蓟县测绘队</v>
      </c>
      <c r="H2" s="648" t="s">
        <v>105</v>
      </c>
      <c r="I2" s="510" t="str">
        <f>IF(A2&lt;&gt;0,VLOOKUP(A2,合同台帐!$A$4:$C$893,3,0),"")</f>
        <v>前核地</v>
      </c>
    </row>
    <row r="3" spans="1:9" s="622" customFormat="1" ht="15.75" customHeight="1">
      <c r="A3" s="566" t="s">
        <v>106</v>
      </c>
      <c r="B3" s="643" t="s">
        <v>107</v>
      </c>
      <c r="C3" s="644">
        <v>44110</v>
      </c>
      <c r="D3" s="645">
        <f>SUMIF(A$2:A3,A3,C$2:C3)</f>
        <v>44110</v>
      </c>
      <c r="E3" s="646">
        <f>IF(VLOOKUP(A3,合同台帐!$A$4:$K$195,7,1)&gt;0,VLOOKUP(A3,合同台帐!$A$4:$K$195,7,1)-D3,VLOOKUP(A3,合同台帐!$A$4:$F$195,6,1)-D3)</f>
        <v>0</v>
      </c>
      <c r="F3" s="647" t="str">
        <f>VLOOKUP(A3,合同台帐!$A$4:$D$195,4,1)</f>
        <v>天津蓟县项目地形图测绘合同</v>
      </c>
      <c r="G3" s="647" t="str">
        <f>VLOOKUP(A3,合同台帐!$A$4:$E$195,5,1)</f>
        <v>天津市蓟县测绘队</v>
      </c>
      <c r="H3" s="648" t="s">
        <v>105</v>
      </c>
      <c r="I3" s="510" t="str">
        <f>IF(A3&lt;&gt;0,VLOOKUP(A3,合同台帐!$A$4:$C$893,3,0),"")</f>
        <v>前勘绘</v>
      </c>
    </row>
    <row r="4" spans="1:9" s="622" customFormat="1" ht="15.75" customHeight="1">
      <c r="A4" s="566" t="s">
        <v>108</v>
      </c>
      <c r="B4" s="649" t="s">
        <v>109</v>
      </c>
      <c r="C4" s="644">
        <v>102375</v>
      </c>
      <c r="D4" s="645">
        <f>SUMIF(A$2:A4,A4,C$2:C4)</f>
        <v>102375</v>
      </c>
      <c r="E4" s="646">
        <f>IF(VLOOKUP(A4,合同台帐!$A$4:$K$195,7,1)&gt;0,VLOOKUP(A4,合同台帐!$A$4:$K$195,7,1)-D4,VLOOKUP(A4,合同台帐!$A$4:$F$195,6,1)-D4)</f>
        <v>0</v>
      </c>
      <c r="F4" s="647" t="str">
        <f>VLOOKUP(A4,合同台帐!$A$4:$D$195,4,1)</f>
        <v>初勘合同</v>
      </c>
      <c r="G4" s="647" t="str">
        <f>VLOOKUP(A4,合同台帐!$A$4:$E$195,5,1)</f>
        <v>天津市勘察院</v>
      </c>
      <c r="H4" s="648" t="s">
        <v>105</v>
      </c>
      <c r="I4" s="510" t="str">
        <f>IF(A4&lt;&gt;0,VLOOKUP(A4,合同台帐!$A$4:$C$893,3,0),"")</f>
        <v>前勘勘</v>
      </c>
    </row>
    <row r="5" spans="1:9" s="622" customFormat="1" ht="15.75" customHeight="1">
      <c r="A5" s="566" t="s">
        <v>110</v>
      </c>
      <c r="B5" s="643" t="s">
        <v>111</v>
      </c>
      <c r="C5" s="644">
        <v>1408668</v>
      </c>
      <c r="D5" s="645">
        <f>SUMIF(A$2:A5,A5,C$2:C5)</f>
        <v>1408668</v>
      </c>
      <c r="E5" s="646">
        <f>IF(VLOOKUP(A5,合同台帐!$A$4:$K$195,7,1)&gt;0,VLOOKUP(A5,合同台帐!$A$4:$K$195,7,1)-D5,VLOOKUP(A5,合同台帐!$A$4:$F$195,6,1)-D5)</f>
        <v>6391332</v>
      </c>
      <c r="F5" s="647" t="str">
        <f>VLOOKUP(A5,合同台帐!$A$4:$D$195,4,1)</f>
        <v>建筑方案及施工图设计合同</v>
      </c>
      <c r="G5" s="647" t="str">
        <f>VLOOKUP(A5,合同台帐!$A$4:$E$195,5,1)</f>
        <v>北京新纪元建筑工程设计有限公司</v>
      </c>
      <c r="H5" s="648" t="s">
        <v>105</v>
      </c>
      <c r="I5" s="510" t="str">
        <f>IF(A5&lt;&gt;0,VLOOKUP(A5,合同台帐!$A$4:$C$893,3,0),"")</f>
        <v>前设设</v>
      </c>
    </row>
    <row r="6" spans="1:9" s="622" customFormat="1" ht="15.75" customHeight="1">
      <c r="A6" s="566" t="s">
        <v>110</v>
      </c>
      <c r="B6" s="649" t="s">
        <v>112</v>
      </c>
      <c r="C6" s="644">
        <v>640912</v>
      </c>
      <c r="D6" s="645">
        <f>SUMIF(A$2:A6,A6,C$2:C6)</f>
        <v>2049580</v>
      </c>
      <c r="E6" s="646">
        <f>IF(VLOOKUP(A6,合同台帐!$A$4:$K$195,7,1)&gt;0,VLOOKUP(A6,合同台帐!$A$4:$K$195,7,1)-D6,VLOOKUP(A6,合同台帐!$A$4:$F$195,6,1)-D6)</f>
        <v>5750420</v>
      </c>
      <c r="F6" s="647" t="str">
        <f>VLOOKUP(A6,合同台帐!$A$4:$D$195,4,1)</f>
        <v>建筑方案及施工图设计合同</v>
      </c>
      <c r="G6" s="647" t="str">
        <f>VLOOKUP(A6,合同台帐!$A$4:$E$195,5,1)</f>
        <v>北京新纪元建筑工程设计有限公司</v>
      </c>
      <c r="H6" s="648" t="s">
        <v>113</v>
      </c>
      <c r="I6" s="510" t="str">
        <f>IF(A6&lt;&gt;0,VLOOKUP(A6,合同台帐!$A$4:$C$893,3,0),"")</f>
        <v>前设设</v>
      </c>
    </row>
    <row r="7" spans="1:9" s="622" customFormat="1" ht="15.75" customHeight="1">
      <c r="A7" s="566" t="s">
        <v>110</v>
      </c>
      <c r="B7" s="650" t="s">
        <v>114</v>
      </c>
      <c r="C7" s="644">
        <v>680420</v>
      </c>
      <c r="D7" s="645">
        <f>SUMIF(A$2:A7,A7,C$2:C7)</f>
        <v>2730000</v>
      </c>
      <c r="E7" s="651">
        <f>IF(VLOOKUP(A7,合同台帐!$A$4:$K$195,7,1)&gt;0,VLOOKUP(A7,合同台帐!$A$4:$K$195,7,1)-D7,VLOOKUP(A7,合同台帐!$A$4:$F$195,6,1)-D7)</f>
        <v>5070000</v>
      </c>
      <c r="F7" s="652" t="str">
        <f>VLOOKUP(A7,合同台帐!$A$4:$D$195,4,1)</f>
        <v>建筑方案及施工图设计合同</v>
      </c>
      <c r="G7" s="647" t="str">
        <f>VLOOKUP(A7,合同台帐!$A$4:$E$195,5,1)</f>
        <v>北京新纪元建筑工程设计有限公司</v>
      </c>
      <c r="H7" s="648" t="s">
        <v>115</v>
      </c>
      <c r="I7" s="510" t="str">
        <f>IF(A7&lt;&gt;0,VLOOKUP(A7,合同台帐!$A$4:$C$893,3,0),"")</f>
        <v>前设设</v>
      </c>
    </row>
    <row r="8" spans="1:9" s="622" customFormat="1" ht="15.75" customHeight="1">
      <c r="A8" s="566" t="s">
        <v>116</v>
      </c>
      <c r="B8" s="643" t="s">
        <v>117</v>
      </c>
      <c r="C8" s="644">
        <v>82803400</v>
      </c>
      <c r="D8" s="645">
        <f>SUMIF(A$2:A8,A8,C$2:C8)</f>
        <v>82803400</v>
      </c>
      <c r="E8" s="646">
        <f>IF(VLOOKUP(A8,合同台帐!$A$4:$K$195,7,1)&gt;0,VLOOKUP(A8,合同台帐!$A$4:$K$195,7,1)-D8,VLOOKUP(A8,合同台帐!$A$4:$F$195,6,1)-D8)</f>
        <v>283296600</v>
      </c>
      <c r="F8" s="647" t="str">
        <f>VLOOKUP(A8,合同台帐!$A$4:$D$195,4,1)</f>
        <v>天津市国有建设用地使用权出让合同</v>
      </c>
      <c r="G8" s="647" t="str">
        <f>VLOOKUP(A8,合同台帐!$A$4:$E$195,5,1)</f>
        <v>天津市国土资源和房屋管理局蓟县国土资源分局</v>
      </c>
      <c r="H8" s="648" t="s">
        <v>105</v>
      </c>
      <c r="I8" s="510" t="str">
        <f>IF(A8&lt;&gt;0,VLOOKUP(A8,合同台帐!$A$4:$C$893,3,0),"")</f>
        <v>土土</v>
      </c>
    </row>
    <row r="9" spans="1:9" s="622" customFormat="1" ht="15.75" customHeight="1">
      <c r="A9" s="566" t="s">
        <v>116</v>
      </c>
      <c r="B9" s="643" t="s">
        <v>118</v>
      </c>
      <c r="C9" s="644">
        <v>100246890</v>
      </c>
      <c r="D9" s="645">
        <f>SUMIF(A$2:A9,A9,C$2:C9)</f>
        <v>183050290</v>
      </c>
      <c r="E9" s="646">
        <f>IF(VLOOKUP(A9,合同台帐!$A$4:$K$195,7,1)&gt;0,VLOOKUP(A9,合同台帐!$A$4:$K$195,7,1)-D9,VLOOKUP(A9,合同台帐!$A$4:$F$195,6,1)-D9)</f>
        <v>183049710</v>
      </c>
      <c r="F9" s="647" t="str">
        <f>VLOOKUP(A9,合同台帐!$A$4:$D$195,4,1)</f>
        <v>天津市国有建设用地使用权出让合同</v>
      </c>
      <c r="G9" s="647" t="str">
        <f>VLOOKUP(A9,合同台帐!$A$4:$E$195,5,1)</f>
        <v>天津市国土资源和房屋管理局蓟县国土资源分局</v>
      </c>
      <c r="H9" s="648" t="s">
        <v>113</v>
      </c>
      <c r="I9" s="510" t="str">
        <f>IF(A9&lt;&gt;0,VLOOKUP(A9,合同台帐!$A$4:$C$893,3,0),"")</f>
        <v>土土</v>
      </c>
    </row>
    <row r="10" spans="1:9" s="622" customFormat="1" ht="15.75" customHeight="1">
      <c r="A10" s="566" t="s">
        <v>116</v>
      </c>
      <c r="B10" s="643" t="s">
        <v>119</v>
      </c>
      <c r="C10" s="644">
        <v>183049710</v>
      </c>
      <c r="D10" s="645">
        <f>SUMIF(A$2:A10,A10,C$2:C10)</f>
        <v>366100000</v>
      </c>
      <c r="E10" s="646">
        <f>IF(VLOOKUP(A10,合同台帐!$A$4:$K$195,7,1)&gt;0,VLOOKUP(A10,合同台帐!$A$4:$K$195,7,1)-D10,VLOOKUP(A10,合同台帐!$A$4:$F$195,6,1)-D10)</f>
        <v>0</v>
      </c>
      <c r="F10" s="647" t="str">
        <f>VLOOKUP(A10,合同台帐!$A$4:$D$195,4,1)</f>
        <v>天津市国有建设用地使用权出让合同</v>
      </c>
      <c r="G10" s="647" t="str">
        <f>VLOOKUP(A10,合同台帐!$A$4:$E$195,5,1)</f>
        <v>天津市国土资源和房屋管理局蓟县国土资源分局</v>
      </c>
      <c r="H10" s="648" t="s">
        <v>115</v>
      </c>
      <c r="I10" s="510" t="str">
        <f>IF(A10&lt;&gt;0,VLOOKUP(A10,合同台帐!$A$4:$C$893,3,0),"")</f>
        <v>土土</v>
      </c>
    </row>
    <row r="11" spans="1:9" s="622" customFormat="1" ht="15.75" customHeight="1">
      <c r="A11" s="566" t="s">
        <v>120</v>
      </c>
      <c r="B11" s="643" t="s">
        <v>121</v>
      </c>
      <c r="C11" s="644">
        <v>366100</v>
      </c>
      <c r="D11" s="645">
        <f>SUMIF(A$2:A11,A11,C$2:C11)</f>
        <v>366100</v>
      </c>
      <c r="E11" s="646">
        <f>IF(VLOOKUP(A11,合同台帐!$A$4:$K$195,7,1)&gt;0,VLOOKUP(A11,合同台帐!$A$4:$K$195,7,1)-D11,VLOOKUP(A11,合同台帐!$A$4:$F$195,6,1)-D11)</f>
        <v>0</v>
      </c>
      <c r="F11" s="647" t="str">
        <f>VLOOKUP(A11,合同台帐!$A$4:$D$195,4,1)</f>
        <v>代理代办费（蓟县国土收取）</v>
      </c>
      <c r="G11" s="647" t="str">
        <f>VLOOKUP(A11,合同台帐!$A$4:$E$195,5,1)</f>
        <v>天津市国土资源和房屋管理局蓟县国土资源分局</v>
      </c>
      <c r="H11" s="648" t="s">
        <v>105</v>
      </c>
      <c r="I11" s="510" t="str">
        <f>IF(A11&lt;&gt;0,VLOOKUP(A11,合同台帐!$A$4:$C$893,3,0),"")</f>
        <v>土交</v>
      </c>
    </row>
    <row r="12" spans="1:9" s="622" customFormat="1" ht="15.75" customHeight="1">
      <c r="A12" s="566" t="s">
        <v>122</v>
      </c>
      <c r="B12" s="643" t="s">
        <v>123</v>
      </c>
      <c r="C12" s="644">
        <v>10000</v>
      </c>
      <c r="D12" s="645">
        <f>SUMIF(A$2:A12,A12,C$2:C12)</f>
        <v>10000</v>
      </c>
      <c r="E12" s="646">
        <f>IF(VLOOKUP(A12,合同台帐!$A$4:$K$195,7,1)&gt;0,VLOOKUP(A12,合同台帐!$A$4:$K$195,7,1)-D12,VLOOKUP(A12,合同台帐!$A$4:$F$195,6,1)-D12)</f>
        <v>0</v>
      </c>
      <c r="F12" s="647" t="str">
        <f>VLOOKUP(A12,合同台帐!$A$4:$D$195,4,1)</f>
        <v>国有土地使用权登记费</v>
      </c>
      <c r="G12" s="647" t="str">
        <f>VLOOKUP(A12,合同台帐!$A$4:$E$195,5,1)</f>
        <v>天津市蓟县地籍管理中心</v>
      </c>
      <c r="H12" s="648" t="s">
        <v>105</v>
      </c>
      <c r="I12" s="510" t="str">
        <f>IF(A12&lt;&gt;0,VLOOKUP(A12,合同台帐!$A$4:$C$893,3,0),"")</f>
        <v>土其</v>
      </c>
    </row>
    <row r="13" spans="1:9" s="622" customFormat="1" ht="15.75" customHeight="1">
      <c r="A13" s="566" t="s">
        <v>124</v>
      </c>
      <c r="B13" s="643" t="s">
        <v>117</v>
      </c>
      <c r="C13" s="644">
        <v>1464400</v>
      </c>
      <c r="D13" s="645">
        <f>SUMIF(A$2:A13,A13,C$2:C13)</f>
        <v>1464400</v>
      </c>
      <c r="E13" s="646">
        <f>IF(VLOOKUP(A13,合同台帐!$A$4:$K$195,7,1)&gt;0,VLOOKUP(A13,合同台帐!$A$4:$K$195,7,1)-D13,VLOOKUP(A13,合同台帐!$A$4:$F$195,6,1)-D13)</f>
        <v>0</v>
      </c>
      <c r="F13" s="647" t="str">
        <f>VLOOKUP(A13,合同台帐!$A$4:$D$195,4,1)</f>
        <v>土地交易代理代办费</v>
      </c>
      <c r="G13" s="647" t="str">
        <f>VLOOKUP(A13,合同台帐!$A$4:$E$195,5,1)</f>
        <v>天津市土地交易中心</v>
      </c>
      <c r="H13" s="648" t="s">
        <v>105</v>
      </c>
      <c r="I13" s="510" t="str">
        <f>IF(A13&lt;&gt;0,VLOOKUP(A13,合同台帐!$A$4:$C$893,3,0),"")</f>
        <v>土交</v>
      </c>
    </row>
    <row r="14" spans="1:9" s="622" customFormat="1" ht="15.75" customHeight="1">
      <c r="A14" s="566" t="s">
        <v>125</v>
      </c>
      <c r="B14" s="643" t="s">
        <v>117</v>
      </c>
      <c r="C14" s="644">
        <v>732200</v>
      </c>
      <c r="D14" s="645">
        <f>SUMIF(A$2:A14,A14,C$2:C14)</f>
        <v>732200</v>
      </c>
      <c r="E14" s="646">
        <f>IF(VLOOKUP(A14,合同台帐!$A$4:$K$195,7,1)&gt;0,VLOOKUP(A14,合同台帐!$A$4:$K$195,7,1)-D14,VLOOKUP(A14,合同台帐!$A$4:$F$195,6,1)-D14)</f>
        <v>0</v>
      </c>
      <c r="F14" s="647" t="str">
        <f>VLOOKUP(A14,合同台帐!$A$4:$D$195,4,1)</f>
        <v>土地交易手续费</v>
      </c>
      <c r="G14" s="647" t="str">
        <f>VLOOKUP(A14,合同台帐!$A$4:$E$195,5,1)</f>
        <v>天津市土地交易中心</v>
      </c>
      <c r="H14" s="648" t="s">
        <v>105</v>
      </c>
      <c r="I14" s="510" t="str">
        <f>IF(A14&lt;&gt;0,VLOOKUP(A14,合同台帐!$A$4:$C$893,3,0),"")</f>
        <v>土交</v>
      </c>
    </row>
    <row r="15" spans="1:9" s="622" customFormat="1" ht="15.75" customHeight="1">
      <c r="A15" s="566" t="s">
        <v>126</v>
      </c>
      <c r="B15" s="649" t="s">
        <v>127</v>
      </c>
      <c r="C15" s="644">
        <v>14644000</v>
      </c>
      <c r="D15" s="645">
        <f>SUMIF(A$2:A15,A15,C$2:C15)</f>
        <v>14644000</v>
      </c>
      <c r="E15" s="646">
        <f>IF(VLOOKUP(A15,合同台帐!$A$4:$K$195,7,1)&gt;0,VLOOKUP(A15,合同台帐!$A$4:$K$195,7,1)-D15,VLOOKUP(A15,合同台帐!$A$4:$F$195,6,1)-D15)</f>
        <v>0</v>
      </c>
      <c r="F15" s="647" t="str">
        <f>VLOOKUP(A15,合同台帐!$A$4:$D$195,4,1)</f>
        <v>土地拍卖佣金（蓟县063号）</v>
      </c>
      <c r="G15" s="647" t="str">
        <f>VLOOKUP(A15,合同台帐!$A$4:$E$195,5,1)</f>
        <v>宁波富地企业管理咨询服务有限公司</v>
      </c>
      <c r="H15" s="648" t="s">
        <v>105</v>
      </c>
      <c r="I15" s="510" t="str">
        <f>IF(A15&lt;&gt;0,VLOOKUP(A15,合同台帐!$A$4:$C$893,3,0),"")</f>
        <v>土拍</v>
      </c>
    </row>
    <row r="16" spans="1:9" s="622" customFormat="1" ht="21.75" customHeight="1">
      <c r="A16" s="566" t="s">
        <v>128</v>
      </c>
      <c r="B16" s="649" t="s">
        <v>129</v>
      </c>
      <c r="C16" s="644">
        <v>12600</v>
      </c>
      <c r="D16" s="645">
        <f>SUMIF(A$2:A16,A16,C$2:C16)</f>
        <v>12600</v>
      </c>
      <c r="E16" s="646">
        <f>IF(VLOOKUP(A16,合同台帐!$A$4:$K$195,7,1)&gt;0,VLOOKUP(A16,合同台帐!$A$4:$K$195,7,1)-D16,VLOOKUP(A16,合同台帐!$A$4:$F$195,6,1)-D16)</f>
        <v>0</v>
      </c>
      <c r="F16" s="647" t="str">
        <f>VLOOKUP(A16,合同台帐!$A$4:$D$195,4,1)</f>
        <v>管线实测费（买图）</v>
      </c>
      <c r="G16" s="647" t="str">
        <f>VLOOKUP(A16,合同台帐!$A$4:$E$195,5,1)</f>
        <v>天津市蓟县地下空间规划信息中心</v>
      </c>
      <c r="H16" s="648" t="s">
        <v>105</v>
      </c>
      <c r="I16" s="510" t="str">
        <f>IF(A16&lt;&gt;0,VLOOKUP(A16,合同台帐!$A$4:$C$893,3,0),"")</f>
        <v>前勘绘</v>
      </c>
    </row>
    <row r="17" spans="1:9" s="622" customFormat="1" ht="15.75" customHeight="1">
      <c r="A17" s="566" t="s">
        <v>130</v>
      </c>
      <c r="B17" s="649" t="s">
        <v>129</v>
      </c>
      <c r="C17" s="644">
        <v>61713</v>
      </c>
      <c r="D17" s="645">
        <f>SUMIF(A$2:A17,A17,C$2:C17)</f>
        <v>61713</v>
      </c>
      <c r="E17" s="646">
        <f>IF(VLOOKUP(A17,合同台帐!$A$4:$K$195,7,1)&gt;0,VLOOKUP(A17,合同台帐!$A$4:$K$195,7,1)-D17,VLOOKUP(A17,合同台帐!$A$4:$F$195,6,1)-D17)</f>
        <v>0</v>
      </c>
      <c r="F17" s="647" t="str">
        <f>VLOOKUP(A17,合同台帐!$A$4:$D$195,4,1)</f>
        <v>管线实测费</v>
      </c>
      <c r="G17" s="647" t="str">
        <f>VLOOKUP(A17,合同台帐!$A$4:$E$195,5,1)</f>
        <v>天津市蓟县测绘队</v>
      </c>
      <c r="H17" s="648" t="s">
        <v>105</v>
      </c>
      <c r="I17" s="510" t="str">
        <f>IF(A17&lt;&gt;0,VLOOKUP(A17,合同台帐!$A$4:$C$893,3,0),"")</f>
        <v>前勘绘</v>
      </c>
    </row>
    <row r="18" spans="1:9" s="622" customFormat="1" ht="15.75" customHeight="1">
      <c r="A18" s="566" t="s">
        <v>131</v>
      </c>
      <c r="B18" s="649" t="s">
        <v>132</v>
      </c>
      <c r="C18" s="644">
        <v>1656038.3999999999</v>
      </c>
      <c r="D18" s="645">
        <f>SUMIF(A$2:A18,A18,C$2:C18)</f>
        <v>1656038.3999999999</v>
      </c>
      <c r="E18" s="646">
        <f>IF(VLOOKUP(A18,合同台帐!$A$4:$K$195,7,1)&gt;0,VLOOKUP(A18,合同台帐!$A$4:$K$195,7,1)-D18,VLOOKUP(A18,合同台帐!$A$4:$F$195,6,1)-D18)</f>
        <v>6624153.5999999996</v>
      </c>
      <c r="F18" s="647" t="str">
        <f>VLOOKUP(A18,合同台帐!$A$4:$D$195,4,1)</f>
        <v>蓟县苗木采购与种植养护工程施工合同</v>
      </c>
      <c r="G18" s="647" t="str">
        <f>VLOOKUP(A18,合同台帐!$A$4:$E$195,5,1)</f>
        <v>天津市静海县泽森苗圃</v>
      </c>
      <c r="H18" s="648" t="s">
        <v>105</v>
      </c>
      <c r="I18" s="510" t="str">
        <f>IF(A18&lt;&gt;0,VLOOKUP(A18,合同台帐!$A$4:$C$893,3,0),"")</f>
        <v>建环内</v>
      </c>
    </row>
    <row r="19" spans="1:9" s="622" customFormat="1" ht="15.75" customHeight="1">
      <c r="A19" s="566" t="s">
        <v>131</v>
      </c>
      <c r="B19" s="650" t="s">
        <v>133</v>
      </c>
      <c r="C19" s="644">
        <v>1656038.3999999999</v>
      </c>
      <c r="D19" s="645">
        <f>SUMIF(A$2:A19,A19,C$2:C19)</f>
        <v>3312076.7999999998</v>
      </c>
      <c r="E19" s="651">
        <f>IF(VLOOKUP(A19,合同台帐!$A$4:$K$195,7,1)&gt;0,VLOOKUP(A19,合同台帐!$A$4:$K$195,7,1)-D19,VLOOKUP(A19,合同台帐!$A$4:$F$195,6,1)-D19)</f>
        <v>4968115.2</v>
      </c>
      <c r="F19" s="652" t="str">
        <f>VLOOKUP(A19,合同台帐!$A$4:$D$195,4,1)</f>
        <v>蓟县苗木采购与种植养护工程施工合同</v>
      </c>
      <c r="G19" s="647" t="str">
        <f>VLOOKUP(A19,合同台帐!$A$4:$E$195,5,1)</f>
        <v>天津市静海县泽森苗圃</v>
      </c>
      <c r="H19" s="648" t="s">
        <v>113</v>
      </c>
      <c r="I19" s="510" t="str">
        <f>IF(A19&lt;&gt;0,VLOOKUP(A19,合同台帐!$A$4:$C$893,3,0),"")</f>
        <v>建环内</v>
      </c>
    </row>
    <row r="20" spans="1:9" s="504" customFormat="1" ht="15.75" customHeight="1">
      <c r="A20" s="566" t="s">
        <v>134</v>
      </c>
      <c r="B20" s="649" t="s">
        <v>135</v>
      </c>
      <c r="C20" s="644">
        <v>1000</v>
      </c>
      <c r="D20" s="645">
        <f>SUMIF(A$2:A20,A20,C$2:C20)</f>
        <v>1000</v>
      </c>
      <c r="E20" s="646">
        <f>IF(VLOOKUP(A20,合同台帐!$A$4:$K$195,7,1)&gt;0,VLOOKUP(A20,合同台帐!$A$4:$K$195,7,1)-D20,VLOOKUP(A20,合同台帐!$A$4:$F$195,6,1)-D20)</f>
        <v>0</v>
      </c>
      <c r="F20" s="647" t="str">
        <f>VLOOKUP(A20,合同台帐!$A$4:$D$195,4,1)</f>
        <v>图纸打印</v>
      </c>
      <c r="G20" s="647" t="str">
        <f>VLOOKUP(A20,合同台帐!$A$4:$E$195,5,1)</f>
        <v>王为</v>
      </c>
      <c r="H20" s="648" t="s">
        <v>105</v>
      </c>
      <c r="I20" s="510" t="str">
        <f>IF(A20&lt;&gt;0,VLOOKUP(A20,合同台帐!$A$4:$C$893,3,0),"")</f>
        <v>前设图</v>
      </c>
    </row>
    <row r="21" spans="1:9" s="504" customFormat="1" ht="15.75" customHeight="1">
      <c r="A21" s="566" t="s">
        <v>136</v>
      </c>
      <c r="B21" s="650" t="s">
        <v>137</v>
      </c>
      <c r="C21" s="644">
        <v>1500000</v>
      </c>
      <c r="D21" s="645">
        <f>SUMIF(A$2:A21,A21,C$2:C21)</f>
        <v>1500000</v>
      </c>
      <c r="E21" s="651">
        <f>IF(VLOOKUP(A21,合同台帐!$A$4:$K$195,7,1)&gt;0,VLOOKUP(A21,合同台帐!$A$4:$K$195,7,1)-D21,VLOOKUP(A21,合同台帐!$A$4:$F$195,6,1)-D21)</f>
        <v>5250000</v>
      </c>
      <c r="F21" s="652" t="str">
        <f>VLOOKUP(A21,合同台帐!$A$4:$D$195,4,1)</f>
        <v>场地平整</v>
      </c>
      <c r="G21" s="647" t="str">
        <f>VLOOKUP(A21,合同台帐!$A$4:$E$195,5,1)</f>
        <v>天津市蓟县振东建筑有限责任公司</v>
      </c>
      <c r="H21" s="648" t="s">
        <v>105</v>
      </c>
      <c r="I21" s="510" t="str">
        <f>IF(A21&lt;&gt;0,VLOOKUP(A21,合同台帐!$A$4:$C$893,3,0),"")</f>
        <v>前临土</v>
      </c>
    </row>
    <row r="22" spans="1:9" s="504" customFormat="1" ht="15.75" customHeight="1">
      <c r="A22" s="566" t="s">
        <v>138</v>
      </c>
      <c r="B22" s="649" t="s">
        <v>109</v>
      </c>
      <c r="C22" s="644">
        <v>11967564.17</v>
      </c>
      <c r="D22" s="645">
        <f>SUMIF(A$2:A22,A22,C$2:C22)</f>
        <v>11967564.17</v>
      </c>
      <c r="E22" s="646">
        <f>IF(VLOOKUP(A22,合同台帐!$A$4:$K$195,7,1)&gt;0,VLOOKUP(A22,合同台帐!$A$4:$K$195,7,1)-D22,VLOOKUP(A22,合同台帐!$A$4:$F$195,6,1)-D22)</f>
        <v>0</v>
      </c>
      <c r="F22" s="647" t="str">
        <f>VLOOKUP(A22,合同台帐!$A$4:$D$195,4,1)</f>
        <v>土地契税</v>
      </c>
      <c r="G22" s="647" t="str">
        <f>VLOOKUP(A22,合同台帐!$A$4:$E$195,5,1)</f>
        <v>蓟县国土资源分局</v>
      </c>
      <c r="H22" s="648" t="s">
        <v>105</v>
      </c>
      <c r="I22" s="510" t="str">
        <f>IF(A22&lt;&gt;0,VLOOKUP(A22,合同台帐!$A$4:$C$893,3,0),"")</f>
        <v>土契</v>
      </c>
    </row>
    <row r="23" spans="1:9" s="504" customFormat="1" ht="15.75" customHeight="1">
      <c r="A23" s="566" t="s">
        <v>139</v>
      </c>
      <c r="B23" s="650" t="s">
        <v>140</v>
      </c>
      <c r="C23" s="644">
        <v>320</v>
      </c>
      <c r="D23" s="645">
        <f>SUMIF(A$2:A23,A23,C$2:C23)</f>
        <v>320</v>
      </c>
      <c r="E23" s="651">
        <f>IF(VLOOKUP(A23,合同台帐!$A$4:$K$195,7,1)&gt;0,VLOOKUP(A23,合同台帐!$A$4:$K$195,7,1)-D23,VLOOKUP(A23,合同台帐!$A$4:$F$195,6,1)-D23)</f>
        <v>0</v>
      </c>
      <c r="F23" s="652" t="str">
        <f>VLOOKUP(A23,合同台帐!$A$4:$D$195,4,1)</f>
        <v>技术服务费《2014年造价信息参考》</v>
      </c>
      <c r="G23" s="647" t="str">
        <f>VLOOKUP(A23,合同台帐!$A$4:$E$195,5,1)</f>
        <v>天津市建设工程造价信息中心</v>
      </c>
      <c r="H23" s="648" t="s">
        <v>105</v>
      </c>
      <c r="I23" s="510" t="str">
        <f>IF(A23&lt;&gt;0,VLOOKUP(A23,合同台帐!$A$4:$C$893,3,0),"")</f>
        <v>前其他</v>
      </c>
    </row>
    <row r="24" spans="1:9" s="504" customFormat="1" ht="15.75" customHeight="1">
      <c r="A24" s="566" t="s">
        <v>141</v>
      </c>
      <c r="B24" s="650" t="s">
        <v>140</v>
      </c>
      <c r="C24" s="644">
        <v>840</v>
      </c>
      <c r="D24" s="645">
        <f>SUMIF(A$2:A24,A24,C$2:C24)</f>
        <v>840</v>
      </c>
      <c r="E24" s="651">
        <f>IF(VLOOKUP(A24,合同台帐!$A$4:$K$195,7,1)&gt;0,VLOOKUP(A24,合同台帐!$A$4:$K$195,7,1)-D24,VLOOKUP(A24,合同台帐!$A$4:$F$195,6,1)-D24)</f>
        <v>0</v>
      </c>
      <c r="F24" s="652" t="str">
        <f>VLOOKUP(A24,合同台帐!$A$4:$D$195,4,1)</f>
        <v>技术咨询费《2014年工程造价信息》</v>
      </c>
      <c r="G24" s="647" t="str">
        <f>VLOOKUP(A24,合同台帐!$A$4:$E$195,5,1)</f>
        <v>天津市建设工程造价和招标管理协会</v>
      </c>
      <c r="H24" s="648" t="s">
        <v>105</v>
      </c>
      <c r="I24" s="510" t="str">
        <f>IF(A24&lt;&gt;0,VLOOKUP(A24,合同台帐!$A$4:$C$893,3,0),"")</f>
        <v>前其他</v>
      </c>
    </row>
    <row r="25" spans="1:9" s="504" customFormat="1" ht="15.75" customHeight="1">
      <c r="A25" s="566" t="s">
        <v>142</v>
      </c>
      <c r="B25" s="650" t="s">
        <v>140</v>
      </c>
      <c r="C25" s="644">
        <v>390</v>
      </c>
      <c r="D25" s="645">
        <f>SUMIF(A$2:A25,A25,C$2:C25)</f>
        <v>390</v>
      </c>
      <c r="E25" s="651">
        <f>IF(VLOOKUP(A25,合同台帐!$A$4:$K$195,7,1)&gt;0,VLOOKUP(A25,合同台帐!$A$4:$K$195,7,1)-D25,VLOOKUP(A25,合同台帐!$A$4:$F$195,6,1)-D25)</f>
        <v>0</v>
      </c>
      <c r="F25" s="652" t="str">
        <f>VLOOKUP(A25,合同台帐!$A$4:$D$195,4,1)</f>
        <v>彩色打印效果图39张</v>
      </c>
      <c r="G25" s="647" t="str">
        <f>VLOOKUP(A25,合同台帐!$A$4:$E$195,5,1)</f>
        <v>天津市蓟县东方打印室</v>
      </c>
      <c r="H25" s="648" t="s">
        <v>105</v>
      </c>
      <c r="I25" s="510" t="str">
        <f>IF(A25&lt;&gt;0,VLOOKUP(A25,合同台帐!$A$4:$C$893,3,0),"")</f>
        <v>前设图</v>
      </c>
    </row>
    <row r="26" spans="1:9" s="504" customFormat="1" ht="15.75" customHeight="1">
      <c r="A26" s="566" t="s">
        <v>143</v>
      </c>
      <c r="B26" s="650" t="s">
        <v>140</v>
      </c>
      <c r="C26" s="644">
        <v>1000</v>
      </c>
      <c r="D26" s="645">
        <f>SUMIF(A$2:A26,A26,C$2:C26)</f>
        <v>1000</v>
      </c>
      <c r="E26" s="651">
        <f>IF(VLOOKUP(A26,合同台帐!$A$4:$K$195,7,1)&gt;0,VLOOKUP(A26,合同台帐!$A$4:$K$195,7,1)-D26,VLOOKUP(A26,合同台帐!$A$4:$F$195,6,1)-D26)</f>
        <v>0</v>
      </c>
      <c r="F26" s="652" t="str">
        <f>VLOOKUP(A26,合同台帐!$A$4:$D$195,4,1)</f>
        <v>图纸打印</v>
      </c>
      <c r="G26" s="647" t="str">
        <f>VLOOKUP(A26,合同台帐!$A$4:$E$195,5,1)</f>
        <v>天津富多彩数码快印有限公司</v>
      </c>
      <c r="H26" s="648" t="s">
        <v>105</v>
      </c>
      <c r="I26" s="510" t="str">
        <f>IF(A26&lt;&gt;0,VLOOKUP(A26,合同台帐!$A$4:$C$893,3,0),"")</f>
        <v>前设图</v>
      </c>
    </row>
    <row r="27" spans="1:9" ht="15.75" customHeight="1">
      <c r="A27" s="653" t="s">
        <v>136</v>
      </c>
      <c r="B27" s="650" t="s">
        <v>144</v>
      </c>
      <c r="C27" s="654">
        <v>1000000</v>
      </c>
      <c r="D27" s="645">
        <f>SUMIF(A$2:A27,A27,C$2:C27)</f>
        <v>2500000</v>
      </c>
      <c r="E27" s="651">
        <f>IF(VLOOKUP(A27,合同台帐!$A$4:$K$195,7,1)&gt;0,VLOOKUP(A27,合同台帐!$A$4:$K$195,7,1)-D27,VLOOKUP(A27,合同台帐!$A$4:$F$195,6,1)-D27)</f>
        <v>4250000</v>
      </c>
      <c r="F27" s="652" t="str">
        <f>VLOOKUP(A27,合同台帐!$A$4:$D$195,4,1)</f>
        <v>场地平整</v>
      </c>
      <c r="G27" s="652" t="str">
        <f>VLOOKUP(A27,合同台帐!$A$4:$E$195,5,1)</f>
        <v>天津市蓟县振东建筑有限责任公司</v>
      </c>
      <c r="H27" s="648" t="s">
        <v>113</v>
      </c>
      <c r="I27" s="510" t="str">
        <f>IF(A27&lt;&gt;0,VLOOKUP(A27,合同台帐!$A$4:$C$893,3,0),"")</f>
        <v>前临土</v>
      </c>
    </row>
    <row r="28" spans="1:9" ht="15.75" customHeight="1">
      <c r="A28" s="653" t="s">
        <v>145</v>
      </c>
      <c r="B28" s="650" t="s">
        <v>146</v>
      </c>
      <c r="C28" s="654">
        <v>0</v>
      </c>
      <c r="D28" s="645">
        <f>SUMIF(A$2:A28,A28,C$2:C28)</f>
        <v>0</v>
      </c>
      <c r="E28" s="651">
        <f>IF(VLOOKUP(A28,合同台帐!$A$4:$K$195,7,1)&gt;0,VLOOKUP(A28,合同台帐!$A$4:$K$195,7,1)-D28,VLOOKUP(A28,合同台帐!$A$4:$F$195,6,1)-D28)</f>
        <v>0</v>
      </c>
      <c r="F28" s="652" t="str">
        <f>VLOOKUP(A28,合同台帐!$A$4:$D$195,4,1)</f>
        <v>模型制作合同</v>
      </c>
      <c r="G28" s="652" t="str">
        <f>VLOOKUP(A28,合同台帐!$A$4:$E$195,5,1)</f>
        <v>北京恩思轩宇模型科技有限公司</v>
      </c>
      <c r="H28" s="648" t="s">
        <v>105</v>
      </c>
      <c r="I28" s="510" t="str">
        <f>IF(A28&lt;&gt;0,VLOOKUP(A28,合同台帐!$A$4:$C$893,3,0),"")</f>
        <v>前其他</v>
      </c>
    </row>
    <row r="29" spans="1:9" ht="15.75" customHeight="1">
      <c r="A29" s="653" t="s">
        <v>147</v>
      </c>
      <c r="B29" s="650" t="s">
        <v>148</v>
      </c>
      <c r="C29" s="654">
        <v>420</v>
      </c>
      <c r="D29" s="645">
        <f>SUMIF(A$2:A29,A29,C$2:C29)</f>
        <v>420</v>
      </c>
      <c r="E29" s="651">
        <f>IF(VLOOKUP(A29,合同台帐!$A$4:$K$195,7,1)&gt;0,VLOOKUP(A29,合同台帐!$A$4:$K$195,7,1)-D29,VLOOKUP(A29,合同台帐!$A$4:$F$195,6,1)-D29)</f>
        <v>3265</v>
      </c>
      <c r="F29" s="652" t="str">
        <f>VLOOKUP(A29,合同台帐!$A$4:$D$195,4,1)</f>
        <v>图纸打印</v>
      </c>
      <c r="G29" s="652">
        <f>VLOOKUP(A29,合同台帐!$A$4:$E$195,5,1)</f>
        <v>0</v>
      </c>
      <c r="H29" s="648"/>
      <c r="I29" s="510" t="str">
        <f>IF(A29&lt;&gt;0,VLOOKUP(A29,合同台帐!$A$4:$C$893,3,0),"")</f>
        <v>前设图</v>
      </c>
    </row>
    <row r="30" spans="1:9" ht="15.75" customHeight="1">
      <c r="A30" s="653" t="s">
        <v>136</v>
      </c>
      <c r="B30" s="650" t="s">
        <v>149</v>
      </c>
      <c r="C30" s="654">
        <v>900000</v>
      </c>
      <c r="D30" s="645">
        <f>SUMIF(A$2:A30,A30,C$2:C30)</f>
        <v>3400000</v>
      </c>
      <c r="E30" s="651">
        <f>IF(VLOOKUP(A30,合同台帐!$A$4:$K$195,7,1)&gt;0,VLOOKUP(A30,合同台帐!$A$4:$K$195,7,1)-D30,VLOOKUP(A30,合同台帐!$A$4:$F$195,6,1)-D30)</f>
        <v>3350000</v>
      </c>
      <c r="F30" s="652" t="str">
        <f>VLOOKUP(A30,合同台帐!$A$4:$D$195,4,1)</f>
        <v>场地平整</v>
      </c>
      <c r="G30" s="652" t="str">
        <f>VLOOKUP(A30,合同台帐!$A$4:$E$195,5,1)</f>
        <v>天津市蓟县振东建筑有限责任公司</v>
      </c>
      <c r="H30" s="648" t="s">
        <v>115</v>
      </c>
      <c r="I30" s="510" t="str">
        <f>IF(A30&lt;&gt;0,VLOOKUP(A30,合同台帐!$A$4:$C$893,3,0),"")</f>
        <v>前临土</v>
      </c>
    </row>
    <row r="31" spans="1:9" s="623" customFormat="1" ht="15.75" customHeight="1">
      <c r="A31" s="655" t="s">
        <v>150</v>
      </c>
      <c r="B31" s="656" t="s">
        <v>151</v>
      </c>
      <c r="C31" s="576">
        <v>309000</v>
      </c>
      <c r="D31" s="657">
        <f>SUMIF(A$2:A31,A31,C$2:C31)</f>
        <v>309000</v>
      </c>
      <c r="E31" s="658">
        <f>IF(VLOOKUP(A31,合同台帐!$A$4:$K$195,7,1)&gt;0,VLOOKUP(A31,合同台帐!$A$4:$K$195,7,1)-D31,VLOOKUP(A31,合同台帐!$A$4:$F$195,6,1)-D31)</f>
        <v>721000</v>
      </c>
      <c r="F31" s="659" t="str">
        <f>VLOOKUP(A31,合同台帐!$A$4:$D$195,4,1)</f>
        <v>建设工程勘察合同(详勘）</v>
      </c>
      <c r="G31" s="659" t="str">
        <f>VLOOKUP(A31,合同台帐!$A$4:$E$195,5,1)</f>
        <v>天津华北工程勘察设计有限公司</v>
      </c>
      <c r="H31" s="660" t="s">
        <v>105</v>
      </c>
      <c r="I31" s="522" t="str">
        <f>IF(A31&lt;&gt;0,VLOOKUP(A31,合同台帐!$A$4:$C$893,3,0),"")</f>
        <v>前勘勘</v>
      </c>
    </row>
    <row r="32" spans="1:9" s="623" customFormat="1" ht="15.75" customHeight="1">
      <c r="A32" s="655" t="s">
        <v>152</v>
      </c>
      <c r="B32" s="656" t="s">
        <v>153</v>
      </c>
      <c r="C32" s="576">
        <v>601303.5</v>
      </c>
      <c r="D32" s="657">
        <f>SUMIF(A$2:A32,A32,C$2:C32)</f>
        <v>601303.5</v>
      </c>
      <c r="E32" s="658">
        <f>IF(VLOOKUP(A32,合同台帐!$A$4:$K$195,7,1)&gt;0,VLOOKUP(A32,合同台帐!$A$4:$K$195,7,1)-D32,VLOOKUP(A32,合同台帐!$A$4:$F$195,6,1)-D32)</f>
        <v>5411731.5</v>
      </c>
      <c r="F32" s="659" t="str">
        <f>VLOOKUP(A32,合同台帐!$A$4:$D$195,4,1)</f>
        <v>一期电力配套费</v>
      </c>
      <c r="G32" s="659" t="str">
        <f>VLOOKUP(A32,合同台帐!$A$4:$E$195,5,1)</f>
        <v>天津市电力公司蓟县分公司</v>
      </c>
      <c r="H32" s="660" t="s">
        <v>105</v>
      </c>
      <c r="I32" s="522" t="str">
        <f>IF(A32&lt;&gt;0,VLOOKUP(A32,合同台帐!$A$4:$C$893,3,0),"")</f>
        <v>基电工</v>
      </c>
    </row>
    <row r="33" spans="1:9" s="623" customFormat="1" ht="15.75" customHeight="1">
      <c r="A33" s="655" t="s">
        <v>152</v>
      </c>
      <c r="B33" s="656" t="s">
        <v>154</v>
      </c>
      <c r="C33" s="576">
        <v>2405214</v>
      </c>
      <c r="D33" s="657">
        <f>SUMIF(A$2:A33,A33,C$2:C33)</f>
        <v>3006517.5</v>
      </c>
      <c r="E33" s="658">
        <f>IF(VLOOKUP(A33,合同台帐!$A$4:$K$195,7,1)&gt;0,VLOOKUP(A33,合同台帐!$A$4:$K$195,7,1)-D33,VLOOKUP(A33,合同台帐!$A$4:$F$195,6,1)-D33)</f>
        <v>3006517.5</v>
      </c>
      <c r="F33" s="659" t="str">
        <f>VLOOKUP(A33,合同台帐!$A$4:$D$195,4,1)</f>
        <v>一期电力配套费</v>
      </c>
      <c r="G33" s="659" t="str">
        <f>VLOOKUP(A33,合同台帐!$A$4:$E$195,5,1)</f>
        <v>天津市电力公司蓟县分公司</v>
      </c>
      <c r="H33" s="660" t="s">
        <v>113</v>
      </c>
      <c r="I33" s="522" t="str">
        <f>IF(A33&lt;&gt;0,VLOOKUP(A33,合同台帐!$A$4:$C$893,3,0),"")</f>
        <v>基电工</v>
      </c>
    </row>
    <row r="34" spans="1:9" s="623" customFormat="1" ht="15.75" customHeight="1">
      <c r="A34" s="655" t="s">
        <v>155</v>
      </c>
      <c r="B34" s="656" t="s">
        <v>156</v>
      </c>
      <c r="C34" s="576">
        <v>536715</v>
      </c>
      <c r="D34" s="657">
        <f>SUMIF(A$2:A34,A34,C$2:C34)</f>
        <v>536715</v>
      </c>
      <c r="E34" s="658">
        <f>IF(VLOOKUP(A34,合同台帐!$A$4:$K$195,7,1)&gt;0,VLOOKUP(A34,合同台帐!$A$4:$K$195,7,1)-D34,VLOOKUP(A34,合同台帐!$A$4:$F$195,6,1)-D34)</f>
        <v>2146860</v>
      </c>
      <c r="F34" s="659" t="str">
        <f>VLOOKUP(A34,合同台帐!$A$4:$D$195,4,1)</f>
        <v>景观设计合同</v>
      </c>
      <c r="G34" s="659" t="str">
        <f>VLOOKUP(A34,合同台帐!$A$4:$E$195,5,1)</f>
        <v>天津宏石筑景景观设计有限公司（更名为：砂樘（天津）城市设计有限公司）</v>
      </c>
      <c r="H34" s="660" t="s">
        <v>105</v>
      </c>
      <c r="I34" s="522" t="str">
        <f>IF(A34&lt;&gt;0,VLOOKUP(A34,合同台帐!$A$4:$C$893,3,0),"")</f>
        <v>前设景</v>
      </c>
    </row>
    <row r="35" spans="1:9" s="623" customFormat="1" ht="15.75" customHeight="1">
      <c r="A35" s="655" t="s">
        <v>147</v>
      </c>
      <c r="B35" s="656" t="s">
        <v>154</v>
      </c>
      <c r="C35" s="576">
        <v>2035</v>
      </c>
      <c r="D35" s="657">
        <v>2455</v>
      </c>
      <c r="E35" s="658">
        <f>IF(VLOOKUP(A35,合同台帐!$A$4:$K$195,7,1)&gt;0,VLOOKUP(A35,合同台帐!$A$4:$K$195,7,1)-D35,VLOOKUP(A35,合同台帐!$A$4:$F$195,6,1)-D35)</f>
        <v>1230</v>
      </c>
      <c r="F35" s="659" t="str">
        <f>VLOOKUP(A35,合同台帐!$A$4:$D$195,4,1)</f>
        <v>图纸打印</v>
      </c>
      <c r="G35" s="659">
        <f>VLOOKUP(A35,合同台帐!$A$4:$E$195,5,1)</f>
        <v>0</v>
      </c>
      <c r="H35" s="660" t="s">
        <v>113</v>
      </c>
      <c r="I35" s="522" t="str">
        <f>IF(A35&lt;&gt;0,VLOOKUP(A35,合同台帐!$A$4:$C$893,3,0),"")</f>
        <v>前设图</v>
      </c>
    </row>
    <row r="36" spans="1:9" s="623" customFormat="1" ht="15.75" customHeight="1">
      <c r="A36" s="655" t="s">
        <v>110</v>
      </c>
      <c r="B36" s="656" t="s">
        <v>157</v>
      </c>
      <c r="C36" s="576">
        <v>390000</v>
      </c>
      <c r="D36" s="657">
        <f>SUMIF(A$2:A36,A36,C$2:C36)</f>
        <v>3120000</v>
      </c>
      <c r="E36" s="658">
        <f>IF(VLOOKUP(A36,合同台帐!$A$4:$K$195,7,1)&gt;0,VLOOKUP(A36,合同台帐!$A$4:$K$195,7,1)-D36,VLOOKUP(A36,合同台帐!$A$4:$F$195,6,1)-D36)</f>
        <v>4680000</v>
      </c>
      <c r="F36" s="659" t="str">
        <f>VLOOKUP(A36,合同台帐!$A$4:$D$195,4,1)</f>
        <v>建筑方案及施工图设计合同</v>
      </c>
      <c r="G36" s="659" t="str">
        <f>VLOOKUP(A36,合同台帐!$A$4:$E$195,5,1)</f>
        <v>北京新纪元建筑工程设计有限公司</v>
      </c>
      <c r="H36" s="660" t="s">
        <v>158</v>
      </c>
      <c r="I36" s="522" t="str">
        <f>IF(A36&lt;&gt;0,VLOOKUP(A36,合同台帐!$A$4:$C$893,3,0),"")</f>
        <v>前设设</v>
      </c>
    </row>
    <row r="37" spans="1:9" s="623" customFormat="1" ht="15.75" customHeight="1">
      <c r="A37" s="655" t="s">
        <v>159</v>
      </c>
      <c r="B37" s="656" t="s">
        <v>157</v>
      </c>
      <c r="C37" s="576">
        <v>89550</v>
      </c>
      <c r="D37" s="657">
        <f>SUMIF(A$2:A37,A37,C$2:C37)</f>
        <v>89550</v>
      </c>
      <c r="E37" s="658">
        <f>IF(VLOOKUP(A37,合同台帐!$A$4:$K$195,7,1)&gt;0,VLOOKUP(A37,合同台帐!$A$4:$K$195,7,1)-D37,VLOOKUP(A37,合同台帐!$A$4:$F$195,6,1)-D37)</f>
        <v>360130</v>
      </c>
      <c r="F37" s="659" t="str">
        <f>VLOOKUP(A37,合同台帐!$A$4:$D$195,4,1)</f>
        <v>地库及人防设计合同</v>
      </c>
      <c r="G37" s="659" t="str">
        <f>VLOOKUP(A37,合同台帐!$A$4:$E$195,5,1)</f>
        <v>天津冶金规划设计院</v>
      </c>
      <c r="H37" s="660" t="s">
        <v>105</v>
      </c>
      <c r="I37" s="522" t="str">
        <f>IF(A37&lt;&gt;0,VLOOKUP(A37,合同台帐!$A$4:$C$893,3,0),"")</f>
        <v>前设其</v>
      </c>
    </row>
    <row r="38" spans="1:9" s="623" customFormat="1" ht="15.75" customHeight="1">
      <c r="A38" s="655" t="s">
        <v>160</v>
      </c>
      <c r="B38" s="656" t="s">
        <v>161</v>
      </c>
      <c r="C38" s="576">
        <v>20285</v>
      </c>
      <c r="D38" s="657">
        <f>SUMIF(A$2:A38,A38,C$2:C38)</f>
        <v>20285</v>
      </c>
      <c r="E38" s="658">
        <f>IF(VLOOKUP(A38,合同台帐!$A$4:$K$195,7,1)&gt;0,VLOOKUP(A38,合同台帐!$A$4:$K$195,7,1)-D38,VLOOKUP(A38,合同台帐!$A$4:$F$195,6,1)-D38)</f>
        <v>0</v>
      </c>
      <c r="F38" s="659" t="str">
        <f>VLOOKUP(A38,合同台帐!$A$4:$D$195,4,1)</f>
        <v>临时电设计费</v>
      </c>
      <c r="G38" s="659" t="str">
        <f>VLOOKUP(A38,合同台帐!$A$4:$E$195,5,1)</f>
        <v>天津市龙宇电力工程设计有限公司</v>
      </c>
      <c r="H38" s="660" t="s">
        <v>105</v>
      </c>
      <c r="I38" s="522" t="str">
        <f>IF(A38&lt;&gt;0,VLOOKUP(A38,合同台帐!$A$4:$C$893,3,0),"")</f>
        <v>前临电</v>
      </c>
    </row>
    <row r="39" spans="1:9" s="623" customFormat="1" ht="15.75" customHeight="1">
      <c r="A39" s="655" t="s">
        <v>162</v>
      </c>
      <c r="B39" s="656" t="s">
        <v>163</v>
      </c>
      <c r="C39" s="576">
        <v>40165</v>
      </c>
      <c r="D39" s="657">
        <f>SUMIF(A$2:A39,A39,C$2:C39)</f>
        <v>40165</v>
      </c>
      <c r="E39" s="658">
        <f>IF(VLOOKUP(A39,合同台帐!$A$4:$K$195,7,1)&gt;0,VLOOKUP(A39,合同台帐!$A$4:$K$195,7,1)-D39,VLOOKUP(A39,合同台帐!$A$4:$F$195,6,1)-D39)</f>
        <v>0</v>
      </c>
      <c r="F39" s="659" t="str">
        <f>VLOOKUP(A39,合同台帐!$A$4:$D$195,4,1)</f>
        <v>拨地定桩（红线测绘）</v>
      </c>
      <c r="G39" s="659" t="str">
        <f>VLOOKUP(A39,合同台帐!$A$4:$E$195,5,1)</f>
        <v>天津市蓟县测绘队</v>
      </c>
      <c r="H39" s="660" t="s">
        <v>105</v>
      </c>
      <c r="I39" s="522" t="str">
        <f>IF(A39&lt;&gt;0,VLOOKUP(A39,合同台帐!$A$4:$C$893,3,0),"")</f>
        <v>前勘绘</v>
      </c>
    </row>
    <row r="40" spans="1:9" s="623" customFormat="1" ht="15.75" customHeight="1">
      <c r="A40" s="655" t="s">
        <v>164</v>
      </c>
      <c r="B40" s="656" t="s">
        <v>165</v>
      </c>
      <c r="C40" s="576">
        <v>43800</v>
      </c>
      <c r="D40" s="657">
        <f>SUMIF(A$2:A40,A40,C$2:C40)</f>
        <v>43800</v>
      </c>
      <c r="E40" s="658">
        <f>IF(VLOOKUP(A40,合同台帐!$A$4:$K$195,7,1)&gt;0,VLOOKUP(A40,合同台帐!$A$4:$K$195,7,1)-D40,VLOOKUP(A40,合同台帐!$A$4:$F$195,6,1)-D40)</f>
        <v>0</v>
      </c>
      <c r="F40" s="659" t="str">
        <f>VLOOKUP(A40,合同台帐!$A$4:$D$195,4,1)</f>
        <v>勘察、设计交易服务费（全项目）</v>
      </c>
      <c r="G40" s="659" t="str">
        <f>VLOOKUP(A40,合同台帐!$A$4:$E$195,5,1)</f>
        <v>天津市工程建设交易服务中心</v>
      </c>
      <c r="H40" s="660" t="s">
        <v>105</v>
      </c>
      <c r="I40" s="522" t="str">
        <f>IF(A40&lt;&gt;0,VLOOKUP(A40,合同台帐!$A$4:$C$893,3,0),"")</f>
        <v>前标服</v>
      </c>
    </row>
    <row r="41" spans="1:9" s="623" customFormat="1" ht="15.75" customHeight="1">
      <c r="A41" s="655" t="s">
        <v>166</v>
      </c>
      <c r="B41" s="656" t="s">
        <v>167</v>
      </c>
      <c r="C41" s="576">
        <v>387000</v>
      </c>
      <c r="D41" s="657">
        <f>SUMIF(A$2:A41,A41,C$2:C41)</f>
        <v>387000</v>
      </c>
      <c r="E41" s="658">
        <f>IF(VLOOKUP(A41,合同台帐!$A$4:$K$195,7,1)&gt;0,VLOOKUP(A41,合同台帐!$A$4:$K$195,7,1)-D41,VLOOKUP(A41,合同台帐!$A$4:$F$195,6,1)-D41)</f>
        <v>43000</v>
      </c>
      <c r="F41" s="659" t="str">
        <f>VLOOKUP(A41,合同台帐!$A$4:$D$195,4,1)</f>
        <v>临电工程费</v>
      </c>
      <c r="G41" s="659" t="str">
        <f>VLOOKUP(A41,合同台帐!$A$4:$E$195,5,1)</f>
        <v>天津市信弘德电力工程有限公司蓟县分公司</v>
      </c>
      <c r="H41" s="660" t="s">
        <v>105</v>
      </c>
      <c r="I41" s="522" t="str">
        <f>IF(A41&lt;&gt;0,VLOOKUP(A41,合同台帐!$A$4:$C$893,3,0),"")</f>
        <v>前临电</v>
      </c>
    </row>
    <row r="42" spans="1:9" s="623" customFormat="1" ht="15.75" customHeight="1">
      <c r="A42" s="655" t="s">
        <v>168</v>
      </c>
      <c r="B42" s="656" t="s">
        <v>169</v>
      </c>
      <c r="C42" s="576">
        <v>16200</v>
      </c>
      <c r="D42" s="657">
        <f>SUMIF(A$2:A42,A42,C$2:C42)</f>
        <v>16200</v>
      </c>
      <c r="E42" s="658">
        <f>IF(VLOOKUP(A42,合同台帐!$A$4:$K$195,7,1)&gt;0,VLOOKUP(A42,合同台帐!$A$4:$K$195,7,1)-D42,VLOOKUP(A42,合同台帐!$A$4:$F$195,6,1)-D42)</f>
        <v>0</v>
      </c>
      <c r="F42" s="659" t="str">
        <f>VLOOKUP(A42,合同台帐!$A$4:$D$195,4,1)</f>
        <v>公告展示牌（报修详）</v>
      </c>
      <c r="G42" s="659" t="str">
        <f>VLOOKUP(A42,合同台帐!$A$4:$E$195,5,1)</f>
        <v>天津市蓟县地下空间规划信息中心</v>
      </c>
      <c r="H42" s="660" t="s">
        <v>105</v>
      </c>
      <c r="I42" s="522" t="str">
        <f>IF(A42&lt;&gt;0,VLOOKUP(A42,合同台帐!$A$4:$C$893,3,0),"")</f>
        <v>不可预见</v>
      </c>
    </row>
    <row r="43" spans="1:9" s="623" customFormat="1" ht="15.75" customHeight="1">
      <c r="A43" s="655" t="s">
        <v>170</v>
      </c>
      <c r="B43" s="656" t="s">
        <v>169</v>
      </c>
      <c r="C43" s="576">
        <v>40682</v>
      </c>
      <c r="D43" s="657">
        <f>SUMIF(A$2:A43,A43,C$2:C43)</f>
        <v>40682</v>
      </c>
      <c r="E43" s="658">
        <f>IF(VLOOKUP(A43,合同台帐!$A$4:$K$195,7,1)&gt;0,VLOOKUP(A43,合同台帐!$A$4:$K$195,7,1)-D43,VLOOKUP(A43,合同台帐!$A$4:$F$195,6,1)-D43)</f>
        <v>0</v>
      </c>
      <c r="F43" s="659" t="str">
        <f>VLOOKUP(A43,合同台帐!$A$4:$D$195,4,1)</f>
        <v>负荷管理装置费、外部供电工程费</v>
      </c>
      <c r="G43" s="659" t="str">
        <f>VLOOKUP(A43,合同台帐!$A$4:$E$195,5,1)</f>
        <v>天津市电力分公司蓟县分公司</v>
      </c>
      <c r="H43" s="660" t="s">
        <v>105</v>
      </c>
      <c r="I43" s="522" t="str">
        <f>IF(A43&lt;&gt;0,VLOOKUP(A43,合同台帐!$A$4:$C$893,3,0),"")</f>
        <v>前临电</v>
      </c>
    </row>
    <row r="44" spans="1:9" s="623" customFormat="1" ht="15.75" customHeight="1">
      <c r="A44" s="655" t="s">
        <v>171</v>
      </c>
      <c r="B44" s="656" t="s">
        <v>169</v>
      </c>
      <c r="C44" s="576">
        <v>15210</v>
      </c>
      <c r="D44" s="657">
        <f>SUMIF(A$2:A44,A44,C$2:C44)</f>
        <v>15210</v>
      </c>
      <c r="E44" s="658">
        <f>IF(VLOOKUP(A44,合同台帐!$A$4:$K$195,7,1)&gt;0,VLOOKUP(A44,合同台帐!$A$4:$K$195,7,1)-D44,VLOOKUP(A44,合同台帐!$A$4:$F$195,6,1)-D44)</f>
        <v>0</v>
      </c>
      <c r="F44" s="659" t="str">
        <f>VLOOKUP(A44,合同台帐!$A$4:$D$195,4,1)</f>
        <v>公路占路费</v>
      </c>
      <c r="G44" s="659" t="str">
        <f>VLOOKUP(A44,合同台帐!$A$4:$E$195,5,1)</f>
        <v>天津市蓟县路政支队</v>
      </c>
      <c r="H44" s="660" t="s">
        <v>105</v>
      </c>
      <c r="I44" s="522" t="str">
        <f>IF(A44&lt;&gt;0,VLOOKUP(A44,合同台帐!$A$4:$C$893,3,0),"")</f>
        <v>前临电</v>
      </c>
    </row>
    <row r="45" spans="1:9" s="623" customFormat="1" ht="15.75" customHeight="1">
      <c r="A45" s="655" t="s">
        <v>172</v>
      </c>
      <c r="B45" s="656" t="s">
        <v>173</v>
      </c>
      <c r="C45" s="576">
        <v>132000</v>
      </c>
      <c r="D45" s="657">
        <f>SUMIF(A$2:A45,A45,C$2:C45)</f>
        <v>132000</v>
      </c>
      <c r="E45" s="658">
        <f>IF(VLOOKUP(A45,合同台帐!$A$4:$K$195,7,1)&gt;0,VLOOKUP(A45,合同台帐!$A$4:$K$195,7,1)-D45,VLOOKUP(A45,合同台帐!$A$4:$F$195,6,1)-D45)</f>
        <v>33000</v>
      </c>
      <c r="F45" s="659" t="str">
        <f>VLOOKUP(A45,合同台帐!$A$4:$D$195,4,1)</f>
        <v>技术咨询合同(环评）</v>
      </c>
      <c r="G45" s="659" t="str">
        <f>VLOOKUP(A45,合同台帐!$A$4:$E$195,5,1)</f>
        <v>天津市环境保护科学研究院</v>
      </c>
      <c r="H45" s="660" t="s">
        <v>105</v>
      </c>
      <c r="I45" s="522" t="str">
        <f>IF(A45&lt;&gt;0,VLOOKUP(A45,合同台帐!$A$4:$C$893,3,0),"")</f>
        <v>前环评</v>
      </c>
    </row>
    <row r="46" spans="1:9" s="623" customFormat="1" ht="15.75" customHeight="1">
      <c r="A46" s="655" t="s">
        <v>174</v>
      </c>
      <c r="B46" s="656" t="s">
        <v>173</v>
      </c>
      <c r="C46" s="576">
        <v>138000</v>
      </c>
      <c r="D46" s="657">
        <f>SUMIF(A$2:A46,A46,C$2:C46)</f>
        <v>138000</v>
      </c>
      <c r="E46" s="658">
        <f>IF(VLOOKUP(A46,合同台帐!$A$4:$K$195,7,1)&gt;0,VLOOKUP(A46,合同台帐!$A$4:$K$195,7,1)-D46,VLOOKUP(A46,合同台帐!$A$4:$F$195,6,1)-D46)</f>
        <v>0</v>
      </c>
      <c r="F46" s="659" t="str">
        <f>VLOOKUP(A46,合同台帐!$A$4:$D$195,4,1)</f>
        <v>彩钢临时围挡</v>
      </c>
      <c r="G46" s="659" t="str">
        <f>VLOOKUP(A46,合同台帐!$A$4:$E$195,5,1)</f>
        <v>天津宏鑫鼎泰建筑工程有限公司</v>
      </c>
      <c r="H46" s="660" t="s">
        <v>105</v>
      </c>
      <c r="I46" s="522" t="str">
        <f>IF(A46&lt;&gt;0,VLOOKUP(A46,合同台帐!$A$4:$C$893,3,0),"")</f>
        <v>前临围</v>
      </c>
    </row>
    <row r="47" spans="1:9" s="623" customFormat="1" ht="15.75" customHeight="1">
      <c r="A47" s="655" t="s">
        <v>175</v>
      </c>
      <c r="B47" s="656" t="s">
        <v>173</v>
      </c>
      <c r="C47" s="576">
        <v>63000</v>
      </c>
      <c r="D47" s="657">
        <f>SUMIF(A$2:A47,A47,C$2:C47)</f>
        <v>63000</v>
      </c>
      <c r="E47" s="658">
        <f>IF(VLOOKUP(A47,合同台帐!$A$4:$K$195,7,1)&gt;0,VLOOKUP(A47,合同台帐!$A$4:$K$195,7,1)-D47,VLOOKUP(A47,合同台帐!$A$4:$F$195,6,1)-D47)</f>
        <v>42000</v>
      </c>
      <c r="F47" s="659" t="str">
        <f>VLOOKUP(A47,合同台帐!$A$4:$D$195,4,1)</f>
        <v>固定资产投资项目合理用能评估合同（能评）</v>
      </c>
      <c r="G47" s="659" t="str">
        <f>VLOOKUP(A47,合同台帐!$A$4:$E$195,5,1)</f>
        <v>天津天发源环境保护事务代理中心有限公司</v>
      </c>
      <c r="H47" s="660" t="s">
        <v>105</v>
      </c>
      <c r="I47" s="522" t="str">
        <f>IF(A47&lt;&gt;0,VLOOKUP(A47,合同台帐!$A$4:$C$893,3,0),"")</f>
        <v>前能评</v>
      </c>
    </row>
    <row r="48" spans="1:9" s="623" customFormat="1" ht="15.75" customHeight="1">
      <c r="A48" s="655" t="s">
        <v>176</v>
      </c>
      <c r="B48" s="656" t="s">
        <v>177</v>
      </c>
      <c r="C48" s="576">
        <v>0</v>
      </c>
      <c r="D48" s="657">
        <f>SUMIF(A$2:A48,A48,C$2:C48)</f>
        <v>0</v>
      </c>
      <c r="E48" s="658">
        <f>IF(VLOOKUP(A48,合同台帐!$A$4:$K$195,7,1)&gt;0,VLOOKUP(A48,合同台帐!$A$4:$K$195,7,1)-D48,VLOOKUP(A48,合同台帐!$A$4:$F$195,6,1)-D48)</f>
        <v>0</v>
      </c>
      <c r="F48" s="659" t="str">
        <f>VLOOKUP(A48,合同台帐!$A$4:$D$195,4,1)</f>
        <v>蓟县土地评估费</v>
      </c>
      <c r="G48" s="659" t="str">
        <f>VLOOKUP(A48,合同台帐!$A$4:$E$195,5,1)</f>
        <v>天津杰诺德房地产价格评估咨询有限公司</v>
      </c>
      <c r="H48" s="660" t="s">
        <v>105</v>
      </c>
      <c r="I48" s="522" t="str">
        <f>IF(A48&lt;&gt;0,VLOOKUP(A48,合同台帐!$A$4:$C$893,3,0),"")</f>
        <v>前其他</v>
      </c>
    </row>
    <row r="49" spans="1:9" s="623" customFormat="1" ht="15.75" customHeight="1">
      <c r="A49" s="655" t="s">
        <v>178</v>
      </c>
      <c r="B49" s="656" t="s">
        <v>179</v>
      </c>
      <c r="C49" s="576">
        <v>137711</v>
      </c>
      <c r="D49" s="657">
        <f>SUMIF(A$2:A49,A49,C$2:C49)</f>
        <v>137711</v>
      </c>
      <c r="E49" s="658">
        <f>IF(VLOOKUP(A49,合同台帐!$A$4:$K$195,7,1)&gt;0,VLOOKUP(A49,合同台帐!$A$4:$K$195,7,1)-D49,VLOOKUP(A49,合同台帐!$A$4:$F$195,6,1)-D49)</f>
        <v>0</v>
      </c>
      <c r="F49" s="659" t="str">
        <f>VLOOKUP(A49,合同台帐!$A$4:$D$195,4,1)</f>
        <v>建筑物放线（一期楼座测绘）</v>
      </c>
      <c r="G49" s="659" t="str">
        <f>VLOOKUP(A49,合同台帐!$A$4:$E$195,5,1)</f>
        <v>天津市蓟县测绘队</v>
      </c>
      <c r="H49" s="660" t="s">
        <v>105</v>
      </c>
      <c r="I49" s="522" t="str">
        <f>IF(A49&lt;&gt;0,VLOOKUP(A49,合同台帐!$A$4:$C$893,3,0),"")</f>
        <v>建定测</v>
      </c>
    </row>
    <row r="50" spans="1:9" s="623" customFormat="1" ht="15.75" customHeight="1">
      <c r="A50" s="655" t="s">
        <v>180</v>
      </c>
      <c r="B50" s="656" t="s">
        <v>179</v>
      </c>
      <c r="C50" s="576">
        <v>3907038.37</v>
      </c>
      <c r="D50" s="657">
        <f>SUMIF(A$2:A50,A50,C$2:C50)</f>
        <v>3907038.37</v>
      </c>
      <c r="E50" s="658">
        <f>IF(VLOOKUP(A50,合同台帐!$A$4:$K$195,7,1)&gt;0,VLOOKUP(A50,合同台帐!$A$4:$K$195,7,1)-D50,VLOOKUP(A50,合同台帐!$A$4:$F$195,6,1)-D50)</f>
        <v>0</v>
      </c>
      <c r="F50" s="659" t="str">
        <f>VLOOKUP(A50,合同台帐!$A$4:$D$195,4,1)</f>
        <v>小配套费（一期）</v>
      </c>
      <c r="G50" s="659" t="str">
        <f>VLOOKUP(A50,合同台帐!$A$4:$E$195,5,1)</f>
        <v>蓟县建设管理委员会</v>
      </c>
      <c r="H50" s="660" t="s">
        <v>105</v>
      </c>
      <c r="I50" s="522" t="str">
        <f>IF(A50&lt;&gt;0,VLOOKUP(A50,合同台帐!$A$4:$C$893,3,0),"")</f>
        <v>公配小</v>
      </c>
    </row>
    <row r="51" spans="1:9" s="623" customFormat="1" ht="15.75" customHeight="1">
      <c r="A51" s="655" t="s">
        <v>181</v>
      </c>
      <c r="B51" s="656" t="s">
        <v>179</v>
      </c>
      <c r="C51" s="576">
        <v>137377.49</v>
      </c>
      <c r="D51" s="657">
        <f>SUMIF(A$2:A51,A51,C$2:C51)</f>
        <v>137377.49</v>
      </c>
      <c r="E51" s="658">
        <f>IF(VLOOKUP(A51,合同台帐!$A$4:$K$195,7,1)&gt;0,VLOOKUP(A51,合同台帐!$A$4:$K$195,7,1)-D51,VLOOKUP(A51,合同台帐!$A$4:$F$195,6,1)-D51)</f>
        <v>0</v>
      </c>
      <c r="F51" s="659" t="str">
        <f>VLOOKUP(A51,合同台帐!$A$4:$D$195,4,1)</f>
        <v>墙改费（一期）</v>
      </c>
      <c r="G51" s="659" t="str">
        <f>VLOOKUP(A51,合同台帐!$A$4:$E$195,5,1)</f>
        <v>蓟县建设管理委员会</v>
      </c>
      <c r="H51" s="660" t="s">
        <v>105</v>
      </c>
      <c r="I51" s="522" t="str">
        <f>IF(A51&lt;&gt;0,VLOOKUP(A51,合同台帐!$A$4:$C$893,3,0),"")</f>
        <v>前墙</v>
      </c>
    </row>
    <row r="52" spans="1:9" s="623" customFormat="1" ht="15.75" customHeight="1">
      <c r="A52" s="655" t="s">
        <v>182</v>
      </c>
      <c r="B52" s="656" t="s">
        <v>183</v>
      </c>
      <c r="C52" s="576">
        <v>339000</v>
      </c>
      <c r="D52" s="657">
        <f>SUMIF(A$2:A52,A52,C$2:C52)</f>
        <v>339000</v>
      </c>
      <c r="E52" s="658">
        <f>IF(VLOOKUP(A52,合同台帐!$A$4:$K$195,7,1)&gt;0,VLOOKUP(A52,合同台帐!$A$4:$K$195,7,1)-D52,VLOOKUP(A52,合同台帐!$A$4:$F$195,6,1)-D52)</f>
        <v>0</v>
      </c>
      <c r="F52" s="659" t="str">
        <f>VLOOKUP(A52,合同台帐!$A$4:$D$195,4,1)</f>
        <v>人防易地建设费</v>
      </c>
      <c r="G52" s="659" t="str">
        <f>VLOOKUP(A52,合同台帐!$A$4:$E$195,5,1)</f>
        <v>蓟县人民政府人民防空办公室</v>
      </c>
      <c r="H52" s="660" t="s">
        <v>105</v>
      </c>
      <c r="I52" s="522" t="str">
        <f>IF(A52&lt;&gt;0,VLOOKUP(A52,合同台帐!$A$4:$C$893,3,0),"")</f>
        <v>前人建</v>
      </c>
    </row>
    <row r="53" spans="1:9" s="623" customFormat="1" ht="15.75" customHeight="1">
      <c r="A53" s="655" t="s">
        <v>184</v>
      </c>
      <c r="B53" s="656" t="s">
        <v>185</v>
      </c>
      <c r="C53" s="576">
        <v>670000</v>
      </c>
      <c r="D53" s="657">
        <f>SUMIF(A$2:A53,A53,C$2:C53)</f>
        <v>670000</v>
      </c>
      <c r="E53" s="658">
        <f>IF(VLOOKUP(A53,合同台帐!$A$4:$K$195,7,1)&gt;0,VLOOKUP(A53,合同台帐!$A$4:$K$195,7,1)-D53,VLOOKUP(A53,合同台帐!$A$4:$F$195,6,1)-D53)</f>
        <v>573479</v>
      </c>
      <c r="F53" s="659" t="str">
        <f>VLOOKUP(A53,合同台帐!$A$4:$D$195,4,1)</f>
        <v>挡土墙施工合同（西侧、南侧）</v>
      </c>
      <c r="G53" s="659" t="str">
        <f>VLOOKUP(A53,合同台帐!$A$4:$E$195,5,1)</f>
        <v>天津市蓟县振东建筑有限责任公司</v>
      </c>
      <c r="H53" s="660" t="s">
        <v>105</v>
      </c>
      <c r="I53" s="522" t="str">
        <f>IF(A53&lt;&gt;0,VLOOKUP(A53,合同台帐!$A$4:$C$893,3,0),"")</f>
        <v>建环外</v>
      </c>
    </row>
    <row r="54" spans="1:9" s="623" customFormat="1" ht="15.75" customHeight="1">
      <c r="A54" s="655" t="s">
        <v>186</v>
      </c>
      <c r="B54" s="656" t="s">
        <v>185</v>
      </c>
      <c r="C54" s="576">
        <v>120000</v>
      </c>
      <c r="D54" s="657">
        <f>SUMIF(A$2:A54,A54,C$2:C54)</f>
        <v>120000</v>
      </c>
      <c r="E54" s="658">
        <f>IF(VLOOKUP(A54,合同台帐!$A$4:$K$195,7,1)&gt;0,VLOOKUP(A54,合同台帐!$A$4:$K$195,7,1)-D54,VLOOKUP(A54,合同台帐!$A$4:$F$195,6,1)-D54)</f>
        <v>0</v>
      </c>
      <c r="F54" s="659" t="str">
        <f>VLOOKUP(A54,合同台帐!$A$4:$D$195,4,1)</f>
        <v>地下障碍物拆除</v>
      </c>
      <c r="G54" s="659" t="str">
        <f>VLOOKUP(A54,合同台帐!$A$4:$E$195,5,1)</f>
        <v>天津渔阳建工集团机械施工有限公司</v>
      </c>
      <c r="H54" s="660" t="s">
        <v>105</v>
      </c>
      <c r="I54" s="522" t="str">
        <f>IF(A54&lt;&gt;0,VLOOKUP(A54,合同台帐!$A$4:$C$893,3,0),"")</f>
        <v>前临障</v>
      </c>
    </row>
    <row r="55" spans="1:9" s="623" customFormat="1" ht="15.75" customHeight="1">
      <c r="A55" s="655" t="s">
        <v>187</v>
      </c>
      <c r="B55" s="656" t="s">
        <v>188</v>
      </c>
      <c r="C55" s="576">
        <v>83164.149999999994</v>
      </c>
      <c r="D55" s="657">
        <f>SUMIF(A$2:A55,A55,C$2:C55)</f>
        <v>83164.149999999994</v>
      </c>
      <c r="E55" s="658">
        <f>IF(VLOOKUP(A55,合同台帐!$A$4:$K$195,7,1)&gt;0,VLOOKUP(A55,合同台帐!$A$4:$K$195,7,1)-D55,VLOOKUP(A55,合同台帐!$A$4:$F$195,6,1)-D55)</f>
        <v>0</v>
      </c>
      <c r="F55" s="659" t="str">
        <f>VLOOKUP(A55,合同台帐!$A$4:$D$195,4,1)</f>
        <v>地名标志费及地名公告费</v>
      </c>
      <c r="G55" s="659" t="str">
        <f>VLOOKUP(A55,合同台帐!$A$4:$E$195,5,1)</f>
        <v>蓟县规划局</v>
      </c>
      <c r="H55" s="660" t="s">
        <v>105</v>
      </c>
      <c r="I55" s="522" t="str">
        <f>IF(A55&lt;&gt;0,VLOOKUP(A55,合同台帐!$A$4:$C$893,3,0),"")</f>
        <v>前地</v>
      </c>
    </row>
    <row r="56" spans="1:9" s="623" customFormat="1" ht="15.75" customHeight="1">
      <c r="A56" s="655" t="s">
        <v>189</v>
      </c>
      <c r="B56" s="656" t="s">
        <v>190</v>
      </c>
      <c r="C56" s="576">
        <v>19645</v>
      </c>
      <c r="D56" s="657">
        <f>SUMIF(A$2:A56,A56,C$2:C56)</f>
        <v>19645</v>
      </c>
      <c r="E56" s="658">
        <f>IF(VLOOKUP(A56,合同台帐!$A$4:$K$195,7,1)&gt;0,VLOOKUP(A56,合同台帐!$A$4:$K$195,7,1)-D56,VLOOKUP(A56,合同台帐!$A$4:$F$195,6,1)-D56)</f>
        <v>0</v>
      </c>
      <c r="F56" s="659" t="str">
        <f>VLOOKUP(A56,合同台帐!$A$4:$D$195,4,1)</f>
        <v>人防工程资料编制费</v>
      </c>
      <c r="G56" s="659" t="str">
        <f>VLOOKUP(A56,合同台帐!$A$4:$E$195,5,1)</f>
        <v>天津市人防工程建设管理站</v>
      </c>
      <c r="H56" s="660" t="s">
        <v>105</v>
      </c>
      <c r="I56" s="522" t="str">
        <f>IF(A56&lt;&gt;0,VLOOKUP(A56,合同台帐!$A$4:$C$893,3,0),"")</f>
        <v>前人档</v>
      </c>
    </row>
    <row r="57" spans="1:9" s="623" customFormat="1" ht="15.75" customHeight="1">
      <c r="A57" s="655" t="s">
        <v>191</v>
      </c>
      <c r="B57" s="656" t="s">
        <v>190</v>
      </c>
      <c r="C57" s="576">
        <v>65619</v>
      </c>
      <c r="D57" s="657">
        <f>SUMIF(A$2:A57,A57,C$2:C57)</f>
        <v>65619</v>
      </c>
      <c r="E57" s="658">
        <f>IF(VLOOKUP(A57,合同台帐!$A$4:$K$195,7,1)&gt;0,VLOOKUP(A57,合同台帐!$A$4:$K$195,7,1)-D57,VLOOKUP(A57,合同台帐!$A$4:$F$195,6,1)-D57)</f>
        <v>0</v>
      </c>
      <c r="F57" s="659" t="str">
        <f>VLOOKUP(A57,合同台帐!$A$4:$D$195,4,1)</f>
        <v>博御园施工图审查（一期）</v>
      </c>
      <c r="G57" s="659" t="str">
        <f>VLOOKUP(A57,合同台帐!$A$4:$E$195,5,1)</f>
        <v>天津华苑建筑工程咨询有限公司</v>
      </c>
      <c r="H57" s="660" t="s">
        <v>105</v>
      </c>
      <c r="I57" s="522" t="str">
        <f>IF(A57&lt;&gt;0,VLOOKUP(A57,合同台帐!$A$4:$C$893,3,0),"")</f>
        <v>前设审</v>
      </c>
    </row>
    <row r="58" spans="1:9" s="623" customFormat="1" ht="15.75" customHeight="1">
      <c r="A58" s="655" t="s">
        <v>192</v>
      </c>
      <c r="B58" s="656" t="s">
        <v>190</v>
      </c>
      <c r="C58" s="576">
        <v>2650549</v>
      </c>
      <c r="D58" s="657">
        <f>SUMIF(A$2:A58,A58,C$2:C58)</f>
        <v>2650549</v>
      </c>
      <c r="E58" s="658">
        <f>IF(VLOOKUP(A58,合同台帐!$A$4:$K$195,7,1)&gt;0,VLOOKUP(A58,合同台帐!$A$4:$K$195,7,1)-D58,VLOOKUP(A58,合同台帐!$A$4:$F$195,6,1)-D58)</f>
        <v>10602197.24</v>
      </c>
      <c r="F58" s="659" t="str">
        <f>VLOOKUP(A58,合同台帐!$A$4:$D$195,4,1)</f>
        <v>供热配套合同（工程建设费）</v>
      </c>
      <c r="G58" s="659" t="str">
        <f>VLOOKUP(A58,合同台帐!$A$4:$E$195,5,1)</f>
        <v>天津市蓟县供热服务中心</v>
      </c>
      <c r="H58" s="660" t="s">
        <v>105</v>
      </c>
      <c r="I58" s="522" t="str">
        <f>IF(A58&lt;&gt;0,VLOOKUP(A58,合同台帐!$A$4:$C$893,3,0),"")</f>
        <v>基热工</v>
      </c>
    </row>
    <row r="59" spans="1:9" s="623" customFormat="1" ht="15.75" customHeight="1">
      <c r="A59" s="655" t="s">
        <v>193</v>
      </c>
      <c r="B59" s="656" t="s">
        <v>194</v>
      </c>
      <c r="C59" s="576">
        <v>380000</v>
      </c>
      <c r="D59" s="657">
        <f>SUMIF(A$2:A59,A59,C$2:C59)</f>
        <v>380000</v>
      </c>
      <c r="E59" s="658">
        <f>IF(VLOOKUP(A59,合同台帐!$A$4:$K$195,7,1)&gt;0,VLOOKUP(A59,合同台帐!$A$4:$K$195,7,1)-D59,VLOOKUP(A59,合同台帐!$A$4:$F$195,6,1)-D59)</f>
        <v>0</v>
      </c>
      <c r="F59" s="659" t="str">
        <f>VLOOKUP(A59,合同台帐!$A$4:$D$195,4,1)</f>
        <v>用水报告书技术服务合同</v>
      </c>
      <c r="G59" s="659" t="str">
        <f>VLOOKUP(A59,合同台帐!$A$4:$E$195,5,1)</f>
        <v>天津市润野水资源开发技术咨询有限公司</v>
      </c>
      <c r="H59" s="660" t="s">
        <v>105</v>
      </c>
      <c r="I59" s="522" t="str">
        <f>IF(A59&lt;&gt;0,VLOOKUP(A59,合同台帐!$A$4:$C$893,3,0),"")</f>
        <v>基水用</v>
      </c>
    </row>
    <row r="60" spans="1:9" s="623" customFormat="1" ht="15.75" customHeight="1">
      <c r="A60" s="655" t="s">
        <v>195</v>
      </c>
      <c r="B60" s="656" t="s">
        <v>194</v>
      </c>
      <c r="C60" s="576">
        <v>660000</v>
      </c>
      <c r="D60" s="657">
        <f>SUMIF(A$2:A60,A60,C$2:C60)</f>
        <v>660000</v>
      </c>
      <c r="E60" s="658">
        <f>IF(VLOOKUP(A60,合同台帐!$A$4:$K$195,7,1)&gt;0,VLOOKUP(A60,合同台帐!$A$4:$K$195,7,1)-D60,VLOOKUP(A60,合同台帐!$A$4:$F$195,6,1)-D60)</f>
        <v>0</v>
      </c>
      <c r="F60" s="659" t="str">
        <f>VLOOKUP(A60,合同台帐!$A$4:$D$195,4,1)</f>
        <v>水土保持方案报告书技术服务合同</v>
      </c>
      <c r="G60" s="659" t="str">
        <f>VLOOKUP(A60,合同台帐!$A$4:$E$195,5,1)</f>
        <v>天津市蓟县水土保持技术咨询服务站</v>
      </c>
      <c r="H60" s="660" t="s">
        <v>105</v>
      </c>
      <c r="I60" s="522" t="str">
        <f>IF(A60&lt;&gt;0,VLOOKUP(A60,合同台帐!$A$4:$C$893,3,0),"")</f>
        <v>基水保</v>
      </c>
    </row>
    <row r="61" spans="1:9" s="623" customFormat="1" ht="15.75" customHeight="1">
      <c r="A61" s="655" t="s">
        <v>196</v>
      </c>
      <c r="B61" s="656" t="s">
        <v>194</v>
      </c>
      <c r="C61" s="576">
        <v>529783</v>
      </c>
      <c r="D61" s="657">
        <f>SUMIF(A$2:A61,A61,C$2:C61)</f>
        <v>529783</v>
      </c>
      <c r="E61" s="658">
        <f>IF(VLOOKUP(A61,合同台帐!$A$4:$K$195,7,1)&gt;0,VLOOKUP(A61,合同台帐!$A$4:$K$195,7,1)-D61,VLOOKUP(A61,合同台帐!$A$4:$F$195,6,1)-D61)</f>
        <v>0</v>
      </c>
      <c r="F61" s="659" t="str">
        <f>VLOOKUP(A61,合同台帐!$A$4:$D$195,4,1)</f>
        <v>地下水资源费</v>
      </c>
      <c r="G61" s="659" t="str">
        <f>VLOOKUP(A61,合同台帐!$A$4:$E$195,5,1)</f>
        <v>天津市蓟县节约用水事务管理中心</v>
      </c>
      <c r="H61" s="660" t="s">
        <v>105</v>
      </c>
      <c r="I61" s="522" t="str">
        <f>IF(A61&lt;&gt;0,VLOOKUP(A61,合同台帐!$A$4:$C$893,3,0),"")</f>
        <v>基水地</v>
      </c>
    </row>
    <row r="62" spans="1:9" s="623" customFormat="1" ht="15.75" customHeight="1">
      <c r="A62" s="655" t="s">
        <v>197</v>
      </c>
      <c r="B62" s="656" t="s">
        <v>194</v>
      </c>
      <c r="C62" s="576">
        <v>271230</v>
      </c>
      <c r="D62" s="657">
        <f>SUMIF(A$2:A62,A62,C$2:C62)</f>
        <v>271230</v>
      </c>
      <c r="E62" s="658">
        <f>IF(VLOOKUP(A62,合同台帐!$A$4:$K$195,7,1)&gt;0,VLOOKUP(A62,合同台帐!$A$4:$K$195,7,1)-D62,VLOOKUP(A62,合同台帐!$A$4:$F$195,6,1)-D62)</f>
        <v>0</v>
      </c>
      <c r="F62" s="659" t="str">
        <f>VLOOKUP(A62,合同台帐!$A$4:$D$195,4,1)</f>
        <v>水土保持设施补偿费</v>
      </c>
      <c r="G62" s="659" t="str">
        <f>VLOOKUP(A62,合同台帐!$A$4:$E$195,5,1)</f>
        <v>天津市蓟县水土保持检查监督站</v>
      </c>
      <c r="H62" s="660" t="s">
        <v>105</v>
      </c>
      <c r="I62" s="522" t="str">
        <f>IF(A62&lt;&gt;0,VLOOKUP(A62,合同台帐!$A$4:$C$893,3,0),"")</f>
        <v>基水补</v>
      </c>
    </row>
    <row r="63" spans="1:9" s="623" customFormat="1" ht="15.75" customHeight="1">
      <c r="A63" s="655" t="s">
        <v>198</v>
      </c>
      <c r="B63" s="656" t="s">
        <v>185</v>
      </c>
      <c r="C63" s="576">
        <v>30000</v>
      </c>
      <c r="D63" s="657">
        <f>SUMIF(A$2:A63,A63,C$2:C63)</f>
        <v>30000</v>
      </c>
      <c r="E63" s="658">
        <f>IF(VLOOKUP(A63,合同台帐!$A$4:$K$195,7,1)&gt;0,VLOOKUP(A63,合同台帐!$A$4:$K$195,7,1)-D63,VLOOKUP(A63,合同台帐!$A$4:$F$195,6,1)-D63)</f>
        <v>0</v>
      </c>
      <c r="F63" s="659" t="str">
        <f>VLOOKUP(A63,合同台帐!$A$4:$D$195,4,1)</f>
        <v>柿子树补偿协议书</v>
      </c>
      <c r="G63" s="659" t="str">
        <f>VLOOKUP(A63,合同台帐!$A$4:$E$195,5,1)</f>
        <v>渔阳镇七里峰村民委员会</v>
      </c>
      <c r="H63" s="660" t="s">
        <v>105</v>
      </c>
      <c r="I63" s="522" t="str">
        <f>IF(A63&lt;&gt;0,VLOOKUP(A63,合同台帐!$A$4:$C$893,3,0),"")</f>
        <v>前临障</v>
      </c>
    </row>
    <row r="64" spans="1:9" s="624" customFormat="1" ht="15.75" customHeight="1">
      <c r="A64" s="566" t="s">
        <v>110</v>
      </c>
      <c r="B64" s="649" t="s">
        <v>199</v>
      </c>
      <c r="C64" s="644">
        <v>780000</v>
      </c>
      <c r="D64" s="657">
        <f>SUMIF(A$2:A64,A64,C$2:C64)</f>
        <v>3900000</v>
      </c>
      <c r="E64" s="646">
        <f>IF(VLOOKUP(A64,合同台帐!$A$4:$K$195,7,1)&gt;0,VLOOKUP(A64,合同台帐!$A$4:$K$195,7,1)-D64,VLOOKUP(A64,合同台帐!$A$4:$F$195,6,1)-D64)</f>
        <v>3900000</v>
      </c>
      <c r="F64" s="647" t="str">
        <f>VLOOKUP(A64,合同台帐!$A$4:$D$195,4,1)</f>
        <v>建筑方案及施工图设计合同</v>
      </c>
      <c r="G64" s="647" t="str">
        <f>VLOOKUP(A64,合同台帐!$A$4:$E$195,5,1)</f>
        <v>北京新纪元建筑工程设计有限公司</v>
      </c>
      <c r="H64" s="648" t="s">
        <v>200</v>
      </c>
      <c r="I64" s="510" t="str">
        <f>IF(A64&lt;&gt;0,VLOOKUP(A64,合同台帐!$A$4:$C$893,3,0),"")</f>
        <v>前设设</v>
      </c>
    </row>
    <row r="65" spans="1:9" s="624" customFormat="1" ht="15.75" customHeight="1">
      <c r="A65" s="566" t="s">
        <v>150</v>
      </c>
      <c r="B65" s="649" t="s">
        <v>199</v>
      </c>
      <c r="C65" s="644">
        <v>412000</v>
      </c>
      <c r="D65" s="657">
        <f>SUMIF(A$2:A65,A65,C$2:C65)</f>
        <v>721000</v>
      </c>
      <c r="E65" s="646">
        <f>IF(VLOOKUP(A65,合同台帐!$A$4:$K$195,7,1)&gt;0,VLOOKUP(A65,合同台帐!$A$4:$K$195,7,1)-D65,VLOOKUP(A65,合同台帐!$A$4:$F$195,6,1)-D65)</f>
        <v>309000</v>
      </c>
      <c r="F65" s="647" t="str">
        <f>VLOOKUP(A65,合同台帐!$A$4:$D$195,4,1)</f>
        <v>建设工程勘察合同(详勘）</v>
      </c>
      <c r="G65" s="647" t="str">
        <f>VLOOKUP(A65,合同台帐!$A$4:$E$195,5,1)</f>
        <v>天津华北工程勘察设计有限公司</v>
      </c>
      <c r="H65" s="648" t="s">
        <v>113</v>
      </c>
      <c r="I65" s="510" t="str">
        <f>IF(A65&lt;&gt;0,VLOOKUP(A65,合同台帐!$A$4:$C$893,3,0),"")</f>
        <v>前勘勘</v>
      </c>
    </row>
    <row r="66" spans="1:9" s="624" customFormat="1" ht="15.75" customHeight="1">
      <c r="A66" s="566" t="s">
        <v>201</v>
      </c>
      <c r="B66" s="649" t="s">
        <v>202</v>
      </c>
      <c r="C66" s="644">
        <v>40000</v>
      </c>
      <c r="D66" s="657">
        <f>SUMIF(A$2:A66,A66,C$2:C66)</f>
        <v>40000</v>
      </c>
      <c r="E66" s="646">
        <f>IF(VLOOKUP(A66,合同台帐!$A$4:$K$195,7,1)&gt;0,VLOOKUP(A66,合同台帐!$A$4:$K$195,7,1)-D66,VLOOKUP(A66,合同台帐!$A$4:$F$195,6,1)-D66)</f>
        <v>0</v>
      </c>
      <c r="F66" s="647" t="str">
        <f>VLOOKUP(A66,合同台帐!$A$4:$D$195,4,1)</f>
        <v>支付委托保证合同（一期）</v>
      </c>
      <c r="G66" s="647" t="str">
        <f>VLOOKUP(A66,合同台帐!$A$4:$E$195,5,1)</f>
        <v>天津融诚挚信投资担保有限公司</v>
      </c>
      <c r="H66" s="648" t="s">
        <v>105</v>
      </c>
      <c r="I66" s="510" t="str">
        <f>IF(A66&lt;&gt;0,VLOOKUP(A66,合同台帐!$A$4:$C$893,3,0),"")</f>
        <v>前标担</v>
      </c>
    </row>
    <row r="67" spans="1:9" s="624" customFormat="1" ht="15.75" customHeight="1">
      <c r="A67" s="566" t="s">
        <v>147</v>
      </c>
      <c r="B67" s="649" t="s">
        <v>203</v>
      </c>
      <c r="C67" s="644">
        <v>325</v>
      </c>
      <c r="D67" s="657">
        <f>SUMIF(A$2:A67,A67,C$2:C67)</f>
        <v>2780</v>
      </c>
      <c r="E67" s="646">
        <f>IF(VLOOKUP(A67,合同台帐!$A$4:$K$195,7,1)&gt;0,VLOOKUP(A67,合同台帐!$A$4:$K$195,7,1)-D67,VLOOKUP(A67,合同台帐!$A$4:$F$195,6,1)-D67)</f>
        <v>905</v>
      </c>
      <c r="F67" s="647" t="str">
        <f>VLOOKUP(A67,合同台帐!$A$4:$D$195,4,1)</f>
        <v>图纸打印</v>
      </c>
      <c r="G67" s="647">
        <f>VLOOKUP(A67,合同台帐!$A$4:$E$195,5,1)</f>
        <v>0</v>
      </c>
      <c r="H67" s="648" t="s">
        <v>115</v>
      </c>
      <c r="I67" s="510" t="str">
        <f>IF(A67&lt;&gt;0,VLOOKUP(A67,合同台帐!$A$4:$C$893,3,0),"")</f>
        <v>前设图</v>
      </c>
    </row>
    <row r="68" spans="1:9" s="624" customFormat="1" ht="15.75" customHeight="1">
      <c r="A68" s="566" t="s">
        <v>175</v>
      </c>
      <c r="B68" s="649" t="s">
        <v>203</v>
      </c>
      <c r="C68" s="644">
        <v>42000</v>
      </c>
      <c r="D68" s="657">
        <f>SUMIF(A$2:A68,A68,C$2:C68)</f>
        <v>105000</v>
      </c>
      <c r="E68" s="646">
        <f>IF(VLOOKUP(A68,合同台帐!$A$4:$K$195,7,1)&gt;0,VLOOKUP(A68,合同台帐!$A$4:$K$195,7,1)-D68,VLOOKUP(A68,合同台帐!$A$4:$F$195,6,1)-D68)</f>
        <v>0</v>
      </c>
      <c r="F68" s="647" t="str">
        <f>VLOOKUP(A68,合同台帐!$A$4:$D$195,4,1)</f>
        <v>固定资产投资项目合理用能评估合同（能评）</v>
      </c>
      <c r="G68" s="647" t="str">
        <f>VLOOKUP(A68,合同台帐!$A$4:$E$195,5,1)</f>
        <v>天津天发源环境保护事务代理中心有限公司</v>
      </c>
      <c r="H68" s="648" t="s">
        <v>113</v>
      </c>
      <c r="I68" s="510" t="str">
        <f>IF(A68&lt;&gt;0,VLOOKUP(A68,合同台帐!$A$4:$C$893,3,0),"")</f>
        <v>前能评</v>
      </c>
    </row>
    <row r="69" spans="1:9" s="624" customFormat="1" ht="15.75" customHeight="1">
      <c r="A69" s="566" t="s">
        <v>204</v>
      </c>
      <c r="B69" s="649" t="s">
        <v>199</v>
      </c>
      <c r="C69" s="644">
        <v>12515936.4</v>
      </c>
      <c r="D69" s="657">
        <f>SUMIF(A$2:A69,A69,C$2:C69)</f>
        <v>12515936.4</v>
      </c>
      <c r="E69" s="646">
        <f>IF(VLOOKUP(A69,合同台帐!$A$4:$K$195,7,1)&gt;0,VLOOKUP(A69,合同台帐!$A$4:$K$195,7,1)-D69,VLOOKUP(A69,合同台帐!$A$4:$F$195,6,1)-D69)</f>
        <v>0</v>
      </c>
      <c r="F69" s="647" t="str">
        <f>VLOOKUP(A69,合同台帐!$A$4:$D$195,4,1)</f>
        <v>大配套费（一期）</v>
      </c>
      <c r="G69" s="647" t="str">
        <f>VLOOKUP(A69,合同台帐!$A$4:$E$195,5,1)</f>
        <v>蓟县建设管理委员会</v>
      </c>
      <c r="H69" s="648" t="s">
        <v>105</v>
      </c>
      <c r="I69" s="510" t="str">
        <f>IF(A69&lt;&gt;0,VLOOKUP(A69,合同台帐!$A$4:$C$893,3,0),"")</f>
        <v>土配</v>
      </c>
    </row>
    <row r="70" spans="1:9" s="624" customFormat="1" ht="15.75" customHeight="1">
      <c r="A70" s="566" t="s">
        <v>205</v>
      </c>
      <c r="B70" s="649" t="s">
        <v>199</v>
      </c>
      <c r="C70" s="644">
        <v>51516.56</v>
      </c>
      <c r="D70" s="657">
        <f>SUMIF(A$2:A70,A70,C$2:C70)</f>
        <v>51516.56</v>
      </c>
      <c r="E70" s="646">
        <f>IF(VLOOKUP(A70,合同台帐!$A$4:$K$195,7,1)&gt;0,VLOOKUP(A70,合同台帐!$A$4:$K$195,7,1)-D70,VLOOKUP(A70,合同台帐!$A$4:$F$195,6,1)-D70)</f>
        <v>0</v>
      </c>
      <c r="F70" s="647" t="str">
        <f>VLOOKUP(A70,合同台帐!$A$4:$D$195,4,1)</f>
        <v>水泥基金（一期）</v>
      </c>
      <c r="G70" s="647" t="str">
        <f>VLOOKUP(A70,合同台帐!$A$4:$E$195,5,1)</f>
        <v>蓟县建设管理委员会</v>
      </c>
      <c r="H70" s="648" t="s">
        <v>105</v>
      </c>
      <c r="I70" s="510" t="str">
        <f>IF(A70&lt;&gt;0,VLOOKUP(A70,合同台帐!$A$4:$C$893,3,0),"")</f>
        <v>前泥</v>
      </c>
    </row>
    <row r="71" spans="1:9" s="624" customFormat="1" ht="15.75" customHeight="1">
      <c r="A71" s="566" t="s">
        <v>206</v>
      </c>
      <c r="B71" s="649" t="s">
        <v>199</v>
      </c>
      <c r="C71" s="644">
        <v>1127572.3999999999</v>
      </c>
      <c r="D71" s="657">
        <f>SUMIF(A$2:A71,A71,C$2:C71)</f>
        <v>1127572.3999999999</v>
      </c>
      <c r="E71" s="646">
        <f>IF(VLOOKUP(A71,合同台帐!$A$4:$K$195,7,1)&gt;0,VLOOKUP(A71,合同台帐!$A$4:$K$195,7,1)-D71,VLOOKUP(A71,合同台帐!$A$4:$F$195,6,1)-D71)</f>
        <v>0</v>
      </c>
      <c r="F71" s="647" t="str">
        <f>VLOOKUP(A71,合同台帐!$A$4:$D$195,4,1)</f>
        <v>气源发展费（一期）(蓟县另收）</v>
      </c>
      <c r="G71" s="647" t="str">
        <f>VLOOKUP(A71,合同台帐!$A$4:$E$195,5,1)</f>
        <v>蓟县建设管理委员会</v>
      </c>
      <c r="H71" s="648" t="s">
        <v>105</v>
      </c>
      <c r="I71" s="510" t="str">
        <f>IF(A71&lt;&gt;0,VLOOKUP(A71,合同台帐!$A$4:$C$893,3,0),"")</f>
        <v>基气源</v>
      </c>
    </row>
    <row r="72" spans="1:9" s="624" customFormat="1" ht="15.75" customHeight="1">
      <c r="A72" s="566" t="s">
        <v>147</v>
      </c>
      <c r="B72" s="649" t="s">
        <v>199</v>
      </c>
      <c r="C72" s="644">
        <v>905</v>
      </c>
      <c r="D72" s="657">
        <f>SUMIF(A$2:A72,A72,C$2:C72)</f>
        <v>3685</v>
      </c>
      <c r="E72" s="646">
        <f>IF(VLOOKUP(A72,合同台帐!$A$4:$K$195,7,1)&gt;0,VLOOKUP(A72,合同台帐!$A$4:$K$195,7,1)-D72,VLOOKUP(A72,合同台帐!$A$4:$F$195,6,1)-D72)</f>
        <v>0</v>
      </c>
      <c r="F72" s="647" t="str">
        <f>VLOOKUP(A72,合同台帐!$A$4:$D$195,4,1)</f>
        <v>图纸打印</v>
      </c>
      <c r="G72" s="647">
        <f>VLOOKUP(A72,合同台帐!$A$4:$E$195,5,1)</f>
        <v>0</v>
      </c>
      <c r="H72" s="648" t="s">
        <v>158</v>
      </c>
      <c r="I72" s="510" t="str">
        <f>IF(A72&lt;&gt;0,VLOOKUP(A72,合同台帐!$A$4:$C$893,3,0),"")</f>
        <v>前设图</v>
      </c>
    </row>
    <row r="73" spans="1:9" s="624" customFormat="1" ht="15.75" customHeight="1">
      <c r="A73" s="566" t="s">
        <v>207</v>
      </c>
      <c r="B73" s="649" t="s">
        <v>208</v>
      </c>
      <c r="C73" s="644">
        <v>45600</v>
      </c>
      <c r="D73" s="657">
        <f>SUMIF(A$2:A73,A73,C$2:C73)</f>
        <v>45600</v>
      </c>
      <c r="E73" s="646">
        <f>IF(VLOOKUP(A73,合同台帐!$A$4:$K$195,7,1)&gt;0,VLOOKUP(A73,合同台帐!$A$4:$K$195,7,1)-D73,VLOOKUP(A73,合同台帐!$A$4:$F$195,6,1)-D73)</f>
        <v>0</v>
      </c>
      <c r="F73" s="647" t="str">
        <f>VLOOKUP(A73,合同台帐!$A$4:$D$195,4,1)</f>
        <v>建设工程交易服务费（一期）</v>
      </c>
      <c r="G73" s="647" t="str">
        <f>VLOOKUP(A73,合同台帐!$A$4:$E$195,5,1)</f>
        <v>蓟县建设管理委员会</v>
      </c>
      <c r="H73" s="648" t="s">
        <v>105</v>
      </c>
      <c r="I73" s="510" t="str">
        <f>IF(A73&lt;&gt;0,VLOOKUP(A73,合同台帐!$A$4:$C$893,3,0),"")</f>
        <v>前标服</v>
      </c>
    </row>
    <row r="74" spans="1:9" s="624" customFormat="1" ht="15.75" customHeight="1">
      <c r="A74" s="566" t="s">
        <v>209</v>
      </c>
      <c r="B74" s="649" t="s">
        <v>208</v>
      </c>
      <c r="C74" s="644">
        <v>21600</v>
      </c>
      <c r="D74" s="657">
        <f>SUMIF(A$2:A74,A74,C$2:C74)</f>
        <v>21600</v>
      </c>
      <c r="E74" s="646">
        <f>IF(VLOOKUP(A74,合同台帐!$A$4:$K$195,7,1)&gt;0,VLOOKUP(A74,合同台帐!$A$4:$K$195,7,1)-D74,VLOOKUP(A74,合同台帐!$A$4:$F$195,6,1)-D74)</f>
        <v>0</v>
      </c>
      <c r="F74" s="647" t="str">
        <f>VLOOKUP(A74,合同台帐!$A$4:$D$195,4,1)</f>
        <v>工程监理交易服务费（全项目）</v>
      </c>
      <c r="G74" s="647" t="str">
        <f>VLOOKUP(A74,合同台帐!$A$4:$E$195,5,1)</f>
        <v>蓟县建设管理委员会</v>
      </c>
      <c r="H74" s="648" t="s">
        <v>105</v>
      </c>
      <c r="I74" s="510" t="str">
        <f>IF(A74&lt;&gt;0,VLOOKUP(A74,合同台帐!$A$4:$C$893,3,0),"")</f>
        <v>前标服</v>
      </c>
    </row>
    <row r="75" spans="1:9" s="624" customFormat="1" ht="15.75" customHeight="1">
      <c r="A75" s="566" t="s">
        <v>210</v>
      </c>
      <c r="B75" s="649" t="s">
        <v>211</v>
      </c>
      <c r="C75" s="644">
        <v>67500</v>
      </c>
      <c r="D75" s="657">
        <f>SUMIF(A$2:A75,A75,C$2:C75)</f>
        <v>67500</v>
      </c>
      <c r="E75" s="646">
        <f>IF(VLOOKUP(A75,合同台帐!$A$4:$K$195,7,1)&gt;0,VLOOKUP(A75,合同台帐!$A$4:$K$195,7,1)-D75,VLOOKUP(A75,合同台帐!$A$4:$F$195,6,1)-D75)</f>
        <v>0</v>
      </c>
      <c r="F75" s="647" t="str">
        <f>VLOOKUP(A75,合同台帐!$A$4:$D$195,4,1)</f>
        <v>环境报告评估合同</v>
      </c>
      <c r="G75" s="647" t="str">
        <f>VLOOKUP(A75,合同台帐!$A$4:$E$195,5,1)</f>
        <v>天津市环境工程评估中心</v>
      </c>
      <c r="H75" s="648" t="s">
        <v>105</v>
      </c>
      <c r="I75" s="510" t="str">
        <f>IF(A75&lt;&gt;0,VLOOKUP(A75,合同台帐!$A$4:$C$893,3,0),"")</f>
        <v>前环</v>
      </c>
    </row>
    <row r="76" spans="1:9" s="624" customFormat="1" ht="15.75" customHeight="1">
      <c r="A76" s="566" t="s">
        <v>212</v>
      </c>
      <c r="B76" s="649" t="s">
        <v>213</v>
      </c>
      <c r="C76" s="644">
        <v>300000</v>
      </c>
      <c r="D76" s="657">
        <f>SUMIF(A$2:A76,A76,C$2:C76)</f>
        <v>300000</v>
      </c>
      <c r="E76" s="646">
        <f>IF(VLOOKUP(A76,合同台帐!$A$4:$K$195,7,1)&gt;0,VLOOKUP(A76,合同台帐!$A$4:$K$195,7,1)-D76,VLOOKUP(A76,合同台帐!$A$4:$F$195,6,1)-D76)</f>
        <v>0</v>
      </c>
      <c r="F76" s="647" t="str">
        <f>VLOOKUP(A76,合同台帐!$A$4:$D$195,4,1)</f>
        <v>一标段稳定保证金（一期）</v>
      </c>
      <c r="G76" s="647" t="str">
        <f>VLOOKUP(A76,合同台帐!$A$4:$E$195,5,1)</f>
        <v>蓟县建设管理委员会</v>
      </c>
      <c r="H76" s="648" t="s">
        <v>105</v>
      </c>
      <c r="I76" s="510" t="str">
        <f>IF(A76&lt;&gt;0,VLOOKUP(A76,合同台帐!$A$4:$C$893,3,0),"")</f>
        <v>前稳</v>
      </c>
    </row>
    <row r="77" spans="1:9" s="625" customFormat="1" ht="15.75" customHeight="1">
      <c r="A77" s="29" t="s">
        <v>214</v>
      </c>
      <c r="B77" s="662" t="s">
        <v>213</v>
      </c>
      <c r="C77" s="663">
        <v>0</v>
      </c>
      <c r="D77" s="657">
        <f>SUMIF(A$2:A77,A77,C$2:C77)</f>
        <v>0</v>
      </c>
      <c r="E77" s="664">
        <f>IF(VLOOKUP(A77,合同台帐!$A$4:$K$195,7,1)&gt;0,VLOOKUP(A77,合同台帐!$A$4:$K$195,7,1)-D77,VLOOKUP(A77,合同台帐!$A$4:$F$195,6,1)-D77)</f>
        <v>0</v>
      </c>
      <c r="F77" s="665" t="str">
        <f>VLOOKUP(A77,合同台帐!$A$4:$D$195,4,1)</f>
        <v>文明施工措施费</v>
      </c>
      <c r="G77" s="665" t="str">
        <f>VLOOKUP(A77,合同台帐!$A$4:$E$195,5,1)</f>
        <v>蓟县建设管理委员会</v>
      </c>
      <c r="H77" s="666" t="s">
        <v>105</v>
      </c>
      <c r="I77" s="527" t="str">
        <f>IF(A77&lt;&gt;0,VLOOKUP(A77,合同台帐!$A$4:$C$893,3,0),"")</f>
        <v>前</v>
      </c>
    </row>
    <row r="78" spans="1:9" s="624" customFormat="1" ht="15.75" customHeight="1">
      <c r="A78" s="566" t="s">
        <v>215</v>
      </c>
      <c r="B78" s="649" t="s">
        <v>216</v>
      </c>
      <c r="C78" s="644">
        <v>12400</v>
      </c>
      <c r="D78" s="657">
        <f>SUMIF(A$2:A78,A78,C$2:C78)</f>
        <v>12400</v>
      </c>
      <c r="E78" s="646">
        <f>IF(VLOOKUP(A78,合同台帐!$A$4:$K$195,7,1)&gt;0,VLOOKUP(A78,合同台帐!$A$4:$K$195,7,1)-D78,VLOOKUP(A78,合同台帐!$A$4:$F$195,6,1)-D78)</f>
        <v>0</v>
      </c>
      <c r="F78" s="647" t="str">
        <f>VLOOKUP(A78,合同台帐!$A$4:$D$195,4,1)</f>
        <v>建安设备交易服务费（一期）蓟县收取</v>
      </c>
      <c r="G78" s="647" t="str">
        <f>VLOOKUP(A78,合同台帐!$A$4:$E$195,5,1)</f>
        <v>蓟县建设管理委员会</v>
      </c>
      <c r="H78" s="648" t="s">
        <v>105</v>
      </c>
      <c r="I78" s="510" t="str">
        <f>IF(A78&lt;&gt;0,VLOOKUP(A78,合同台帐!$A$4:$C$893,3,0),"")</f>
        <v>前标服</v>
      </c>
    </row>
    <row r="79" spans="1:9" s="624" customFormat="1" ht="15.75" customHeight="1">
      <c r="A79" s="566" t="s">
        <v>155</v>
      </c>
      <c r="B79" s="649" t="s">
        <v>217</v>
      </c>
      <c r="C79" s="644">
        <v>670893.75</v>
      </c>
      <c r="D79" s="657">
        <f>SUMIF(A$2:A79,A79,C$2:C79)</f>
        <v>1207608.75</v>
      </c>
      <c r="E79" s="646">
        <f>IF(VLOOKUP(A79,合同台帐!$A$4:$K$195,7,1)&gt;0,VLOOKUP(A79,合同台帐!$A$4:$K$195,7,1)-D79,VLOOKUP(A79,合同台帐!$A$4:$F$195,6,1)-D79)</f>
        <v>1475966.25</v>
      </c>
      <c r="F79" s="647" t="str">
        <f>VLOOKUP(A79,合同台帐!$A$4:$D$195,4,1)</f>
        <v>景观设计合同</v>
      </c>
      <c r="G79" s="647" t="str">
        <f>VLOOKUP(A79,合同台帐!$A$4:$E$195,5,1)</f>
        <v>天津宏石筑景景观设计有限公司（更名为：砂樘（天津）城市设计有限公司）</v>
      </c>
      <c r="H79" s="648" t="s">
        <v>113</v>
      </c>
      <c r="I79" s="510" t="str">
        <f>IF(A79&lt;&gt;0,VLOOKUP(A79,合同台帐!$A$4:$C$893,3,0),"")</f>
        <v>前设景</v>
      </c>
    </row>
    <row r="80" spans="1:9" s="624" customFormat="1" ht="15.75" customHeight="1">
      <c r="A80" s="566" t="s">
        <v>184</v>
      </c>
      <c r="B80" s="649" t="s">
        <v>218</v>
      </c>
      <c r="C80" s="644">
        <v>359629</v>
      </c>
      <c r="D80" s="657">
        <f>SUMIF(A$2:A80,A80,C$2:C80)</f>
        <v>1029629</v>
      </c>
      <c r="E80" s="646">
        <f>IF(VLOOKUP(A80,合同台帐!$A$4:$K$195,7,1)&gt;0,VLOOKUP(A80,合同台帐!$A$4:$K$195,7,1)-D80,VLOOKUP(A80,合同台帐!$A$4:$F$195,6,1)-D80)</f>
        <v>213850</v>
      </c>
      <c r="F80" s="647" t="str">
        <f>VLOOKUP(A80,合同台帐!$A$4:$D$195,4,1)</f>
        <v>挡土墙施工合同（西侧、南侧）</v>
      </c>
      <c r="G80" s="647" t="str">
        <f>VLOOKUP(A80,合同台帐!$A$4:$E$195,5,1)</f>
        <v>天津市蓟县振东建筑有限责任公司</v>
      </c>
      <c r="H80" s="648" t="s">
        <v>105</v>
      </c>
      <c r="I80" s="510" t="str">
        <f>IF(A80&lt;&gt;0,VLOOKUP(A80,合同台帐!$A$4:$C$893,3,0),"")</f>
        <v>建环外</v>
      </c>
    </row>
    <row r="81" spans="1:9" s="624" customFormat="1" ht="15.75" customHeight="1">
      <c r="A81" s="566" t="s">
        <v>219</v>
      </c>
      <c r="B81" s="649" t="s">
        <v>208</v>
      </c>
      <c r="C81" s="644">
        <v>50000</v>
      </c>
      <c r="D81" s="657">
        <f>SUMIF(A$2:A81,A81,C$2:C81)</f>
        <v>50000</v>
      </c>
      <c r="E81" s="646">
        <f>IF(VLOOKUP(A81,合同台帐!$A$4:$K$195,7,1)&gt;0,VLOOKUP(A81,合同台帐!$A$4:$K$195,7,1)-D81,VLOOKUP(A81,合同台帐!$A$4:$F$195,6,1)-D81)</f>
        <v>0</v>
      </c>
      <c r="F81" s="647" t="str">
        <f>VLOOKUP(A81,合同台帐!$A$4:$D$195,4,1)</f>
        <v>临时水施工费</v>
      </c>
      <c r="G81" s="647" t="str">
        <f>VLOOKUP(A81,合同台帐!$A$4:$E$195,5,1)</f>
        <v>蓟县自来水管理所</v>
      </c>
      <c r="H81" s="648" t="s">
        <v>105</v>
      </c>
      <c r="I81" s="510" t="str">
        <f>IF(A81&lt;&gt;0,VLOOKUP(A81,合同台帐!$A$4:$C$893,3,0),"")</f>
        <v>前临水</v>
      </c>
    </row>
    <row r="82" spans="1:9" s="626" customFormat="1" ht="15.75" customHeight="1">
      <c r="A82" s="518" t="s">
        <v>220</v>
      </c>
      <c r="B82" s="667" t="s">
        <v>221</v>
      </c>
      <c r="C82" s="668">
        <v>0</v>
      </c>
      <c r="D82" s="657">
        <f>SUMIF(A$2:A82,A82,C$2:C82)</f>
        <v>0</v>
      </c>
      <c r="E82" s="669">
        <f>IF(VLOOKUP(A82,合同台帐!$A$4:$K$195,7,1)&gt;0,VLOOKUP(A82,合同台帐!$A$4:$K$195,7,1)-D82,VLOOKUP(A82,合同台帐!$A$4:$F$195,6,1)-D82)</f>
        <v>0</v>
      </c>
      <c r="F82" s="670" t="str">
        <f>VLOOKUP(A82,合同台帐!$A$4:$D$195,4,1)</f>
        <v>农民工资预储工资</v>
      </c>
      <c r="G82" s="670" t="str">
        <f>VLOOKUP(A82,合同台帐!$A$4:$E$195,5,1)</f>
        <v>蓟县建设管理委员会</v>
      </c>
      <c r="H82" s="671" t="s">
        <v>105</v>
      </c>
      <c r="I82" s="689" t="str">
        <f>IF(A82&lt;&gt;0,VLOOKUP(A82,合同台帐!$A$4:$C$893,3,0),"")</f>
        <v>前</v>
      </c>
    </row>
    <row r="83" spans="1:9" s="625" customFormat="1" ht="15.75" customHeight="1">
      <c r="A83" s="29" t="s">
        <v>222</v>
      </c>
      <c r="B83" s="662" t="s">
        <v>223</v>
      </c>
      <c r="C83" s="663">
        <v>0</v>
      </c>
      <c r="D83" s="657">
        <f>SUMIF(A$2:A83,A83,C$2:C83)</f>
        <v>0</v>
      </c>
      <c r="E83" s="664">
        <f>IF(VLOOKUP(A83,合同台帐!$A$4:$K$195,7,1)&gt;0,VLOOKUP(A83,合同台帐!$A$4:$K$195,7,1)-D83,VLOOKUP(A83,合同台帐!$A$4:$F$195,6,1)-D83)</f>
        <v>0</v>
      </c>
      <c r="F83" s="665" t="str">
        <f>VLOOKUP(A83,合同台帐!$A$4:$D$195,4,1)</f>
        <v>临时用水水费（一期）</v>
      </c>
      <c r="G83" s="665" t="str">
        <f>VLOOKUP(A83,合同台帐!$A$4:$E$195,5,1)</f>
        <v>蓟县自来水管理所</v>
      </c>
      <c r="H83" s="666" t="s">
        <v>105</v>
      </c>
      <c r="I83" s="527" t="str">
        <f>IF(A83&lt;&gt;0,VLOOKUP(A83,合同台帐!$A$4:$C$893,3,0),"")</f>
        <v>前</v>
      </c>
    </row>
    <row r="84" spans="1:9" s="623" customFormat="1" ht="15.75" customHeight="1">
      <c r="A84" s="566" t="s">
        <v>224</v>
      </c>
      <c r="B84" s="649" t="s">
        <v>225</v>
      </c>
      <c r="C84" s="576">
        <v>9505</v>
      </c>
      <c r="D84" s="657">
        <f>SUMIF(A$2:A84,A84,C$2:C84)</f>
        <v>9505</v>
      </c>
      <c r="E84" s="658">
        <f>IF(VLOOKUP(A84,合同台帐!$A$4:$K$195,7,1)&gt;0,VLOOKUP(A84,合同台帐!$A$4:$K$195,7,1)-D84,VLOOKUP(A84,合同台帐!$A$4:$F$195,6,1)-D84)</f>
        <v>0</v>
      </c>
      <c r="F84" s="659" t="str">
        <f>VLOOKUP(A84,合同台帐!$A$4:$D$195,4,1)</f>
        <v>临水施工占路及修复费</v>
      </c>
      <c r="G84" s="659" t="str">
        <f>VLOOKUP(A84,合同台帐!$A$4:$E$195,5,1)</f>
        <v>天津市蓟县路政支队</v>
      </c>
      <c r="H84" s="660"/>
      <c r="I84" s="522" t="str">
        <f>IF(A84&lt;&gt;0,VLOOKUP(A84,合同台帐!$A$4:$C$893,3,0),"")</f>
        <v>前临水</v>
      </c>
    </row>
    <row r="85" spans="1:9" s="623" customFormat="1" ht="15.75" customHeight="1">
      <c r="A85" s="566" t="s">
        <v>226</v>
      </c>
      <c r="B85" s="649" t="s">
        <v>227</v>
      </c>
      <c r="C85" s="576">
        <v>120586.4</v>
      </c>
      <c r="D85" s="657">
        <f>SUMIF(A$2:A85,A85,C$2:C85)</f>
        <v>120586.4</v>
      </c>
      <c r="E85" s="658">
        <f>IF(VLOOKUP(A85,合同台帐!$A$4:$K$195,7,1)&gt;0,VLOOKUP(A85,合同台帐!$A$4:$K$195,7,1)-D85,VLOOKUP(A85,合同台帐!$A$4:$F$195,6,1)-D85)</f>
        <v>30146.600000000006</v>
      </c>
      <c r="F85" s="659" t="str">
        <f>VLOOKUP(A85,合同台帐!$A$4:$D$195,4,1)</f>
        <v>招投标代理（设计、勘察、工程、监理）</v>
      </c>
      <c r="G85" s="659" t="str">
        <f>VLOOKUP(A85,合同台帐!$A$4:$E$195,5,1)</f>
        <v>天津建安建设项目管理有限公司</v>
      </c>
      <c r="H85" s="660"/>
      <c r="I85" s="522" t="str">
        <f>IF(A85&lt;&gt;0,VLOOKUP(A85,合同台帐!$A$4:$C$893,3,0),"")</f>
        <v>前标代</v>
      </c>
    </row>
    <row r="86" spans="1:9" s="623" customFormat="1" ht="15.75" customHeight="1">
      <c r="A86" s="566" t="s">
        <v>172</v>
      </c>
      <c r="B86" s="649" t="s">
        <v>228</v>
      </c>
      <c r="C86" s="576">
        <v>33000</v>
      </c>
      <c r="D86" s="657">
        <f>SUMIF(A$2:A86,A86,C$2:C86)</f>
        <v>165000</v>
      </c>
      <c r="E86" s="658">
        <f>IF(VLOOKUP(A86,合同台帐!$A$4:$K$195,7,1)&gt;0,VLOOKUP(A86,合同台帐!$A$4:$K$195,7,1)-D86,VLOOKUP(A86,合同台帐!$A$4:$F$195,6,1)-D86)</f>
        <v>0</v>
      </c>
      <c r="F86" s="659" t="str">
        <f>VLOOKUP(A86,合同台帐!$A$4:$D$195,4,1)</f>
        <v>技术咨询合同(环评）</v>
      </c>
      <c r="G86" s="659" t="str">
        <f>VLOOKUP(A86,合同台帐!$A$4:$E$195,5,1)</f>
        <v>天津市环境保护科学研究院</v>
      </c>
      <c r="H86" s="660"/>
      <c r="I86" s="522" t="str">
        <f>IF(A86&lt;&gt;0,VLOOKUP(A86,合同台帐!$A$4:$C$893,3,0),"")</f>
        <v>前环评</v>
      </c>
    </row>
    <row r="87" spans="1:9" s="623" customFormat="1" ht="15.75" customHeight="1">
      <c r="A87" s="566" t="s">
        <v>166</v>
      </c>
      <c r="B87" s="649" t="s">
        <v>229</v>
      </c>
      <c r="C87" s="576">
        <v>43000</v>
      </c>
      <c r="D87" s="657">
        <f>SUMIF(A$2:A87,A87,C$2:C87)</f>
        <v>430000</v>
      </c>
      <c r="E87" s="658">
        <f>IF(VLOOKUP(A87,合同台帐!$A$4:$K$195,7,1)&gt;0,VLOOKUP(A87,合同台帐!$A$4:$K$195,7,1)-D87,VLOOKUP(A87,合同台帐!$A$4:$F$195,6,1)-D87)</f>
        <v>0</v>
      </c>
      <c r="F87" s="659" t="str">
        <f>VLOOKUP(A87,合同台帐!$A$4:$D$195,4,1)</f>
        <v>临电工程费</v>
      </c>
      <c r="G87" s="659" t="str">
        <f>VLOOKUP(A87,合同台帐!$A$4:$E$195,5,1)</f>
        <v>天津市信弘德电力工程有限公司蓟县分公司</v>
      </c>
      <c r="H87" s="660"/>
      <c r="I87" s="522" t="str">
        <f>IF(A87&lt;&gt;0,VLOOKUP(A87,合同台帐!$A$4:$C$893,3,0),"")</f>
        <v>前临电</v>
      </c>
    </row>
    <row r="88" spans="1:9" s="623" customFormat="1" ht="15.75" customHeight="1">
      <c r="A88" s="566" t="s">
        <v>230</v>
      </c>
      <c r="B88" s="649" t="s">
        <v>231</v>
      </c>
      <c r="C88" s="576">
        <v>80518.990000000005</v>
      </c>
      <c r="D88" s="657">
        <f>SUMIF(A$2:A88,A88,C$2:C88)</f>
        <v>80518.990000000005</v>
      </c>
      <c r="E88" s="658">
        <f>IF(VLOOKUP(A88,合同台帐!$A$4:$K$195,7,1)&gt;0,VLOOKUP(A88,合同台帐!$A$4:$K$195,7,1)-D88,VLOOKUP(A88,合同台帐!$A$4:$F$195,6,1)-D88)</f>
        <v>0</v>
      </c>
      <c r="F88" s="659" t="str">
        <f>VLOOKUP(A88,合同台帐!$A$4:$D$195,4,1)</f>
        <v>前置面积测量（一期）</v>
      </c>
      <c r="G88" s="659" t="str">
        <f>VLOOKUP(A88,合同台帐!$A$4:$E$195,5,1)</f>
        <v>天津市国土资源测绘和房屋测量中心</v>
      </c>
      <c r="H88" s="660"/>
      <c r="I88" s="522" t="str">
        <f>IF(A88&lt;&gt;0,VLOOKUP(A88,合同台帐!$A$4:$C$893,3,0),"")</f>
        <v>前面</v>
      </c>
    </row>
    <row r="89" spans="1:9" s="623" customFormat="1" ht="15.75" customHeight="1">
      <c r="A89" s="566" t="s">
        <v>232</v>
      </c>
      <c r="B89" s="649" t="s">
        <v>233</v>
      </c>
      <c r="C89" s="576">
        <v>100000</v>
      </c>
      <c r="D89" s="657">
        <f>SUMIF(A$2:A89,A89,C$2:C89)</f>
        <v>100000</v>
      </c>
      <c r="E89" s="658">
        <f>IF(VLOOKUP(A89,合同台帐!$A$4:$K$195,7,1)&gt;0,VLOOKUP(A89,合同台帐!$A$4:$K$195,7,1)-D89,VLOOKUP(A89,合同台帐!$A$4:$F$195,6,1)-D89)</f>
        <v>637340</v>
      </c>
      <c r="F89" s="659" t="str">
        <f>VLOOKUP(A89,合同台帐!$A$4:$D$195,4,1)</f>
        <v>售楼处样板间精装设计合同</v>
      </c>
      <c r="G89" s="659" t="str">
        <f>VLOOKUP(A89,合同台帐!$A$4:$E$195,5,1)</f>
        <v>北京米罗那装饰设计有限公司</v>
      </c>
      <c r="H89" s="660"/>
      <c r="I89" s="522" t="str">
        <f>IF(A89&lt;&gt;0,VLOOKUP(A89,合同台帐!$A$4:$C$893,3,0),"")</f>
        <v>前设</v>
      </c>
    </row>
    <row r="90" spans="1:9" s="623" customFormat="1" ht="15.75" customHeight="1">
      <c r="A90" s="566" t="s">
        <v>234</v>
      </c>
      <c r="B90" s="649" t="s">
        <v>235</v>
      </c>
      <c r="C90" s="576">
        <v>250000</v>
      </c>
      <c r="D90" s="657">
        <f>SUMIF(A$2:A90,A90,C$2:C90)</f>
        <v>250000</v>
      </c>
      <c r="E90" s="658">
        <f>IF(VLOOKUP(A90,合同台帐!$A$4:$K$195,7,1)&gt;0,VLOOKUP(A90,合同台帐!$A$4:$K$195,7,1)-D90,VLOOKUP(A90,合同台帐!$A$4:$F$195,6,1)-D90)</f>
        <v>309667</v>
      </c>
      <c r="F90" s="659" t="str">
        <f>VLOOKUP(A90,合同台帐!$A$4:$D$195,4,1)</f>
        <v>大门入口外檐装饰</v>
      </c>
      <c r="G90" s="659" t="str">
        <f>VLOOKUP(A90,合同台帐!$A$4:$E$195,5,1)</f>
        <v>天津万通达建筑工程有限公司</v>
      </c>
      <c r="H90" s="660"/>
      <c r="I90" s="522" t="str">
        <f>IF(A90&lt;&gt;0,VLOOKUP(A90,合同台帐!$A$4:$C$893,3,0),"")</f>
        <v>建主</v>
      </c>
    </row>
    <row r="91" spans="1:9" s="623" customFormat="1" ht="15.75" customHeight="1">
      <c r="A91" s="566" t="s">
        <v>110</v>
      </c>
      <c r="B91" s="649" t="s">
        <v>236</v>
      </c>
      <c r="C91" s="576">
        <v>1377629</v>
      </c>
      <c r="D91" s="657">
        <f>SUMIF(A$2:A91,A91,C$2:C91)</f>
        <v>5277629</v>
      </c>
      <c r="E91" s="658">
        <f>IF(VLOOKUP(A91,合同台帐!$A$4:$K$195,7,1)&gt;0,VLOOKUP(A91,合同台帐!$A$4:$K$195,7,1)-D91,VLOOKUP(A91,合同台帐!$A$4:$F$195,6,1)-D91)</f>
        <v>2522371</v>
      </c>
      <c r="F91" s="659" t="str">
        <f>VLOOKUP(A91,合同台帐!$A$4:$D$195,4,1)</f>
        <v>建筑方案及施工图设计合同</v>
      </c>
      <c r="G91" s="659" t="str">
        <f>VLOOKUP(A91,合同台帐!$A$4:$E$195,5,1)</f>
        <v>北京新纪元建筑工程设计有限公司</v>
      </c>
      <c r="H91" s="660"/>
      <c r="I91" s="522" t="str">
        <f>IF(A91&lt;&gt;0,VLOOKUP(A91,合同台帐!$A$4:$C$893,3,0),"")</f>
        <v>前设设</v>
      </c>
    </row>
    <row r="92" spans="1:9" s="623" customFormat="1" ht="15.75" customHeight="1">
      <c r="A92" s="566" t="s">
        <v>136</v>
      </c>
      <c r="B92" s="649" t="s">
        <v>237</v>
      </c>
      <c r="C92" s="576">
        <v>336425</v>
      </c>
      <c r="D92" s="657">
        <f>SUMIF(A$2:A92,A92,C$2:C92)</f>
        <v>3736425</v>
      </c>
      <c r="E92" s="658">
        <f>IF(VLOOKUP(A92,合同台帐!$A$4:$K$195,7,1)&gt;0,VLOOKUP(A92,合同台帐!$A$4:$K$195,7,1)-D92,VLOOKUP(A92,合同台帐!$A$4:$F$195,6,1)-D92)</f>
        <v>3013575</v>
      </c>
      <c r="F92" s="659" t="str">
        <f>VLOOKUP(A92,合同台帐!$A$4:$D$195,4,1)</f>
        <v>场地平整</v>
      </c>
      <c r="G92" s="659" t="str">
        <f>VLOOKUP(A92,合同台帐!$A$4:$E$195,5,1)</f>
        <v>天津市蓟县振东建筑有限责任公司</v>
      </c>
      <c r="H92" s="660"/>
      <c r="I92" s="522" t="str">
        <f>IF(A92&lt;&gt;0,VLOOKUP(A92,合同台帐!$A$4:$C$893,3,0),"")</f>
        <v>前临土</v>
      </c>
    </row>
    <row r="93" spans="1:9" s="623" customFormat="1" ht="15.75" customHeight="1">
      <c r="A93" s="566" t="s">
        <v>184</v>
      </c>
      <c r="B93" s="649" t="s">
        <v>237</v>
      </c>
      <c r="C93" s="576">
        <v>213850</v>
      </c>
      <c r="D93" s="657">
        <f>SUMIF(A$2:A93,A93,C$2:C93)</f>
        <v>1243479</v>
      </c>
      <c r="E93" s="658">
        <f>IF(VLOOKUP(A93,合同台帐!$A$4:$K$195,7,1)&gt;0,VLOOKUP(A93,合同台帐!$A$4:$K$195,7,1)-D93,VLOOKUP(A93,合同台帐!$A$4:$F$195,6,1)-D93)</f>
        <v>0</v>
      </c>
      <c r="F93" s="659" t="str">
        <f>VLOOKUP(A93,合同台帐!$A$4:$D$195,4,1)</f>
        <v>挡土墙施工合同（西侧、南侧）</v>
      </c>
      <c r="G93" s="659" t="str">
        <f>VLOOKUP(A93,合同台帐!$A$4:$E$195,5,1)</f>
        <v>天津市蓟县振东建筑有限责任公司</v>
      </c>
      <c r="H93" s="660"/>
      <c r="I93" s="522" t="str">
        <f>IF(A93&lt;&gt;0,VLOOKUP(A93,合同台帐!$A$4:$C$893,3,0),"")</f>
        <v>建环外</v>
      </c>
    </row>
    <row r="94" spans="1:9" s="623" customFormat="1" ht="15.75" customHeight="1">
      <c r="A94" s="566" t="s">
        <v>238</v>
      </c>
      <c r="B94" s="649" t="s">
        <v>237</v>
      </c>
      <c r="C94" s="576">
        <v>120000</v>
      </c>
      <c r="D94" s="657">
        <f>SUMIF(A$2:A94,A94,C$2:C94)</f>
        <v>120000</v>
      </c>
      <c r="E94" s="658">
        <f>IF(VLOOKUP(A94,合同台帐!$A$4:$K$195,7,1)&gt;0,VLOOKUP(A94,合同台帐!$A$4:$K$195,7,1)-D94,VLOOKUP(A94,合同台帐!$A$4:$F$195,6,1)-D94)</f>
        <v>30000</v>
      </c>
      <c r="F94" s="659" t="str">
        <f>VLOOKUP(A94,合同台帐!$A$4:$D$195,4,1)</f>
        <v>蓟县项目综合管网设计合同（方案）</v>
      </c>
      <c r="G94" s="659" t="str">
        <f>VLOOKUP(A94,合同台帐!$A$4:$E$195,5,1)</f>
        <v>天津华厦建筑设计有限公司</v>
      </c>
      <c r="H94" s="660"/>
      <c r="I94" s="522" t="str">
        <f>IF(A94&lt;&gt;0,VLOOKUP(A94,合同台帐!$A$4:$C$893,3,0),"")</f>
        <v>前设网</v>
      </c>
    </row>
    <row r="95" spans="1:9" s="623" customFormat="1" ht="15.75" customHeight="1">
      <c r="A95" s="566" t="s">
        <v>159</v>
      </c>
      <c r="B95" s="649" t="s">
        <v>237</v>
      </c>
      <c r="C95" s="576">
        <v>59700</v>
      </c>
      <c r="D95" s="657">
        <f>SUMIF(A$2:A95,A95,C$2:C95)</f>
        <v>149250</v>
      </c>
      <c r="E95" s="658">
        <f>IF(VLOOKUP(A95,合同台帐!$A$4:$K$195,7,1)&gt;0,VLOOKUP(A95,合同台帐!$A$4:$K$195,7,1)-D95,VLOOKUP(A95,合同台帐!$A$4:$F$195,6,1)-D95)</f>
        <v>300430</v>
      </c>
      <c r="F95" s="659" t="str">
        <f>VLOOKUP(A95,合同台帐!$A$4:$D$195,4,1)</f>
        <v>地库及人防设计合同</v>
      </c>
      <c r="G95" s="659" t="str">
        <f>VLOOKUP(A95,合同台帐!$A$4:$E$195,5,1)</f>
        <v>天津冶金规划设计院</v>
      </c>
      <c r="H95" s="660"/>
      <c r="I95" s="522" t="str">
        <f>IF(A95&lt;&gt;0,VLOOKUP(A95,合同台帐!$A$4:$C$893,3,0),"")</f>
        <v>前设其</v>
      </c>
    </row>
    <row r="96" spans="1:9" s="623" customFormat="1" ht="15.75" customHeight="1">
      <c r="A96" s="566" t="s">
        <v>239</v>
      </c>
      <c r="B96" s="649" t="s">
        <v>240</v>
      </c>
      <c r="C96" s="576">
        <v>131400</v>
      </c>
      <c r="D96" s="657">
        <f>SUMIF(A$2:A96,A96,C$2:C96)</f>
        <v>131400</v>
      </c>
      <c r="E96" s="658">
        <f>IF(VLOOKUP(A96,合同台帐!$A$4:$K$195,7,1)&gt;0,VLOOKUP(A96,合同台帐!$A$4:$K$195,7,1)-D96,VLOOKUP(A96,合同台帐!$A$4:$F$195,6,1)-D96)</f>
        <v>0</v>
      </c>
      <c r="F96" s="659" t="str">
        <f>VLOOKUP(A96,合同台帐!$A$4:$D$195,4,1)</f>
        <v>南侧道路开口</v>
      </c>
      <c r="G96" s="659" t="str">
        <f>VLOOKUP(A96,合同台帐!$A$4:$E$195,5,1)</f>
        <v>天津市蓟县公路路政支队</v>
      </c>
      <c r="H96" s="660"/>
      <c r="I96" s="522" t="str">
        <f>IF(A96&lt;&gt;0,VLOOKUP(A96,合同台帐!$A$4:$C$893,3,0),"")</f>
        <v>前道口</v>
      </c>
    </row>
    <row r="97" spans="1:9" s="623" customFormat="1" ht="15.75" customHeight="1">
      <c r="A97" s="566" t="s">
        <v>241</v>
      </c>
      <c r="B97" s="649" t="s">
        <v>240</v>
      </c>
      <c r="C97" s="576">
        <v>39911.519999999997</v>
      </c>
      <c r="D97" s="657">
        <f>SUMIF(A$2:A97,A97,C$2:C97)</f>
        <v>39911.519999999997</v>
      </c>
      <c r="E97" s="658">
        <f>IF(VLOOKUP(A97,合同台帐!$A$4:$K$195,7,1)&gt;0,VLOOKUP(A97,合同台帐!$A$4:$K$195,7,1)-D97,VLOOKUP(A97,合同台帐!$A$4:$F$195,6,1)-D97)</f>
        <v>0</v>
      </c>
      <c r="F97" s="659" t="str">
        <f>VLOOKUP(A97,合同台帐!$A$4:$D$195,4,1)</f>
        <v>物业招标服务费（全项目）</v>
      </c>
      <c r="G97" s="659" t="str">
        <f>VLOOKUP(A97,合同台帐!$A$4:$E$195,5,1)</f>
        <v>天津市物业管理招标服务中心</v>
      </c>
      <c r="H97" s="660"/>
      <c r="I97" s="522" t="str">
        <f>IF(A97&lt;&gt;0,VLOOKUP(A97,合同台帐!$A$4:$C$893,3,0),"")</f>
        <v>前标服</v>
      </c>
    </row>
    <row r="98" spans="1:9" s="623" customFormat="1" ht="15.75" customHeight="1">
      <c r="A98" s="566" t="s">
        <v>232</v>
      </c>
      <c r="B98" s="649" t="s">
        <v>242</v>
      </c>
      <c r="C98" s="576">
        <v>285000</v>
      </c>
      <c r="D98" s="657">
        <f>SUMIF(A$2:A98,A98,C$2:C98)</f>
        <v>385000</v>
      </c>
      <c r="E98" s="658">
        <f>IF(VLOOKUP(A98,合同台帐!$A$4:$K$195,7,1)&gt;0,VLOOKUP(A98,合同台帐!$A$4:$K$195,7,1)-D98,VLOOKUP(A98,合同台帐!$A$4:$F$195,6,1)-D98)</f>
        <v>352340</v>
      </c>
      <c r="F98" s="659" t="str">
        <f>VLOOKUP(A98,合同台帐!$A$4:$D$195,4,1)</f>
        <v>售楼处样板间精装设计合同</v>
      </c>
      <c r="G98" s="659" t="str">
        <f>VLOOKUP(A98,合同台帐!$A$4:$E$195,5,1)</f>
        <v>北京米罗那装饰设计有限公司</v>
      </c>
      <c r="H98" s="660"/>
      <c r="I98" s="522" t="str">
        <f>IF(A98&lt;&gt;0,VLOOKUP(A98,合同台帐!$A$4:$C$893,3,0),"")</f>
        <v>前设</v>
      </c>
    </row>
    <row r="99" spans="1:9" s="623" customFormat="1" ht="15.75" customHeight="1">
      <c r="A99" s="566" t="s">
        <v>243</v>
      </c>
      <c r="B99" s="649" t="s">
        <v>242</v>
      </c>
      <c r="C99" s="576">
        <v>264625</v>
      </c>
      <c r="D99" s="657">
        <f>SUMIF(A$2:A99,A99,C$2:C99)</f>
        <v>264625</v>
      </c>
      <c r="E99" s="658">
        <f>IF(VLOOKUP(A99,合同台帐!$A$4:$K$195,7,1)&gt;0,VLOOKUP(A99,合同台帐!$A$4:$K$195,7,1)-D99,VLOOKUP(A99,合同台帐!$A$4:$F$195,6,1)-D99)</f>
        <v>0</v>
      </c>
      <c r="F99" s="659" t="str">
        <f>VLOOKUP(A99,合同台帐!$A$4:$D$195,4,1)</f>
        <v>西侧道路开口</v>
      </c>
      <c r="G99" s="659" t="str">
        <f>VLOOKUP(A99,合同台帐!$A$4:$E$195,5,1)</f>
        <v>天津市蓟县公路路政支队</v>
      </c>
      <c r="H99" s="660"/>
      <c r="I99" s="522" t="str">
        <f>IF(A99&lt;&gt;0,VLOOKUP(A99,合同台帐!$A$4:$C$893,3,0),"")</f>
        <v>前道口</v>
      </c>
    </row>
    <row r="100" spans="1:9" s="623" customFormat="1" ht="15.75" customHeight="1">
      <c r="A100" s="566" t="s">
        <v>244</v>
      </c>
      <c r="B100" s="649" t="s">
        <v>242</v>
      </c>
      <c r="C100" s="576">
        <v>70000</v>
      </c>
      <c r="D100" s="657">
        <f>SUMIF(A$2:A100,A100,C$2:C100)</f>
        <v>70000</v>
      </c>
      <c r="E100" s="658">
        <f>IF(VLOOKUP(A100,合同台帐!$A$4:$K$195,7,1)&gt;0,VLOOKUP(A100,合同台帐!$A$4:$K$195,7,1)-D100,VLOOKUP(A100,合同台帐!$A$4:$F$195,6,1)-D100)</f>
        <v>230000</v>
      </c>
      <c r="F100" s="659" t="str">
        <f>VLOOKUP(A100,合同台帐!$A$4:$D$195,4,1)</f>
        <v>（一、三期）造价咨询合同</v>
      </c>
      <c r="G100" s="659" t="str">
        <f>VLOOKUP(A100,合同台帐!$A$4:$E$195,5,1)</f>
        <v>天津中天华建工程咨询有限公司</v>
      </c>
      <c r="H100" s="660"/>
      <c r="I100" s="522" t="str">
        <f>IF(A100&lt;&gt;0,VLOOKUP(A100,合同台帐!$A$4:$C$893,3,0),"")</f>
        <v>前标咨</v>
      </c>
    </row>
    <row r="101" spans="1:9" s="623" customFormat="1" ht="15.75" customHeight="1">
      <c r="A101" s="566" t="s">
        <v>155</v>
      </c>
      <c r="B101" s="649" t="s">
        <v>242</v>
      </c>
      <c r="C101" s="576">
        <v>536715</v>
      </c>
      <c r="D101" s="657">
        <f>SUMIF(A$2:A101,A101,C$2:C101)</f>
        <v>1744323.75</v>
      </c>
      <c r="E101" s="658">
        <f>IF(VLOOKUP(A101,合同台帐!$A$4:$K$195,7,1)&gt;0,VLOOKUP(A101,合同台帐!$A$4:$K$195,7,1)-D101,VLOOKUP(A101,合同台帐!$A$4:$F$195,6,1)-D101)</f>
        <v>939251.25</v>
      </c>
      <c r="F101" s="659" t="str">
        <f>VLOOKUP(A101,合同台帐!$A$4:$D$195,4,1)</f>
        <v>景观设计合同</v>
      </c>
      <c r="G101" s="659" t="str">
        <f>VLOOKUP(A101,合同台帐!$A$4:$E$195,5,1)</f>
        <v>天津宏石筑景景观设计有限公司（更名为：砂樘（天津）城市设计有限公司）</v>
      </c>
      <c r="H101" s="660"/>
      <c r="I101" s="522" t="str">
        <f>IF(A101&lt;&gt;0,VLOOKUP(A101,合同台帐!$A$4:$C$893,3,0),"")</f>
        <v>前设景</v>
      </c>
    </row>
    <row r="102" spans="1:9" s="623" customFormat="1" ht="15.75" customHeight="1">
      <c r="A102" s="566" t="s">
        <v>245</v>
      </c>
      <c r="B102" s="649" t="s">
        <v>242</v>
      </c>
      <c r="C102" s="576">
        <v>70000</v>
      </c>
      <c r="D102" s="657">
        <f>SUMIF(A$2:A102,A102,C$2:C102)</f>
        <v>70000</v>
      </c>
      <c r="E102" s="658">
        <f>IF(VLOOKUP(A102,合同台帐!$A$4:$K$195,7,1)&gt;0,VLOOKUP(A102,合同台帐!$A$4:$K$195,7,1)-D102,VLOOKUP(A102,合同台帐!$A$4:$F$195,6,1)-D102)</f>
        <v>70000</v>
      </c>
      <c r="F102" s="659" t="str">
        <f>VLOOKUP(A102,合同台帐!$A$4:$D$195,4,1)</f>
        <v>物业招投标代理合同</v>
      </c>
      <c r="G102" s="659" t="str">
        <f>VLOOKUP(A102,合同台帐!$A$4:$E$195,5,1)</f>
        <v>天津市晓波房地产物业管理有限公司</v>
      </c>
      <c r="H102" s="660"/>
      <c r="I102" s="522" t="str">
        <f>IF(A102&lt;&gt;0,VLOOKUP(A102,合同台帐!$A$4:$C$893,3,0),"")</f>
        <v>前标代</v>
      </c>
    </row>
    <row r="103" spans="1:9" s="623" customFormat="1" ht="15.75" customHeight="1">
      <c r="A103" s="566" t="s">
        <v>246</v>
      </c>
      <c r="B103" s="649" t="s">
        <v>242</v>
      </c>
      <c r="C103" s="576">
        <v>128562</v>
      </c>
      <c r="D103" s="657">
        <f>SUMIF(A$2:A103,A103,C$2:C103)</f>
        <v>128562</v>
      </c>
      <c r="E103" s="658">
        <f>IF(VLOOKUP(A103,合同台帐!$A$4:$K$195,7,1)&gt;0,VLOOKUP(A103,合同台帐!$A$4:$K$195,7,1)-D103,VLOOKUP(A103,合同台帐!$A$4:$F$195,6,1)-D103)</f>
        <v>2442695</v>
      </c>
      <c r="F103" s="659" t="str">
        <f>VLOOKUP(A103,合同台帐!$A$4:$D$195,4,1)</f>
        <v>监理工程</v>
      </c>
      <c r="G103" s="659" t="str">
        <f>VLOOKUP(A103,合同台帐!$A$4:$E$195,5,1)</f>
        <v>天津市环外监理有限公司</v>
      </c>
      <c r="H103" s="660"/>
      <c r="I103" s="522" t="str">
        <f>IF(A103&lt;&gt;0,VLOOKUP(A103,合同台帐!$A$4:$C$893,3,0),"")</f>
        <v>建监</v>
      </c>
    </row>
    <row r="104" spans="1:9" s="627" customFormat="1" ht="15.75" customHeight="1">
      <c r="A104" s="672" t="s">
        <v>247</v>
      </c>
      <c r="B104" s="673" t="s">
        <v>242</v>
      </c>
      <c r="C104" s="674">
        <v>2710000</v>
      </c>
      <c r="D104" s="657">
        <f>SUMIF(A$2:A104,A104,C$2:C104)</f>
        <v>2710000</v>
      </c>
      <c r="E104" s="675">
        <f>IF(VLOOKUP(A104,合同台帐!$A$4:$K$195,7,1)&gt;0,VLOOKUP(A104,合同台帐!$A$4:$K$195,7,1)-D104,VLOOKUP(A104,合同台帐!$A$4:$F$195,6,1)-D104)</f>
        <v>107290000</v>
      </c>
      <c r="F104" s="676" t="str">
        <f>VLOOKUP(A104,合同台帐!$A$4:$D$195,4,1)</f>
        <v>总包一期工程</v>
      </c>
      <c r="G104" s="676" t="str">
        <f>VLOOKUP(A104,合同台帐!$A$4:$E$195,5,1)</f>
        <v>天津泉州建设工程集团有限公司</v>
      </c>
      <c r="H104" s="677"/>
      <c r="I104" s="690">
        <f>IF(A104&lt;&gt;0,VLOOKUP(A104,合同台帐!$A$4:$C$893,3,0),"")</f>
        <v>0</v>
      </c>
    </row>
    <row r="105" spans="1:9" s="623" customFormat="1" ht="15.75" customHeight="1">
      <c r="A105" s="566" t="s">
        <v>247</v>
      </c>
      <c r="B105" s="649" t="s">
        <v>242</v>
      </c>
      <c r="C105" s="576">
        <v>2000000</v>
      </c>
      <c r="D105" s="657">
        <f>SUMIF(A$2:A105,A105,C$2:C105)</f>
        <v>4710000</v>
      </c>
      <c r="E105" s="658">
        <f>IF(VLOOKUP(A105,合同台帐!$A$4:$K$195,7,1)&gt;0,VLOOKUP(A105,合同台帐!$A$4:$K$195,7,1)-D105,VLOOKUP(A105,合同台帐!$A$4:$F$195,6,1)-D105)</f>
        <v>105290000</v>
      </c>
      <c r="F105" s="659" t="str">
        <f>VLOOKUP(A105,合同台帐!$A$4:$D$195,4,1)</f>
        <v>总包一期工程</v>
      </c>
      <c r="G105" s="659" t="str">
        <f>VLOOKUP(A105,合同台帐!$A$4:$E$195,5,1)</f>
        <v>天津泉州建设工程集团有限公司</v>
      </c>
      <c r="H105" s="660"/>
      <c r="I105" s="522">
        <f>IF(A105&lt;&gt;0,VLOOKUP(A105,合同台帐!$A$4:$C$893,3,0),"")</f>
        <v>0</v>
      </c>
    </row>
    <row r="106" spans="1:9" s="623" customFormat="1" ht="15.75" customHeight="1">
      <c r="A106" s="566" t="s">
        <v>247</v>
      </c>
      <c r="B106" s="649" t="s">
        <v>242</v>
      </c>
      <c r="C106" s="576">
        <v>200000</v>
      </c>
      <c r="D106" s="657">
        <f>SUMIF(A$2:A106,A106,C$2:C106)</f>
        <v>4910000</v>
      </c>
      <c r="E106" s="658">
        <f>IF(VLOOKUP(A106,合同台帐!$A$4:$K$195,7,1)&gt;0,VLOOKUP(A106,合同台帐!$A$4:$K$195,7,1)-D106,VLOOKUP(A106,合同台帐!$A$4:$F$195,6,1)-D106)</f>
        <v>105090000</v>
      </c>
      <c r="F106" s="659" t="str">
        <f>VLOOKUP(A106,合同台帐!$A$4:$D$195,4,1)</f>
        <v>总包一期工程</v>
      </c>
      <c r="G106" s="659" t="str">
        <f>VLOOKUP(A106,合同台帐!$A$4:$E$195,5,1)</f>
        <v>天津泉州建设工程集团有限公司</v>
      </c>
      <c r="H106" s="660"/>
      <c r="I106" s="522">
        <f>IF(A106&lt;&gt;0,VLOOKUP(A106,合同台帐!$A$4:$C$893,3,0),"")</f>
        <v>0</v>
      </c>
    </row>
    <row r="107" spans="1:9" s="628" customFormat="1" ht="15.75" customHeight="1">
      <c r="A107" s="36" t="s">
        <v>247</v>
      </c>
      <c r="B107" s="678" t="s">
        <v>242</v>
      </c>
      <c r="C107" s="679">
        <v>6540000</v>
      </c>
      <c r="D107" s="657">
        <f>SUMIF(A$2:A107,A107,C$2:C107)</f>
        <v>11450000</v>
      </c>
      <c r="E107" s="680">
        <f>IF(VLOOKUP(A107,合同台帐!$A$4:$K$195,7,1)&gt;0,VLOOKUP(A107,合同台帐!$A$4:$K$195,7,1)-D107,VLOOKUP(A107,合同台帐!$A$4:$F$195,6,1)-D107)</f>
        <v>98550000</v>
      </c>
      <c r="F107" s="681" t="str">
        <f>VLOOKUP(A107,合同台帐!$A$4:$D$195,4,1)</f>
        <v>总包一期工程</v>
      </c>
      <c r="G107" s="681" t="str">
        <f>VLOOKUP(A107,合同台帐!$A$4:$E$195,5,1)</f>
        <v>天津泉州建设工程集团有限公司</v>
      </c>
      <c r="H107" s="682"/>
      <c r="I107" s="512">
        <f>IF(A107&lt;&gt;0,VLOOKUP(A107,合同台帐!$A$4:$C$893,3,0),"")</f>
        <v>0</v>
      </c>
    </row>
    <row r="108" spans="1:9" s="623" customFormat="1" ht="15.75" customHeight="1">
      <c r="A108" s="566" t="s">
        <v>248</v>
      </c>
      <c r="B108" s="649" t="s">
        <v>249</v>
      </c>
      <c r="C108" s="576">
        <v>0</v>
      </c>
      <c r="D108" s="657">
        <f>SUMIF(A$2:A108,A108,C$2:C108)</f>
        <v>0</v>
      </c>
      <c r="E108" s="658">
        <f>IF(VLOOKUP(A108,合同台帐!$A$4:$K$195,7,1)&gt;0,VLOOKUP(A108,合同台帐!$A$4:$K$195,7,1)-D108,VLOOKUP(A108,合同台帐!$A$4:$F$195,6,1)-D108)</f>
        <v>0</v>
      </c>
      <c r="F108" s="659" t="str">
        <f>VLOOKUP(A108,合同台帐!$A$4:$D$195,4,1)</f>
        <v>一期在建工程评估费</v>
      </c>
      <c r="G108" s="659" t="str">
        <f>VLOOKUP(A108,合同台帐!$A$4:$E$195,5,1)</f>
        <v>天津杰诺德房地产价格评估咨询有限公司</v>
      </c>
      <c r="H108" s="660"/>
      <c r="I108" s="522" t="str">
        <f>IF(A108&lt;&gt;0,VLOOKUP(A108,合同台帐!$A$4:$C$893,3,0),"")</f>
        <v>前其他</v>
      </c>
    </row>
    <row r="109" spans="1:9" s="623" customFormat="1" ht="15.75" customHeight="1">
      <c r="A109" s="566" t="s">
        <v>250</v>
      </c>
      <c r="B109" s="649" t="s">
        <v>249</v>
      </c>
      <c r="C109" s="576">
        <v>240</v>
      </c>
      <c r="D109" s="657">
        <f>SUMIF(A$2:A109,A109,C$2:C109)</f>
        <v>240</v>
      </c>
      <c r="E109" s="658">
        <f>IF(VLOOKUP(A109,合同台帐!$A$4:$K$195,7,1)&gt;0,VLOOKUP(A109,合同台帐!$A$4:$K$195,7,1)-D109,VLOOKUP(A109,合同台帐!$A$4:$F$195,6,1)-D109)</f>
        <v>0</v>
      </c>
      <c r="F109" s="659" t="str">
        <f>VLOOKUP(A109,合同台帐!$A$4:$D$195,4,1)</f>
        <v>图纸复印费</v>
      </c>
      <c r="G109" s="659" t="str">
        <f>VLOOKUP(A109,合同台帐!$A$4:$E$195,5,1)</f>
        <v>天津市宝坻区汇彩打字复印服务中心</v>
      </c>
      <c r="H109" s="660"/>
      <c r="I109" s="522" t="str">
        <f>IF(A109&lt;&gt;0,VLOOKUP(A109,合同台帐!$A$4:$C$893,3,0),"")</f>
        <v>前设图</v>
      </c>
    </row>
    <row r="110" spans="1:9" s="623" customFormat="1" ht="15.75" customHeight="1">
      <c r="A110" s="566" t="s">
        <v>251</v>
      </c>
      <c r="B110" s="649" t="s">
        <v>249</v>
      </c>
      <c r="C110" s="576">
        <v>2000</v>
      </c>
      <c r="D110" s="657">
        <f>SUMIF(A$2:A110,A110,C$2:C110)</f>
        <v>2000</v>
      </c>
      <c r="E110" s="658">
        <f>IF(VLOOKUP(A110,合同台帐!$A$4:$K$195,7,1)&gt;0,VLOOKUP(A110,合同台帐!$A$4:$K$195,7,1)-D110,VLOOKUP(A110,合同台帐!$A$4:$F$195,6,1)-D110)</f>
        <v>0</v>
      </c>
      <c r="F110" s="659" t="str">
        <f>VLOOKUP(A110,合同台帐!$A$4:$D$195,4,1)</f>
        <v>专家论证费</v>
      </c>
      <c r="G110" s="659" t="str">
        <f>VLOOKUP(A110,合同台帐!$A$4:$E$195,5,1)</f>
        <v>天津忆江南企业管理咨询服务有限公司</v>
      </c>
      <c r="H110" s="660"/>
      <c r="I110" s="522" t="str">
        <f>IF(A110&lt;&gt;0,VLOOKUP(A110,合同台帐!$A$4:$C$893,3,0),"")</f>
        <v>不可预见</v>
      </c>
    </row>
    <row r="111" spans="1:9" s="623" customFormat="1" ht="15.75" customHeight="1">
      <c r="A111" s="566" t="s">
        <v>252</v>
      </c>
      <c r="B111" s="649" t="s">
        <v>249</v>
      </c>
      <c r="C111" s="576">
        <v>120</v>
      </c>
      <c r="D111" s="657">
        <f>SUMIF(A$2:A111,A111,C$2:C111)</f>
        <v>120</v>
      </c>
      <c r="E111" s="658">
        <f>IF(VLOOKUP(A111,合同台帐!$A$4:$K$195,7,1)&gt;0,VLOOKUP(A111,合同台帐!$A$4:$K$195,7,1)-D111,VLOOKUP(A111,合同台帐!$A$4:$F$195,6,1)-D111)</f>
        <v>0</v>
      </c>
      <c r="F111" s="659" t="str">
        <f>VLOOKUP(A111,合同台帐!$A$4:$D$195,4,1)</f>
        <v>图纸打印费</v>
      </c>
      <c r="G111" s="659" t="str">
        <f>VLOOKUP(A111,合同台帐!$A$4:$E$195,5,1)</f>
        <v>天津市蓟县张雷办公用品商店</v>
      </c>
      <c r="H111" s="660"/>
      <c r="I111" s="522" t="str">
        <f>IF(A111&lt;&gt;0,VLOOKUP(A111,合同台帐!$A$4:$C$893,3,0),"")</f>
        <v>前设图</v>
      </c>
    </row>
    <row r="112" spans="1:9" s="623" customFormat="1" ht="15.75" customHeight="1">
      <c r="A112" s="566" t="s">
        <v>245</v>
      </c>
      <c r="B112" s="649" t="s">
        <v>253</v>
      </c>
      <c r="C112" s="576">
        <v>70000</v>
      </c>
      <c r="D112" s="657">
        <f>SUMIF(A$2:A112,A112,C$2:C112)</f>
        <v>140000</v>
      </c>
      <c r="E112" s="658">
        <f>IF(VLOOKUP(A112,合同台帐!$A$4:$K$195,7,1)&gt;0,VLOOKUP(A112,合同台帐!$A$4:$K$195,7,1)-D112,VLOOKUP(A112,合同台帐!$A$4:$F$195,6,1)-D112)</f>
        <v>0</v>
      </c>
      <c r="F112" s="659" t="str">
        <f>VLOOKUP(A112,合同台帐!$A$4:$D$195,4,1)</f>
        <v>物业招投标代理合同</v>
      </c>
      <c r="G112" s="659" t="str">
        <f>VLOOKUP(A112,合同台帐!$A$4:$E$195,5,1)</f>
        <v>天津市晓波房地产物业管理有限公司</v>
      </c>
      <c r="H112" s="660"/>
      <c r="I112" s="522" t="str">
        <f>IF(A112&lt;&gt;0,VLOOKUP(A112,合同台帐!$A$4:$C$893,3,0),"")</f>
        <v>前标代</v>
      </c>
    </row>
    <row r="113" spans="1:9" s="623" customFormat="1" ht="15.75" customHeight="1">
      <c r="A113" s="566" t="s">
        <v>136</v>
      </c>
      <c r="B113" s="649" t="s">
        <v>253</v>
      </c>
      <c r="C113" s="576">
        <v>413563</v>
      </c>
      <c r="D113" s="657">
        <f>SUMIF(A$2:A113,A113,C$2:C113)</f>
        <v>4149988</v>
      </c>
      <c r="E113" s="658">
        <f>IF(VLOOKUP(A113,合同台帐!$A$4:$K$195,7,1)&gt;0,VLOOKUP(A113,合同台帐!$A$4:$K$195,7,1)-D113,VLOOKUP(A113,合同台帐!$A$4:$F$195,6,1)-D113)</f>
        <v>2600012</v>
      </c>
      <c r="F113" s="659" t="str">
        <f>VLOOKUP(A113,合同台帐!$A$4:$D$195,4,1)</f>
        <v>场地平整</v>
      </c>
      <c r="G113" s="659" t="str">
        <f>VLOOKUP(A113,合同台帐!$A$4:$E$195,5,1)</f>
        <v>天津市蓟县振东建筑有限责任公司</v>
      </c>
      <c r="H113" s="660"/>
      <c r="I113" s="522" t="str">
        <f>IF(A113&lt;&gt;0,VLOOKUP(A113,合同台帐!$A$4:$C$893,3,0),"")</f>
        <v>前临土</v>
      </c>
    </row>
    <row r="114" spans="1:9" s="623" customFormat="1" ht="15.75" customHeight="1">
      <c r="A114" s="566" t="s">
        <v>254</v>
      </c>
      <c r="B114" s="649" t="s">
        <v>253</v>
      </c>
      <c r="C114" s="576">
        <v>528130</v>
      </c>
      <c r="D114" s="657">
        <f>SUMIF(A$2:A114,A114,C$2:C114)</f>
        <v>528130</v>
      </c>
      <c r="E114" s="658">
        <f>IF(VLOOKUP(A114,合同台帐!$A$4:$K$195,7,1)&gt;0,VLOOKUP(A114,合同台帐!$A$4:$K$195,7,1)-D114,VLOOKUP(A114,合同台帐!$A$4:$F$195,6,1)-D114)</f>
        <v>220018</v>
      </c>
      <c r="F114" s="659" t="str">
        <f>VLOOKUP(A114,合同台帐!$A$4:$D$195,4,1)</f>
        <v>示范区强夯工程合同</v>
      </c>
      <c r="G114" s="659" t="str">
        <f>VLOOKUP(A114,合同台帐!$A$4:$E$195,5,1)</f>
        <v>天津华勘集团有限公司</v>
      </c>
      <c r="H114" s="660"/>
      <c r="I114" s="522" t="str">
        <f>IF(A114&lt;&gt;0,VLOOKUP(A114,合同台帐!$A$4:$C$893,3,0),"")</f>
        <v>建基</v>
      </c>
    </row>
    <row r="115" spans="1:9" s="629" customFormat="1" ht="15.75" customHeight="1">
      <c r="A115" s="517" t="s">
        <v>255</v>
      </c>
      <c r="B115" s="683" t="s">
        <v>253</v>
      </c>
      <c r="C115" s="684"/>
      <c r="D115" s="685">
        <f>SUMIF(A$2:A115,A115,C$2:C115)</f>
        <v>0</v>
      </c>
      <c r="E115" s="686">
        <f>IF(VLOOKUP(A115,合同台帐!$A$4:$K$195,7,1)&gt;0,VLOOKUP(A115,合同台帐!$A$4:$K$195,7,1)-D115,VLOOKUP(A115,合同台帐!$A$4:$F$195,6,1)-D115)</f>
        <v>0</v>
      </c>
      <c r="F115" s="687" t="str">
        <f>VLOOKUP(A115,合同台帐!$A$4:$D$195,4,1)</f>
        <v>一期工程在建工程（15个楼）房屋所有权登记费</v>
      </c>
      <c r="G115" s="687" t="str">
        <f>VLOOKUP(A115,合同台帐!$A$4:$E$195,5,1)</f>
        <v>天津市财政局</v>
      </c>
      <c r="H115" s="688"/>
      <c r="I115" s="691" t="str">
        <f>IF(A115&lt;&gt;0,VLOOKUP(A115,合同台帐!$A$4:$C$893,3,0),"")</f>
        <v>前其他</v>
      </c>
    </row>
    <row r="116" spans="1:9" s="629" customFormat="1" ht="15.75" customHeight="1">
      <c r="A116" s="517" t="s">
        <v>256</v>
      </c>
      <c r="B116" s="683" t="s">
        <v>253</v>
      </c>
      <c r="C116" s="684"/>
      <c r="D116" s="685">
        <f>SUMIF(A$2:A116,A116,C$2:C116)</f>
        <v>0</v>
      </c>
      <c r="E116" s="686">
        <f>IF(VLOOKUP(A116,合同台帐!$A$4:$K$195,7,1)&gt;0,VLOOKUP(A116,合同台帐!$A$4:$K$195,7,1)-D116,VLOOKUP(A116,合同台帐!$A$4:$F$195,6,1)-D116)</f>
        <v>0</v>
      </c>
      <c r="F116" s="687" t="str">
        <f>VLOOKUP(A116,合同台帐!$A$4:$D$195,4,1)</f>
        <v>蓟县在建工程保费</v>
      </c>
      <c r="G116" s="687" t="str">
        <f>VLOOKUP(A116,合同台帐!$A$4:$E$195,5,1)</f>
        <v>太平财产保险有限公司天津分公司</v>
      </c>
      <c r="H116" s="688"/>
      <c r="I116" s="691" t="str">
        <f>IF(A116&lt;&gt;0,VLOOKUP(A116,合同台帐!$A$4:$C$893,3,0),"")</f>
        <v>前其他</v>
      </c>
    </row>
    <row r="117" spans="1:9" s="623" customFormat="1" ht="15.75" customHeight="1">
      <c r="A117" s="566" t="s">
        <v>257</v>
      </c>
      <c r="B117" s="649" t="s">
        <v>258</v>
      </c>
      <c r="C117" s="576">
        <v>135000</v>
      </c>
      <c r="D117" s="657">
        <f>SUMIF(A$2:A117,A117,C$2:C117)</f>
        <v>135000</v>
      </c>
      <c r="E117" s="658">
        <f>IF(VLOOKUP(A117,合同台帐!$A$4:$K$195,7,1)&gt;0,VLOOKUP(A117,合同台帐!$A$4:$K$195,7,1)-D117,VLOOKUP(A117,合同台帐!$A$4:$F$195,6,1)-D117)</f>
        <v>315000</v>
      </c>
      <c r="F117" s="659" t="str">
        <f>VLOOKUP(A117,合同台帐!$A$4:$D$195,4,1)</f>
        <v>区内外挡土墙及边坡支护设计合同</v>
      </c>
      <c r="G117" s="659" t="str">
        <f>VLOOKUP(A117,合同台帐!$A$4:$E$195,5,1)</f>
        <v>天津华北工程勘察设计有限公司</v>
      </c>
      <c r="H117" s="660"/>
      <c r="I117" s="522" t="str">
        <f>IF(A117&lt;&gt;0,VLOOKUP(A117,合同台帐!$A$4:$C$893,3,0),"")</f>
        <v>前设其</v>
      </c>
    </row>
    <row r="118" spans="1:9" s="623" customFormat="1" ht="15.75" customHeight="1">
      <c r="A118" s="566" t="s">
        <v>259</v>
      </c>
      <c r="B118" s="649" t="s">
        <v>258</v>
      </c>
      <c r="C118" s="576">
        <v>300000</v>
      </c>
      <c r="D118" s="657">
        <f>SUMIF(A$2:A118,A118,C$2:C118)</f>
        <v>300000</v>
      </c>
      <c r="E118" s="658">
        <f>IF(VLOOKUP(A118,合同台帐!$A$4:$K$195,7,1)&gt;0,VLOOKUP(A118,合同台帐!$A$4:$K$195,7,1)-D118,VLOOKUP(A118,合同台帐!$A$4:$F$195,6,1)-D118)</f>
        <v>2800000</v>
      </c>
      <c r="F118" s="659" t="str">
        <f>VLOOKUP(A118,合同台帐!$A$4:$D$195,4,1)</f>
        <v>界外地景观</v>
      </c>
      <c r="G118" s="659" t="str">
        <f>VLOOKUP(A118,合同台帐!$A$4:$E$195,5,1)</f>
        <v>天津兰苑绿化工程有限公司</v>
      </c>
      <c r="H118" s="660"/>
      <c r="I118" s="522" t="str">
        <f>IF(A118&lt;&gt;0,VLOOKUP(A118,合同台帐!$A$4:$C$893,3,0),"")</f>
        <v>建环外</v>
      </c>
    </row>
    <row r="119" spans="1:9" s="623" customFormat="1" ht="15.75" customHeight="1">
      <c r="A119" s="566" t="s">
        <v>246</v>
      </c>
      <c r="B119" s="649" t="s">
        <v>260</v>
      </c>
      <c r="C119" s="576">
        <v>257125.7</v>
      </c>
      <c r="D119" s="657">
        <f>SUMIF(A$2:A119,A119,C$2:C119)</f>
        <v>385687.7</v>
      </c>
      <c r="E119" s="658">
        <f>IF(VLOOKUP(A119,合同台帐!$A$4:$K$195,7,1)&gt;0,VLOOKUP(A119,合同台帐!$A$4:$K$195,7,1)-D119,VLOOKUP(A119,合同台帐!$A$4:$F$195,6,1)-D119)</f>
        <v>2185569.2999999998</v>
      </c>
      <c r="F119" s="659" t="str">
        <f>VLOOKUP(A119,合同台帐!$A$4:$D$195,4,1)</f>
        <v>监理工程</v>
      </c>
      <c r="G119" s="659" t="str">
        <f>VLOOKUP(A119,合同台帐!$A$4:$E$195,5,1)</f>
        <v>天津市环外监理有限公司</v>
      </c>
      <c r="H119" s="660"/>
      <c r="I119" s="522" t="str">
        <f>IF(A119&lt;&gt;0,VLOOKUP(A119,合同台帐!$A$4:$C$893,3,0),"")</f>
        <v>建监</v>
      </c>
    </row>
    <row r="120" spans="1:9" s="623" customFormat="1" ht="15.75" customHeight="1">
      <c r="A120" s="566" t="s">
        <v>247</v>
      </c>
      <c r="B120" s="649" t="s">
        <v>258</v>
      </c>
      <c r="C120" s="576">
        <v>2000000</v>
      </c>
      <c r="D120" s="657">
        <f>SUMIF(A$2:A120,A120,C$2:C120)</f>
        <v>13450000</v>
      </c>
      <c r="E120" s="658">
        <f>IF(VLOOKUP(A120,合同台帐!$A$4:$K$195,7,1)&gt;0,VLOOKUP(A120,合同台帐!$A$4:$K$195,7,1)-D120,VLOOKUP(A120,合同台帐!$A$4:$F$195,6,1)-D120)</f>
        <v>96550000</v>
      </c>
      <c r="F120" s="659" t="str">
        <f>VLOOKUP(A120,合同台帐!$A$4:$D$195,4,1)</f>
        <v>总包一期工程</v>
      </c>
      <c r="G120" s="659" t="str">
        <f>VLOOKUP(A120,合同台帐!$A$4:$E$195,5,1)</f>
        <v>天津泉州建设工程集团有限公司</v>
      </c>
      <c r="H120" s="660"/>
      <c r="I120" s="522">
        <f>IF(A120&lt;&gt;0,VLOOKUP(A120,合同台帐!$A$4:$C$893,3,0),"")</f>
        <v>0</v>
      </c>
    </row>
    <row r="121" spans="1:9" s="623" customFormat="1" ht="15.75" customHeight="1">
      <c r="A121" s="566" t="s">
        <v>110</v>
      </c>
      <c r="B121" s="649" t="s">
        <v>260</v>
      </c>
      <c r="C121" s="576">
        <v>450000</v>
      </c>
      <c r="D121" s="657">
        <f>SUMIF(A$2:A121,A121,C$2:C121)</f>
        <v>5727629</v>
      </c>
      <c r="E121" s="658">
        <f>IF(VLOOKUP(A121,合同台帐!$A$4:$K$195,7,1)&gt;0,VLOOKUP(A121,合同台帐!$A$4:$K$195,7,1)-D121,VLOOKUP(A121,合同台帐!$A$4:$F$195,6,1)-D121)</f>
        <v>2072371</v>
      </c>
      <c r="F121" s="659" t="str">
        <f>VLOOKUP(A121,合同台帐!$A$4:$D$195,4,1)</f>
        <v>建筑方案及施工图设计合同</v>
      </c>
      <c r="G121" s="659" t="str">
        <f>VLOOKUP(A121,合同台帐!$A$4:$E$195,5,1)</f>
        <v>北京新纪元建筑工程设计有限公司</v>
      </c>
      <c r="H121" s="660"/>
      <c r="I121" s="522" t="str">
        <f>IF(A121&lt;&gt;0,VLOOKUP(A121,合同台帐!$A$4:$C$893,3,0),"")</f>
        <v>前设设</v>
      </c>
    </row>
    <row r="122" spans="1:9" s="623" customFormat="1" ht="15.75" customHeight="1">
      <c r="A122" s="566" t="s">
        <v>261</v>
      </c>
      <c r="B122" s="649" t="s">
        <v>260</v>
      </c>
      <c r="C122" s="576">
        <v>1033890</v>
      </c>
      <c r="D122" s="657">
        <f>SUMIF(A$2:A122,A122,C$2:C122)</f>
        <v>1033890</v>
      </c>
      <c r="E122" s="658">
        <f>IF(VLOOKUP(A122,合同台帐!$A$4:$K$195,7,1)&gt;0,VLOOKUP(A122,合同台帐!$A$4:$K$195,7,1)-D122,VLOOKUP(A122,合同台帐!$A$4:$F$195,6,1)-D122)</f>
        <v>2104596</v>
      </c>
      <c r="F122" s="659" t="str">
        <f>VLOOKUP(A122,合同台帐!$A$4:$D$195,4,1)</f>
        <v>挡土墙施工合同（重签）</v>
      </c>
      <c r="G122" s="659" t="str">
        <f>VLOOKUP(A122,合同台帐!$A$4:$E$195,5,1)</f>
        <v>天津市蓟县宏拓建筑有限公司</v>
      </c>
      <c r="H122" s="660"/>
      <c r="I122" s="522" t="str">
        <f>IF(A122&lt;&gt;0,VLOOKUP(A122,合同台帐!$A$4:$C$893,3,0),"")</f>
        <v>建环外</v>
      </c>
    </row>
    <row r="123" spans="1:9" s="623" customFormat="1" ht="15.75" customHeight="1">
      <c r="A123" s="566" t="s">
        <v>262</v>
      </c>
      <c r="B123" s="649" t="s">
        <v>260</v>
      </c>
      <c r="C123" s="576">
        <v>37738</v>
      </c>
      <c r="D123" s="657">
        <f>SUMIF(A$2:A123,A123,C$2:C123)</f>
        <v>37738</v>
      </c>
      <c r="E123" s="658">
        <f>IF(VLOOKUP(A123,合同台帐!$A$4:$K$195,7,1)&gt;0,VLOOKUP(A123,合同台帐!$A$4:$K$195,7,1)-D123,VLOOKUP(A123,合同台帐!$A$4:$F$195,6,1)-D123)</f>
        <v>0</v>
      </c>
      <c r="F123" s="659" t="str">
        <f>VLOOKUP(A123,合同台帐!$A$4:$D$195,4,1)</f>
        <v>二期放线、检线报告</v>
      </c>
      <c r="G123" s="659" t="str">
        <f>VLOOKUP(A123,合同台帐!$A$4:$E$195,5,1)</f>
        <v>天津市蓟县测绘队</v>
      </c>
      <c r="H123" s="660"/>
      <c r="I123" s="522" t="str">
        <f>IF(A123&lt;&gt;0,VLOOKUP(A123,合同台帐!$A$4:$C$893,3,0),"")</f>
        <v>建定测</v>
      </c>
    </row>
    <row r="124" spans="1:9" s="623" customFormat="1" ht="15.75" customHeight="1">
      <c r="A124" s="566" t="s">
        <v>263</v>
      </c>
      <c r="B124" s="649" t="s">
        <v>264</v>
      </c>
      <c r="C124" s="576">
        <v>137300</v>
      </c>
      <c r="D124" s="657">
        <f>SUMIF(A$2:A124,A124,C$2:C124)</f>
        <v>137300</v>
      </c>
      <c r="E124" s="658">
        <f>IF(VLOOKUP(A124,合同台帐!$A$4:$K$195,7,1)&gt;0,VLOOKUP(A124,合同台帐!$A$4:$K$195,7,1)-D124,VLOOKUP(A124,合同台帐!$A$4:$F$195,6,1)-D124)</f>
        <v>210500</v>
      </c>
      <c r="F124" s="659" t="str">
        <f>VLOOKUP(A124,合同台帐!$A$4:$D$195,4,1)</f>
        <v>综合管网（给水、中水、雨水、污水配套工程设计）（施工图）</v>
      </c>
      <c r="G124" s="659" t="str">
        <f>VLOOKUP(A124,合同台帐!$A$4:$E$195,5,1)</f>
        <v>天津华夏建筑设计有限公司</v>
      </c>
      <c r="H124" s="660"/>
      <c r="I124" s="522" t="str">
        <f>IF(A124&lt;&gt;0,VLOOKUP(A124,合同台帐!$A$4:$C$893,3,0),"")</f>
        <v>前设</v>
      </c>
    </row>
    <row r="125" spans="1:9" s="623" customFormat="1" ht="15.75" customHeight="1">
      <c r="A125" s="566" t="s">
        <v>232</v>
      </c>
      <c r="B125" s="649" t="s">
        <v>260</v>
      </c>
      <c r="C125" s="576">
        <v>245000</v>
      </c>
      <c r="D125" s="657">
        <f>SUMIF(A$2:A125,A125,C$2:C125)</f>
        <v>630000</v>
      </c>
      <c r="E125" s="658">
        <f>IF(VLOOKUP(A125,合同台帐!$A$4:$K$195,7,1)&gt;0,VLOOKUP(A125,合同台帐!$A$4:$K$195,7,1)-D125,VLOOKUP(A125,合同台帐!$A$4:$F$195,6,1)-D125)</f>
        <v>107340</v>
      </c>
      <c r="F125" s="659" t="str">
        <f>VLOOKUP(A125,合同台帐!$A$4:$D$195,4,1)</f>
        <v>售楼处样板间精装设计合同</v>
      </c>
      <c r="G125" s="659" t="str">
        <f>VLOOKUP(A125,合同台帐!$A$4:$E$195,5,1)</f>
        <v>北京米罗那装饰设计有限公司</v>
      </c>
      <c r="H125" s="660"/>
      <c r="I125" s="522" t="str">
        <f>IF(A125&lt;&gt;0,VLOOKUP(A125,合同台帐!$A$4:$C$893,3,0),"")</f>
        <v>前设</v>
      </c>
    </row>
    <row r="126" spans="1:9" s="623" customFormat="1" ht="15.75" customHeight="1">
      <c r="A126" s="566" t="s">
        <v>265</v>
      </c>
      <c r="B126" s="649" t="s">
        <v>266</v>
      </c>
      <c r="C126" s="576">
        <v>507870</v>
      </c>
      <c r="D126" s="657">
        <f>SUMIF(A$2:A126,A126,C$2:C126)</f>
        <v>507870</v>
      </c>
      <c r="E126" s="658">
        <f>IF(VLOOKUP(A126,合同台帐!$A$4:$K$195,7,1)&gt;0,VLOOKUP(A126,合同台帐!$A$4:$K$195,7,1)-D126,VLOOKUP(A126,合同台帐!$A$4:$F$195,6,1)-D126)</f>
        <v>460080</v>
      </c>
      <c r="F126" s="659" t="str">
        <f>VLOOKUP(A126,合同台帐!$A$4:$D$195,4,1)</f>
        <v>一期强夯工程补充合同</v>
      </c>
      <c r="G126" s="659" t="str">
        <f>VLOOKUP(A126,合同台帐!$A$4:$E$195,5,1)</f>
        <v>天津华勘集团有限公司</v>
      </c>
      <c r="H126" s="660"/>
      <c r="I126" s="522" t="str">
        <f>IF(A126&lt;&gt;0,VLOOKUP(A126,合同台帐!$A$4:$C$893,3,0),"")</f>
        <v>建基</v>
      </c>
    </row>
    <row r="127" spans="1:9" s="623" customFormat="1" ht="15.75" customHeight="1">
      <c r="A127" s="566" t="s">
        <v>247</v>
      </c>
      <c r="B127" s="649" t="s">
        <v>267</v>
      </c>
      <c r="C127" s="576">
        <v>1000000</v>
      </c>
      <c r="D127" s="657">
        <f>SUMIF(A$2:A127,A127,C$2:C127)</f>
        <v>14450000</v>
      </c>
      <c r="E127" s="658">
        <f>IF(VLOOKUP(A127,合同台帐!$A$4:$K$195,7,1)&gt;0,VLOOKUP(A127,合同台帐!$A$4:$K$195,7,1)-D127,VLOOKUP(A127,合同台帐!$A$4:$F$195,6,1)-D127)</f>
        <v>95550000</v>
      </c>
      <c r="F127" s="659" t="str">
        <f>VLOOKUP(A127,合同台帐!$A$4:$D$195,4,1)</f>
        <v>总包一期工程</v>
      </c>
      <c r="G127" s="659" t="str">
        <f>VLOOKUP(A127,合同台帐!$A$4:$E$195,5,1)</f>
        <v>天津泉州建设工程集团有限公司</v>
      </c>
      <c r="H127" s="660"/>
      <c r="I127" s="522">
        <f>IF(A127&lt;&gt;0,VLOOKUP(A127,合同台帐!$A$4:$C$893,3,0),"")</f>
        <v>0</v>
      </c>
    </row>
    <row r="128" spans="1:9" s="623" customFormat="1" ht="15.75" customHeight="1">
      <c r="A128" s="566" t="s">
        <v>268</v>
      </c>
      <c r="B128" s="649" t="s">
        <v>269</v>
      </c>
      <c r="C128" s="576">
        <v>9381</v>
      </c>
      <c r="D128" s="657">
        <f>SUMIF(A$2:A128,A128,C$2:C128)</f>
        <v>9381</v>
      </c>
      <c r="E128" s="658">
        <f>IF(VLOOKUP(A128,合同台帐!$A$4:$K$195,7,1)&gt;0,VLOOKUP(A128,合同台帐!$A$4:$K$195,7,1)-D128,VLOOKUP(A128,合同台帐!$A$4:$F$195,6,1)-D128)</f>
        <v>0</v>
      </c>
      <c r="F128" s="659" t="str">
        <f>VLOOKUP(A128,合同台帐!$A$4:$D$195,4,1)</f>
        <v>一期施工图审查变更补充协议</v>
      </c>
      <c r="G128" s="659" t="str">
        <f>VLOOKUP(A128,合同台帐!$A$4:$E$195,5,1)</f>
        <v>天津华苑建筑工程咨询有限公司</v>
      </c>
      <c r="H128" s="660"/>
      <c r="I128" s="522" t="str">
        <f>IF(A128&lt;&gt;0,VLOOKUP(A128,合同台帐!$A$4:$C$893,3,0),"")</f>
        <v>前设审</v>
      </c>
    </row>
    <row r="129" spans="1:9" s="626" customFormat="1" ht="15.75" customHeight="1">
      <c r="A129" s="518" t="s">
        <v>220</v>
      </c>
      <c r="B129" s="667" t="s">
        <v>270</v>
      </c>
      <c r="C129" s="668">
        <v>0</v>
      </c>
      <c r="D129" s="657">
        <f>SUMIF(A$2:A129,A129,C$2:C129)</f>
        <v>0</v>
      </c>
      <c r="E129" s="669">
        <f>IF(VLOOKUP(A129,合同台帐!$A$4:$K$195,7,1)&gt;0,VLOOKUP(A129,合同台帐!$A$4:$K$195,7,1)-D129,VLOOKUP(A129,合同台帐!$A$4:$F$195,6,1)-D129)</f>
        <v>0</v>
      </c>
      <c r="F129" s="670" t="str">
        <f>VLOOKUP(A129,合同台帐!$A$4:$D$195,4,1)</f>
        <v>农民工资预储工资</v>
      </c>
      <c r="G129" s="670" t="str">
        <f>VLOOKUP(A129,合同台帐!$A$4:$E$195,5,1)</f>
        <v>蓟县建设管理委员会</v>
      </c>
      <c r="H129" s="671" t="s">
        <v>105</v>
      </c>
      <c r="I129" s="689" t="str">
        <f>IF(A129&lt;&gt;0,VLOOKUP(A129,合同台帐!$A$4:$C$893,3,0),"")</f>
        <v>前</v>
      </c>
    </row>
    <row r="130" spans="1:9" s="623" customFormat="1" ht="15.75" customHeight="1">
      <c r="A130" s="566" t="s">
        <v>159</v>
      </c>
      <c r="B130" s="649" t="s">
        <v>271</v>
      </c>
      <c r="C130" s="644">
        <v>89400</v>
      </c>
      <c r="D130" s="657">
        <f>SUMIF(A$2:A130,A130,C$2:C130)</f>
        <v>238650</v>
      </c>
      <c r="E130" s="658">
        <f>IF(VLOOKUP(A130,合同台帐!$A$4:$K$195,7,1)&gt;0,VLOOKUP(A130,合同台帐!$A$4:$K$195,7,1)-D130,VLOOKUP(A130,合同台帐!$A$4:$F$195,6,1)-D130)</f>
        <v>211030</v>
      </c>
      <c r="F130" s="659" t="str">
        <f>VLOOKUP(A130,合同台帐!$A$4:$D$195,4,1)</f>
        <v>地库及人防设计合同</v>
      </c>
      <c r="G130" s="659" t="str">
        <f>VLOOKUP(A130,合同台帐!$A$4:$E$195,5,1)</f>
        <v>天津冶金规划设计院</v>
      </c>
      <c r="H130" s="660"/>
      <c r="I130" s="522" t="str">
        <f>IF(A130&lt;&gt;0,VLOOKUP(A130,合同台帐!$A$4:$C$893,3,0),"")</f>
        <v>前设其</v>
      </c>
    </row>
    <row r="131" spans="1:9" s="623" customFormat="1" ht="15.75" customHeight="1">
      <c r="A131" s="566" t="s">
        <v>272</v>
      </c>
      <c r="B131" s="649" t="s">
        <v>273</v>
      </c>
      <c r="C131" s="644">
        <v>20000</v>
      </c>
      <c r="D131" s="657">
        <f>SUMIF(A$2:A131,A131,C$2:C131)</f>
        <v>20000</v>
      </c>
      <c r="E131" s="658">
        <f>IF(VLOOKUP(A131,合同台帐!$A$4:$K$195,7,1)&gt;0,VLOOKUP(A131,合同台帐!$A$4:$K$195,7,1)-D131,VLOOKUP(A131,合同台帐!$A$4:$F$195,6,1)-D131)</f>
        <v>0</v>
      </c>
      <c r="F131" s="659" t="str">
        <f>VLOOKUP(A131,合同台帐!$A$4:$D$195,4,1)</f>
        <v>配电站电力设计费</v>
      </c>
      <c r="G131" s="659" t="str">
        <f>VLOOKUP(A131,合同台帐!$A$4:$E$195,5,1)</f>
        <v>天津市龙宇达电力工程设计有限公司</v>
      </c>
      <c r="H131" s="660"/>
      <c r="I131" s="522" t="str">
        <f>IF(A131&lt;&gt;0,VLOOKUP(A131,合同台帐!$A$4:$C$893,3,0),"")</f>
        <v>基电箱</v>
      </c>
    </row>
    <row r="132" spans="1:9" s="623" customFormat="1" ht="15.75" customHeight="1">
      <c r="A132" s="566" t="s">
        <v>274</v>
      </c>
      <c r="B132" s="649" t="s">
        <v>271</v>
      </c>
      <c r="C132" s="644">
        <v>500000</v>
      </c>
      <c r="D132" s="657">
        <f>SUMIF(A$2:A132,A132,C$2:C132)</f>
        <v>500000</v>
      </c>
      <c r="E132" s="658">
        <f>IF(VLOOKUP(A132,合同台帐!$A$4:$K$195,7,1)&gt;0,VLOOKUP(A132,合同台帐!$A$4:$K$195,7,1)-D132,VLOOKUP(A132,合同台帐!$A$4:$F$195,6,1)-D132)</f>
        <v>2173069.73</v>
      </c>
      <c r="F132" s="659" t="str">
        <f>VLOOKUP(A132,合同台帐!$A$4:$D$195,4,1)</f>
        <v>供用热协议书（二次管网）</v>
      </c>
      <c r="G132" s="659" t="str">
        <f>VLOOKUP(A132,合同台帐!$A$4:$E$195,5,1)</f>
        <v>蓟县鑫泰物业管理有限公司</v>
      </c>
      <c r="H132" s="660"/>
      <c r="I132" s="522" t="str">
        <f>IF(A132&lt;&gt;0,VLOOKUP(A132,合同台帐!$A$4:$C$893,3,0),"")</f>
        <v>基热内</v>
      </c>
    </row>
    <row r="133" spans="1:9" s="623" customFormat="1" ht="15.75" customHeight="1">
      <c r="A133" s="566" t="s">
        <v>275</v>
      </c>
      <c r="B133" s="649" t="s">
        <v>271</v>
      </c>
      <c r="C133" s="644">
        <v>400000</v>
      </c>
      <c r="D133" s="657">
        <f>SUMIF(A$2:A133,A133,C$2:C133)</f>
        <v>400000</v>
      </c>
      <c r="E133" s="658">
        <f>IF(VLOOKUP(A133,合同台帐!$A$4:$K$195,7,1)&gt;0,VLOOKUP(A133,合同台帐!$A$4:$K$195,7,1)-D133,VLOOKUP(A133,合同台帐!$A$4:$F$195,6,1)-D133)</f>
        <v>5300000</v>
      </c>
      <c r="F133" s="659" t="str">
        <f>VLOOKUP(A133,合同台帐!$A$4:$D$195,4,1)</f>
        <v>一期中水、自来水配套工程（含中水一次网，中水、自来水二次网，中水、自来水水表，室外消火栓、消防防险准备金）</v>
      </c>
      <c r="G133" s="659" t="str">
        <f>VLOOKUP(A133,合同台帐!$A$4:$E$195,5,1)</f>
        <v>蓟县自来水管理所</v>
      </c>
      <c r="H133" s="660"/>
      <c r="I133" s="522" t="str">
        <f>IF(A133&lt;&gt;0,VLOOKUP(A133,合同台帐!$A$4:$C$893,3,0),"")</f>
        <v>基水</v>
      </c>
    </row>
    <row r="134" spans="1:9" s="627" customFormat="1" ht="15.75" customHeight="1">
      <c r="A134" s="672" t="s">
        <v>247</v>
      </c>
      <c r="B134" s="673" t="s">
        <v>276</v>
      </c>
      <c r="C134" s="674">
        <v>2710000</v>
      </c>
      <c r="D134" s="657">
        <f>SUMIF(A$2:A134,A134,C$2:C134)</f>
        <v>17160000</v>
      </c>
      <c r="E134" s="675">
        <f>IF(VLOOKUP(A134,合同台帐!$A$4:$K$195,7,1)&gt;0,VLOOKUP(A134,合同台帐!$A$4:$K$195,7,1)-D134,VLOOKUP(A134,合同台帐!$A$4:$F$195,6,1)-D134)</f>
        <v>92840000</v>
      </c>
      <c r="F134" s="676" t="str">
        <f>VLOOKUP(A134,合同台帐!$A$4:$D$195,4,1)</f>
        <v>总包一期工程</v>
      </c>
      <c r="G134" s="676" t="str">
        <f>VLOOKUP(A134,合同台帐!$A$4:$E$195,5,1)</f>
        <v>天津泉州建设工程集团有限公司</v>
      </c>
      <c r="H134" s="677"/>
      <c r="I134" s="690">
        <f>IF(A134&lt;&gt;0,VLOOKUP(A134,合同台帐!$A$4:$C$893,3,0),"")</f>
        <v>0</v>
      </c>
    </row>
    <row r="135" spans="1:9" s="623" customFormat="1" ht="15.75" customHeight="1">
      <c r="A135" s="566" t="s">
        <v>277</v>
      </c>
      <c r="B135" s="649" t="s">
        <v>278</v>
      </c>
      <c r="C135" s="644">
        <v>650000</v>
      </c>
      <c r="D135" s="657">
        <f>SUMIF(A$2:A135,A135,C$2:C135)</f>
        <v>650000</v>
      </c>
      <c r="E135" s="658">
        <f>IF(VLOOKUP(A135,合同台帐!$A$4:$K$195,7,1)&gt;0,VLOOKUP(A135,合同台帐!$A$4:$K$195,7,1)-D135,VLOOKUP(A135,合同台帐!$A$4:$F$195,6,1)-D135)</f>
        <v>1238940.46</v>
      </c>
      <c r="F135" s="659" t="str">
        <f>VLOOKUP(A135,合同台帐!$A$4:$D$195,4,1)</f>
        <v>一期自来水配套工程</v>
      </c>
      <c r="G135" s="659" t="str">
        <f>VLOOKUP(A135,合同台帐!$A$4:$E$195,5,1)</f>
        <v>天津市蓟县节约用水事务管理中心</v>
      </c>
      <c r="H135" s="660"/>
      <c r="I135" s="522" t="str">
        <f>IF(A135&lt;&gt;0,VLOOKUP(A135,合同台帐!$A$4:$C$893,3,0),"")</f>
        <v>基中水</v>
      </c>
    </row>
    <row r="136" spans="1:9" s="623" customFormat="1" ht="15.75" customHeight="1">
      <c r="A136" s="566" t="s">
        <v>279</v>
      </c>
      <c r="B136" s="649" t="s">
        <v>280</v>
      </c>
      <c r="C136" s="644">
        <v>899986</v>
      </c>
      <c r="D136" s="657">
        <f>SUMIF(A$2:A136,A136,C$2:C136)</f>
        <v>899986</v>
      </c>
      <c r="E136" s="658">
        <f>IF(VLOOKUP(A136,合同台帐!$A$4:$K$195,7,1)&gt;0,VLOOKUP(A136,合同台帐!$A$4:$K$195,7,1)-D136,VLOOKUP(A136,合同台帐!$A$4:$F$195,6,1)-D136)</f>
        <v>2239744</v>
      </c>
      <c r="F136" s="659" t="str">
        <f>VLOOKUP(A136,合同台帐!$A$4:$D$195,4,1)</f>
        <v>一期排水配套工程</v>
      </c>
      <c r="G136" s="659" t="str">
        <f>VLOOKUP(A136,合同台帐!$A$4:$E$195,5,1)</f>
        <v>天津市蓟县节约用水事务管理中心</v>
      </c>
      <c r="H136" s="660"/>
      <c r="I136" s="522" t="str">
        <f>IF(A136&lt;&gt;0,VLOOKUP(A136,合同台帐!$A$4:$C$893,3,0),"")</f>
        <v>基排工</v>
      </c>
    </row>
    <row r="137" spans="1:9" s="623" customFormat="1" ht="15.75" customHeight="1">
      <c r="A137" s="566" t="s">
        <v>281</v>
      </c>
      <c r="B137" s="649" t="s">
        <v>282</v>
      </c>
      <c r="C137" s="644">
        <v>124163</v>
      </c>
      <c r="D137" s="657">
        <f>SUMIF(A$2:A137,A137,C$2:C137)</f>
        <v>124163</v>
      </c>
      <c r="E137" s="658">
        <f>IF(VLOOKUP(A137,合同台帐!$A$4:$K$195,7,1)&gt;0,VLOOKUP(A137,合同台帐!$A$4:$K$195,7,1)-D137,VLOOKUP(A137,合同台帐!$A$4:$F$195,6,1)-D137)</f>
        <v>0</v>
      </c>
      <c r="F137" s="659" t="str">
        <f>VLOOKUP(A137,合同台帐!$A$4:$D$195,4,1)</f>
        <v>二、三期图审合同</v>
      </c>
      <c r="G137" s="659" t="str">
        <f>VLOOKUP(A137,合同台帐!$A$4:$E$195,5,1)</f>
        <v>天津华苑建筑工程咨询有限公司</v>
      </c>
      <c r="H137" s="660"/>
      <c r="I137" s="522" t="str">
        <f>IF(A137&lt;&gt;0,VLOOKUP(A137,合同台帐!$A$4:$C$893,3,0),"")</f>
        <v>前设审</v>
      </c>
    </row>
    <row r="138" spans="1:9" s="623" customFormat="1" ht="15.75" customHeight="1">
      <c r="A138" s="566" t="s">
        <v>283</v>
      </c>
      <c r="B138" s="649" t="s">
        <v>282</v>
      </c>
      <c r="C138" s="644">
        <v>323977.5</v>
      </c>
      <c r="D138" s="657">
        <f>SUMIF(A$2:A138,A138,C$2:C138)</f>
        <v>323977.5</v>
      </c>
      <c r="E138" s="658">
        <f>IF(VLOOKUP(A138,合同台帐!$A$4:$K$195,7,1)&gt;0,VLOOKUP(A138,合同台帐!$A$4:$K$195,7,1)-D138,VLOOKUP(A138,合同台帐!$A$4:$F$195,6,1)-D138)</f>
        <v>323977.5</v>
      </c>
      <c r="F138" s="659" t="str">
        <f>VLOOKUP(A138,合同台帐!$A$4:$D$195,4,1)</f>
        <v>一期电力配套费（泵房、供热站动力负荷）</v>
      </c>
      <c r="G138" s="659" t="str">
        <f>VLOOKUP(A138,合同台帐!$A$4:$E$195,5,1)</f>
        <v>天津市电力公司蓟县分公司</v>
      </c>
      <c r="H138" s="660"/>
      <c r="I138" s="522" t="str">
        <f>IF(A138&lt;&gt;0,VLOOKUP(A138,合同台帐!$A$4:$C$893,3,0),"")</f>
        <v>基电工</v>
      </c>
    </row>
    <row r="139" spans="1:9" s="623" customFormat="1" ht="15.75" customHeight="1">
      <c r="A139" s="566" t="s">
        <v>284</v>
      </c>
      <c r="B139" s="649" t="s">
        <v>285</v>
      </c>
      <c r="C139" s="576">
        <v>1500000</v>
      </c>
      <c r="D139" s="657">
        <f>SUMIF(A$2:A139,A139,C$2:C139)</f>
        <v>1500000</v>
      </c>
      <c r="E139" s="658">
        <f>IF(VLOOKUP(A139,合同台帐!$A$4:$K$195,7,1)&gt;0,VLOOKUP(A139,合同台帐!$A$4:$K$195,7,1)-D139,VLOOKUP(A139,合同台帐!$A$4:$F$195,6,1)-D139)</f>
        <v>21094696</v>
      </c>
      <c r="F139" s="659" t="str">
        <f>VLOOKUP(A139,合同台帐!$A$4:$D$195,4,1)</f>
        <v>一期保温涂料线条线角</v>
      </c>
      <c r="G139" s="659" t="str">
        <f>VLOOKUP(A139,合同台帐!$A$4:$E$195,5,1)</f>
        <v>天津万通达建筑工程有限公司</v>
      </c>
      <c r="H139" s="660"/>
      <c r="I139" s="522" t="str">
        <f>IF(A139&lt;&gt;0,VLOOKUP(A139,合同台帐!$A$4:$C$893,3,0),"")</f>
        <v>建主</v>
      </c>
    </row>
    <row r="140" spans="1:9" s="623" customFormat="1" ht="15.75" customHeight="1">
      <c r="A140" s="566" t="s">
        <v>286</v>
      </c>
      <c r="B140" s="649" t="s">
        <v>285</v>
      </c>
      <c r="C140" s="576">
        <v>277458</v>
      </c>
      <c r="D140" s="657">
        <f>SUMIF(A$2:A140,A140,C$2:C140)</f>
        <v>277458</v>
      </c>
      <c r="E140" s="658">
        <f>IF(VLOOKUP(A140,合同台帐!$A$4:$K$195,7,1)&gt;0,VLOOKUP(A140,合同台帐!$A$4:$K$195,7,1)-D140,VLOOKUP(A140,合同台帐!$A$4:$F$195,6,1)-D140)</f>
        <v>6523929</v>
      </c>
      <c r="F140" s="659" t="str">
        <f>VLOOKUP(A140,合同台帐!$A$4:$D$195,4,1)</f>
        <v>一期断桥铝合金门窗安装</v>
      </c>
      <c r="G140" s="659" t="str">
        <f>VLOOKUP(A140,合同台帐!$A$4:$E$195,5,1)</f>
        <v>天津江胜建筑工程有限公司</v>
      </c>
      <c r="H140" s="660"/>
      <c r="I140" s="522" t="str">
        <f>IF(A140&lt;&gt;0,VLOOKUP(A140,合同台帐!$A$4:$C$893,3,0),"")</f>
        <v>建主</v>
      </c>
    </row>
    <row r="141" spans="1:9" s="623" customFormat="1" ht="15.75" customHeight="1">
      <c r="A141" s="566" t="s">
        <v>287</v>
      </c>
      <c r="B141" s="649" t="s">
        <v>285</v>
      </c>
      <c r="C141" s="576">
        <v>200000</v>
      </c>
      <c r="D141" s="657">
        <f>SUMIF(A$2:A141,A141,C$2:C141)</f>
        <v>200000</v>
      </c>
      <c r="E141" s="658">
        <f>IF(VLOOKUP(A141,合同台帐!$A$4:$K$195,7,1)&gt;0,VLOOKUP(A141,合同台帐!$A$4:$K$195,7,1)-D141,VLOOKUP(A141,合同台帐!$A$4:$F$195,6,1)-D141)</f>
        <v>1850000</v>
      </c>
      <c r="F141" s="659" t="str">
        <f>VLOOKUP(A141,合同台帐!$A$4:$D$195,4,1)</f>
        <v>一期配电箱采购合同（含电表箱）</v>
      </c>
      <c r="G141" s="659" t="str">
        <f>VLOOKUP(A141,合同台帐!$A$4:$E$195,5,1)</f>
        <v>天津市隆裕电器有限公司</v>
      </c>
      <c r="H141" s="660"/>
      <c r="I141" s="522" t="str">
        <f>IF(A141&lt;&gt;0,VLOOKUP(A141,合同台帐!$A$4:$C$893,3,0),"")</f>
        <v>建主</v>
      </c>
    </row>
    <row r="142" spans="1:9" s="623" customFormat="1" ht="15.75" customHeight="1">
      <c r="A142" s="566" t="s">
        <v>288</v>
      </c>
      <c r="B142" s="649" t="s">
        <v>289</v>
      </c>
      <c r="C142" s="576">
        <v>70000</v>
      </c>
      <c r="D142" s="657">
        <f>SUMIF(A$2:A142,A142,C$2:C142)</f>
        <v>70000</v>
      </c>
      <c r="E142" s="658">
        <f>IF(VLOOKUP(A142,合同台帐!$A$4:$K$195,7,1)&gt;0,VLOOKUP(A142,合同台帐!$A$4:$K$195,7,1)-D142,VLOOKUP(A142,合同台帐!$A$4:$F$195,6,1)-D142)</f>
        <v>100000</v>
      </c>
      <c r="F142" s="659" t="str">
        <f>VLOOKUP(A142,合同台帐!$A$4:$D$195,4,1)</f>
        <v>一期排水配套工程挖土方</v>
      </c>
      <c r="G142" s="659" t="str">
        <f>VLOOKUP(A142,合同台帐!$A$4:$E$195,5,1)</f>
        <v>天津聚宝龙投资有限公司</v>
      </c>
      <c r="H142" s="660"/>
      <c r="I142" s="522" t="str">
        <f>IF(A142&lt;&gt;0,VLOOKUP(A142,合同台帐!$A$4:$C$893,3,0),"")</f>
        <v>基排工</v>
      </c>
    </row>
    <row r="143" spans="1:9" s="623" customFormat="1" ht="15.75" customHeight="1">
      <c r="A143" s="566" t="s">
        <v>290</v>
      </c>
      <c r="B143" s="649" t="s">
        <v>289</v>
      </c>
      <c r="C143" s="576">
        <v>70000</v>
      </c>
      <c r="D143" s="657">
        <f>SUMIF(A$2:A143,A143,C$2:C143)</f>
        <v>70000</v>
      </c>
      <c r="E143" s="658">
        <f>IF(VLOOKUP(A143,合同台帐!$A$4:$K$195,7,1)&gt;0,VLOOKUP(A143,合同台帐!$A$4:$K$195,7,1)-D143,VLOOKUP(A143,合同台帐!$A$4:$F$195,6,1)-D143)</f>
        <v>130000</v>
      </c>
      <c r="F143" s="659" t="str">
        <f>VLOOKUP(A143,合同台帐!$A$4:$D$195,4,1)</f>
        <v>一期供热二次网工程土方挖填</v>
      </c>
      <c r="G143" s="659" t="str">
        <f>VLOOKUP(A143,合同台帐!$A$4:$E$195,5,1)</f>
        <v>天津聚宝龙投资有限公司</v>
      </c>
      <c r="H143" s="660"/>
      <c r="I143" s="522" t="str">
        <f>IF(A143&lt;&gt;0,VLOOKUP(A143,合同台帐!$A$4:$C$893,3,0),"")</f>
        <v>基热内</v>
      </c>
    </row>
    <row r="144" spans="1:9" s="623" customFormat="1" ht="15.75" customHeight="1">
      <c r="A144" s="566" t="s">
        <v>291</v>
      </c>
      <c r="B144" s="649" t="s">
        <v>289</v>
      </c>
      <c r="C144" s="576">
        <v>1701274.4</v>
      </c>
      <c r="D144" s="657">
        <f>SUMIF(A$2:A144,A144,C$2:C144)</f>
        <v>1701274.4</v>
      </c>
      <c r="E144" s="658">
        <f>IF(VLOOKUP(A144,合同台帐!$A$4:$K$195,7,1)&gt;0,VLOOKUP(A144,合同台帐!$A$4:$K$195,7,1)-D144,VLOOKUP(A144,合同台帐!$A$4:$F$195,6,1)-D144)</f>
        <v>729117.60000000009</v>
      </c>
      <c r="F144" s="659" t="str">
        <f>VLOOKUP(A144,合同台帐!$A$4:$D$195,4,1)</f>
        <v>一期燃气配套工程</v>
      </c>
      <c r="G144" s="659" t="str">
        <f>VLOOKUP(A144,合同台帐!$A$4:$E$195,5,1)</f>
        <v>津燃润燃气有限公司</v>
      </c>
      <c r="H144" s="660"/>
      <c r="I144" s="522" t="str">
        <f>IF(A144&lt;&gt;0,VLOOKUP(A144,合同台帐!$A$4:$C$893,3,0),"")</f>
        <v>基气工</v>
      </c>
    </row>
    <row r="145" spans="1:9" s="623" customFormat="1" ht="15.75" customHeight="1">
      <c r="A145" s="566" t="s">
        <v>274</v>
      </c>
      <c r="B145" s="649" t="s">
        <v>292</v>
      </c>
      <c r="C145" s="576">
        <v>400000</v>
      </c>
      <c r="D145" s="657">
        <f>SUMIF(A$2:A145,A145,C$2:C145)</f>
        <v>900000</v>
      </c>
      <c r="E145" s="658">
        <f>IF(VLOOKUP(A145,合同台帐!$A$4:$K$195,7,1)&gt;0,VLOOKUP(A145,合同台帐!$A$4:$K$195,7,1)-D145,VLOOKUP(A145,合同台帐!$A$4:$F$195,6,1)-D145)</f>
        <v>1773069.73</v>
      </c>
      <c r="F145" s="659" t="str">
        <f>VLOOKUP(A145,合同台帐!$A$4:$D$195,4,1)</f>
        <v>供用热协议书（二次管网）</v>
      </c>
      <c r="G145" s="659" t="str">
        <f>VLOOKUP(A145,合同台帐!$A$4:$E$195,5,1)</f>
        <v>蓟县鑫泰物业管理有限公司</v>
      </c>
      <c r="H145" s="660"/>
      <c r="I145" s="522" t="str">
        <f>IF(A145&lt;&gt;0,VLOOKUP(A145,合同台帐!$A$4:$C$893,3,0),"")</f>
        <v>基热内</v>
      </c>
    </row>
    <row r="146" spans="1:9" s="623" customFormat="1" ht="15.75" customHeight="1">
      <c r="A146" s="566" t="s">
        <v>293</v>
      </c>
      <c r="B146" s="649" t="s">
        <v>294</v>
      </c>
      <c r="C146" s="576">
        <v>1000</v>
      </c>
      <c r="D146" s="657">
        <f>SUMIF(A$2:A146,A146,C$2:C146)</f>
        <v>1000</v>
      </c>
      <c r="E146" s="658">
        <f>IF(VLOOKUP(A146,合同台帐!$A$4:$K$195,7,1)&gt;0,VLOOKUP(A146,合同台帐!$A$4:$K$195,7,1)-D146,VLOOKUP(A146,合同台帐!$A$4:$F$195,6,1)-D146)</f>
        <v>0</v>
      </c>
      <c r="F146" s="659" t="str">
        <f>VLOOKUP(A146,合同台帐!$A$4:$D$195,4,1)</f>
        <v>前置测量购买本册费（一期）</v>
      </c>
      <c r="G146" s="659" t="str">
        <f>VLOOKUP(A146,合同台帐!$A$4:$E$195,5,1)</f>
        <v>天津市国土资源测绘和房屋测量中心</v>
      </c>
      <c r="H146" s="660"/>
      <c r="I146" s="522" t="str">
        <f>IF(A146&lt;&gt;0,VLOOKUP(A146,合同台帐!$A$4:$C$893,3,0),"")</f>
        <v>前面</v>
      </c>
    </row>
    <row r="147" spans="1:9" s="623" customFormat="1" ht="15.75" customHeight="1">
      <c r="A147" s="566" t="s">
        <v>259</v>
      </c>
      <c r="B147" s="649" t="s">
        <v>295</v>
      </c>
      <c r="C147" s="576">
        <v>1000000</v>
      </c>
      <c r="D147" s="657">
        <f>SUMIF(A$2:A147,A147,C$2:C147)</f>
        <v>1300000</v>
      </c>
      <c r="E147" s="658">
        <f>IF(VLOOKUP(A147,合同台帐!$A$4:$K$195,7,1)&gt;0,VLOOKUP(A147,合同台帐!$A$4:$K$195,7,1)-D147,VLOOKUP(A147,合同台帐!$A$4:$F$195,6,1)-D147)</f>
        <v>1800000</v>
      </c>
      <c r="F147" s="659" t="str">
        <f>VLOOKUP(A147,合同台帐!$A$4:$D$195,4,1)</f>
        <v>界外地景观</v>
      </c>
      <c r="G147" s="659" t="str">
        <f>VLOOKUP(A147,合同台帐!$A$4:$E$195,5,1)</f>
        <v>天津兰苑绿化工程有限公司</v>
      </c>
      <c r="H147" s="660"/>
      <c r="I147" s="522" t="str">
        <f>IF(A147&lt;&gt;0,VLOOKUP(A147,合同台帐!$A$4:$C$893,3,0),"")</f>
        <v>建环外</v>
      </c>
    </row>
    <row r="148" spans="1:9" s="623" customFormat="1" ht="15.75" customHeight="1">
      <c r="A148" s="566" t="s">
        <v>192</v>
      </c>
      <c r="B148" s="649" t="s">
        <v>295</v>
      </c>
      <c r="C148" s="576">
        <v>4120833</v>
      </c>
      <c r="D148" s="657">
        <f>SUMIF(A$2:A148,A148,C$2:C148)</f>
        <v>6771382</v>
      </c>
      <c r="E148" s="658">
        <f>IF(VLOOKUP(A148,合同台帐!$A$4:$K$195,7,1)&gt;0,VLOOKUP(A148,合同台帐!$A$4:$K$195,7,1)-D148,VLOOKUP(A148,合同台帐!$A$4:$F$195,6,1)-D148)</f>
        <v>6481364.2400000002</v>
      </c>
      <c r="F148" s="659" t="str">
        <f>VLOOKUP(A148,合同台帐!$A$4:$D$195,4,1)</f>
        <v>供热配套合同（工程建设费）</v>
      </c>
      <c r="G148" s="659" t="str">
        <f>VLOOKUP(A148,合同台帐!$A$4:$E$195,5,1)</f>
        <v>天津市蓟县供热服务中心</v>
      </c>
      <c r="H148" s="660"/>
      <c r="I148" s="522" t="str">
        <f>IF(A148&lt;&gt;0,VLOOKUP(A148,合同台帐!$A$4:$C$893,3,0),"")</f>
        <v>基热工</v>
      </c>
    </row>
    <row r="149" spans="1:9" s="623" customFormat="1" ht="15.75" customHeight="1">
      <c r="A149" s="566" t="s">
        <v>247</v>
      </c>
      <c r="B149" s="649" t="s">
        <v>296</v>
      </c>
      <c r="C149" s="576">
        <v>1000000</v>
      </c>
      <c r="D149" s="657">
        <f>SUMIF(A$2:A149,A149,C$2:C149)</f>
        <v>18160000</v>
      </c>
      <c r="E149" s="658">
        <f>IF(VLOOKUP(A149,合同台帐!$A$4:$K$195,7,1)&gt;0,VLOOKUP(A149,合同台帐!$A$4:$K$195,7,1)-D149,VLOOKUP(A149,合同台帐!$A$4:$F$195,6,1)-D149)</f>
        <v>91840000</v>
      </c>
      <c r="F149" s="659" t="str">
        <f>VLOOKUP(A149,合同台帐!$A$4:$D$195,4,1)</f>
        <v>总包一期工程</v>
      </c>
      <c r="G149" s="659" t="str">
        <f>VLOOKUP(A149,合同台帐!$A$4:$E$195,5,1)</f>
        <v>天津泉州建设工程集团有限公司</v>
      </c>
      <c r="H149" s="660"/>
      <c r="I149" s="522">
        <f>IF(A149&lt;&gt;0,VLOOKUP(A149,合同台帐!$A$4:$C$893,3,0),"")</f>
        <v>0</v>
      </c>
    </row>
    <row r="150" spans="1:9" s="623" customFormat="1" ht="15.75" customHeight="1">
      <c r="A150" s="566" t="s">
        <v>297</v>
      </c>
      <c r="B150" s="649" t="s">
        <v>298</v>
      </c>
      <c r="C150" s="576">
        <v>2100</v>
      </c>
      <c r="D150" s="657">
        <f>SUMIF(A$2:A150,A150,C$2:C150)</f>
        <v>2100</v>
      </c>
      <c r="E150" s="658">
        <f>IF(VLOOKUP(A150,合同台帐!$A$4:$K$195,7,1)&gt;0,VLOOKUP(A150,合同台帐!$A$4:$K$195,7,1)-D150,VLOOKUP(A150,合同台帐!$A$4:$F$195,6,1)-D150)</f>
        <v>0</v>
      </c>
      <c r="F150" s="659" t="str">
        <f>VLOOKUP(A150,合同台帐!$A$4:$D$195,4,1)</f>
        <v>一期施工图审查（中部地下室变更）</v>
      </c>
      <c r="G150" s="659" t="str">
        <f>VLOOKUP(A150,合同台帐!$A$4:$E$195,5,1)</f>
        <v>天津华苑建筑工程咨询有限公司</v>
      </c>
      <c r="H150" s="660"/>
      <c r="I150" s="522" t="str">
        <f>IF(A150&lt;&gt;0,VLOOKUP(A150,合同台帐!$A$4:$C$893,3,0),"")</f>
        <v>前设审</v>
      </c>
    </row>
    <row r="151" spans="1:9" s="623" customFormat="1" ht="15.75" customHeight="1">
      <c r="A151" s="566" t="s">
        <v>299</v>
      </c>
      <c r="B151" s="649" t="s">
        <v>300</v>
      </c>
      <c r="C151" s="576">
        <v>180245</v>
      </c>
      <c r="D151" s="657">
        <f>SUMIF(A$2:A151,A151,C$2:C151)</f>
        <v>180245</v>
      </c>
      <c r="E151" s="658">
        <f>IF(VLOOKUP(A151,合同台帐!$A$4:$K$195,7,1)&gt;0,VLOOKUP(A151,合同台帐!$A$4:$K$195,7,1)-D151,VLOOKUP(A151,合同台帐!$A$4:$F$195,6,1)-D151)</f>
        <v>270367</v>
      </c>
      <c r="F151" s="659" t="str">
        <f>VLOOKUP(A151,合同台帐!$A$4:$D$195,4,1)</f>
        <v>售楼处中央空调安装合同</v>
      </c>
      <c r="G151" s="659" t="str">
        <f>VLOOKUP(A151,合同台帐!$A$4:$E$195,5,1)</f>
        <v>天津荣润世纪科技有限公司</v>
      </c>
      <c r="H151" s="660"/>
      <c r="I151" s="522" t="str">
        <f>IF(A151&lt;&gt;0,VLOOKUP(A151,合同台帐!$A$4:$C$893,3,0),"")</f>
        <v>建主</v>
      </c>
    </row>
    <row r="152" spans="1:9" s="624" customFormat="1" ht="15.75" customHeight="1">
      <c r="A152" s="566" t="s">
        <v>247</v>
      </c>
      <c r="B152" s="649" t="s">
        <v>301</v>
      </c>
      <c r="C152" s="644">
        <v>1000000</v>
      </c>
      <c r="D152" s="657">
        <f>SUMIF(A$2:A152,A152,C$2:C152)</f>
        <v>19160000</v>
      </c>
      <c r="E152" s="646">
        <f>IF(VLOOKUP(A152,合同台帐!$A$4:$K$195,7,1)&gt;0,VLOOKUP(A152,合同台帐!$A$4:$K$195,7,1)-D152,VLOOKUP(A152,合同台帐!$A$4:$F$195,6,1)-D152)</f>
        <v>90840000</v>
      </c>
      <c r="F152" s="647" t="str">
        <f>VLOOKUP(A152,合同台帐!$A$4:$D$195,4,1)</f>
        <v>总包一期工程</v>
      </c>
      <c r="G152" s="647" t="str">
        <f>VLOOKUP(A152,合同台帐!$A$4:$E$195,5,1)</f>
        <v>天津泉州建设工程集团有限公司</v>
      </c>
      <c r="H152" s="648"/>
      <c r="I152" s="510">
        <f>IF(A152&lt;&gt;0,VLOOKUP(A152,合同台帐!$A$4:$C$893,3,0),"")</f>
        <v>0</v>
      </c>
    </row>
    <row r="153" spans="1:9" s="624" customFormat="1" ht="15.75" customHeight="1">
      <c r="A153" s="566" t="s">
        <v>302</v>
      </c>
      <c r="B153" s="649" t="s">
        <v>301</v>
      </c>
      <c r="C153" s="644">
        <v>100000</v>
      </c>
      <c r="D153" s="645">
        <f>SUMIF(A$2:A153,A153,C$2:C153)</f>
        <v>100000</v>
      </c>
      <c r="E153" s="646">
        <f>IF(VLOOKUP(A153,合同台帐!$A$4:$K$195,7,1)&gt;0,VLOOKUP(A153,合同台帐!$A$4:$K$195,7,1)-D153,VLOOKUP(A153,合同台帐!$A$4:$F$195,6,1)-D153)</f>
        <v>249680</v>
      </c>
      <c r="F153" s="647" t="str">
        <f>VLOOKUP(A153,合同台帐!$A$4:$D$195,4,1)</f>
        <v>售楼处、样板间钢结构工程</v>
      </c>
      <c r="G153" s="647" t="str">
        <f>VLOOKUP(A153,合同台帐!$A$4:$E$195,5,1)</f>
        <v>天津博斯特膜装饰工程有限公司</v>
      </c>
      <c r="H153" s="648"/>
      <c r="I153" s="510" t="str">
        <f>IF(A153&lt;&gt;0,VLOOKUP(A153,合同台帐!$A$4:$C$893,3,0),"")</f>
        <v>建主</v>
      </c>
    </row>
    <row r="154" spans="1:9" s="624" customFormat="1" ht="15.75" customHeight="1">
      <c r="A154" s="566" t="s">
        <v>303</v>
      </c>
      <c r="B154" s="649" t="s">
        <v>301</v>
      </c>
      <c r="C154" s="644">
        <v>11440</v>
      </c>
      <c r="D154" s="645">
        <f>SUMIF(A$2:A154,A154,C$2:C154)</f>
        <v>11440</v>
      </c>
      <c r="E154" s="646">
        <f>IF(VLOOKUP(A154,合同台帐!$A$4:$K$195,7,1)&gt;0,VLOOKUP(A154,合同台帐!$A$4:$K$195,7,1)-D154,VLOOKUP(A154,合同台帐!$A$4:$F$195,6,1)-D154)</f>
        <v>0</v>
      </c>
      <c r="F154" s="647" t="str">
        <f>VLOOKUP(A154,合同台帐!$A$4:$D$195,4,1)</f>
        <v>商品房预售登记费（一期143套）</v>
      </c>
      <c r="G154" s="647" t="str">
        <f>VLOOKUP(A154,合同台帐!$A$4:$E$195,5,1)</f>
        <v>天津市财政局</v>
      </c>
      <c r="H154" s="648"/>
      <c r="I154" s="510" t="str">
        <f>IF(A154&lt;&gt;0,VLOOKUP(A154,合同台帐!$A$4:$C$893,3,0),"")</f>
        <v>前销</v>
      </c>
    </row>
    <row r="155" spans="1:9" s="624" customFormat="1" ht="15.75" customHeight="1">
      <c r="A155" s="566" t="s">
        <v>304</v>
      </c>
      <c r="B155" s="649" t="s">
        <v>301</v>
      </c>
      <c r="C155" s="644">
        <v>6000</v>
      </c>
      <c r="D155" s="645">
        <f>SUMIF(A$2:A155,A155,C$2:C155)</f>
        <v>6000</v>
      </c>
      <c r="E155" s="646">
        <f>IF(VLOOKUP(A155,合同台帐!$A$4:$K$195,7,1)&gt;0,VLOOKUP(A155,合同台帐!$A$4:$K$195,7,1)-D155,VLOOKUP(A155,合同台帐!$A$4:$F$195,6,1)-D155)</f>
        <v>0</v>
      </c>
      <c r="F155" s="647" t="str">
        <f>VLOOKUP(A155,合同台帐!$A$4:$D$195,4,1)</f>
        <v>销许公告费（一期22个楼的）</v>
      </c>
      <c r="G155" s="647" t="str">
        <f>VLOOKUP(A155,合同台帐!$A$4:$E$195,5,1)</f>
        <v>天津蓝狮广告传播有限公司</v>
      </c>
      <c r="H155" s="648"/>
      <c r="I155" s="510" t="str">
        <f>IF(A155&lt;&gt;0,VLOOKUP(A155,合同台帐!$A$4:$C$893,3,0),"")</f>
        <v>前销</v>
      </c>
    </row>
    <row r="156" spans="1:9" s="624" customFormat="1" ht="15.75" customHeight="1">
      <c r="A156" s="566" t="s">
        <v>284</v>
      </c>
      <c r="B156" s="649" t="s">
        <v>301</v>
      </c>
      <c r="C156" s="644">
        <v>205504</v>
      </c>
      <c r="D156" s="645">
        <f>SUMIF(A$2:A156,A156,C$2:C156)</f>
        <v>1705504</v>
      </c>
      <c r="E156" s="646">
        <f>IF(VLOOKUP(A156,合同台帐!$A$4:$K$195,7,1)&gt;0,VLOOKUP(A156,合同台帐!$A$4:$K$195,7,1)-D156,VLOOKUP(A156,合同台帐!$A$4:$F$195,6,1)-D156)</f>
        <v>20889192</v>
      </c>
      <c r="F156" s="647" t="str">
        <f>VLOOKUP(A156,合同台帐!$A$4:$D$195,4,1)</f>
        <v>一期保温涂料线条线角</v>
      </c>
      <c r="G156" s="647" t="str">
        <f>VLOOKUP(A156,合同台帐!$A$4:$E$195,5,1)</f>
        <v>天津万通达建筑工程有限公司</v>
      </c>
      <c r="H156" s="648"/>
      <c r="I156" s="510" t="str">
        <f>IF(A156&lt;&gt;0,VLOOKUP(A156,合同台帐!$A$4:$C$893,3,0),"")</f>
        <v>建主</v>
      </c>
    </row>
    <row r="157" spans="1:9" s="624" customFormat="1" ht="15.75" customHeight="1">
      <c r="A157" s="566" t="s">
        <v>305</v>
      </c>
      <c r="B157" s="649" t="s">
        <v>301</v>
      </c>
      <c r="C157" s="644">
        <v>1000000</v>
      </c>
      <c r="D157" s="645">
        <f>SUMIF(A$2:A157,A157,C$2:C157)</f>
        <v>1000000</v>
      </c>
      <c r="E157" s="646">
        <f>IF(VLOOKUP(A157,合同台帐!$A$4:$K$195,7,1)&gt;0,VLOOKUP(A157,合同台帐!$A$4:$K$195,7,1)-D157,VLOOKUP(A157,合同台帐!$A$4:$F$195,6,1)-D157)</f>
        <v>8498614</v>
      </c>
      <c r="F157" s="647" t="str">
        <f>VLOOKUP(A157,合同台帐!$A$4:$D$195,4,1)</f>
        <v>示范区景观</v>
      </c>
      <c r="G157" s="647" t="str">
        <f>VLOOKUP(A157,合同台帐!$A$4:$E$195,5,1)</f>
        <v>天津兰苑园林绿化工程有限公司</v>
      </c>
      <c r="H157" s="648"/>
      <c r="I157" s="510" t="str">
        <f>IF(A157&lt;&gt;0,VLOOKUP(A157,合同台帐!$A$4:$C$893,3,0),"")</f>
        <v>建环内</v>
      </c>
    </row>
    <row r="158" spans="1:9" s="624" customFormat="1" ht="15.75" customHeight="1">
      <c r="A158" s="566" t="s">
        <v>306</v>
      </c>
      <c r="B158" s="649" t="s">
        <v>307</v>
      </c>
      <c r="C158" s="644">
        <v>49100</v>
      </c>
      <c r="D158" s="645">
        <f>SUMIF(A$2:A158,A158,C$2:C158)</f>
        <v>49100</v>
      </c>
      <c r="E158" s="646">
        <f>IF(VLOOKUP(A158,合同台帐!$A$4:$K$195,7,1)&gt;0,VLOOKUP(A158,合同台帐!$A$4:$K$195,7,1)-D158,VLOOKUP(A158,合同台帐!$A$4:$F$195,6,1)-D158)</f>
        <v>0</v>
      </c>
      <c r="F158" s="647" t="str">
        <f>VLOOKUP(A158,合同台帐!$A$4:$D$195,4,1)</f>
        <v>排水市政接口</v>
      </c>
      <c r="G158" s="647" t="str">
        <f>VLOOKUP(A158,合同台帐!$A$4:$E$195,5,1)</f>
        <v>天津力恒市政工程有限公司</v>
      </c>
      <c r="H158" s="648"/>
      <c r="I158" s="510" t="str">
        <f>IF(A158&lt;&gt;0,VLOOKUP(A158,合同台帐!$A$4:$C$893,3,0),"")</f>
        <v>基排工</v>
      </c>
    </row>
    <row r="159" spans="1:9" s="624" customFormat="1" ht="15.75" customHeight="1">
      <c r="A159" s="566" t="s">
        <v>308</v>
      </c>
      <c r="B159" s="649" t="s">
        <v>307</v>
      </c>
      <c r="C159" s="644">
        <v>150000</v>
      </c>
      <c r="D159" s="645">
        <f>SUMIF(A$2:A159,A159,C$2:C159)</f>
        <v>150000</v>
      </c>
      <c r="E159" s="646">
        <f>IF(VLOOKUP(A159,合同台帐!$A$4:$K$195,7,1)&gt;0,VLOOKUP(A159,合同台帐!$A$4:$K$195,7,1)-D159,VLOOKUP(A159,合同台帐!$A$4:$F$195,6,1)-D159)</f>
        <v>3610794</v>
      </c>
      <c r="F159" s="647" t="str">
        <f>VLOOKUP(A159,合同台帐!$A$4:$D$195,4,1)</f>
        <v>售楼处样板间精装修工程</v>
      </c>
      <c r="G159" s="647" t="str">
        <f>VLOOKUP(A159,合同台帐!$A$4:$E$195,5,1)</f>
        <v>天津磊德建筑装饰工程有限公司</v>
      </c>
      <c r="H159" s="648"/>
      <c r="I159" s="510" t="str">
        <f>IF(A159&lt;&gt;0,VLOOKUP(A159,合同台帐!$A$4:$C$893,3,0),"")</f>
        <v>建主</v>
      </c>
    </row>
    <row r="160" spans="1:9" s="623" customFormat="1" ht="15.75" customHeight="1">
      <c r="A160" s="566" t="s">
        <v>309</v>
      </c>
      <c r="B160" s="649" t="s">
        <v>307</v>
      </c>
      <c r="C160" s="576">
        <v>237811</v>
      </c>
      <c r="D160" s="657">
        <f>SUMIF(A$2:A160,A160,C$2:C160)</f>
        <v>237811</v>
      </c>
      <c r="E160" s="658">
        <f>IF(VLOOKUP(A160,合同台帐!$A$4:$K$195,7,1)&gt;0,VLOOKUP(A160,合同台帐!$A$4:$K$195,7,1)-D160,VLOOKUP(A160,合同台帐!$A$4:$F$195,6,1)-D160)</f>
        <v>0</v>
      </c>
      <c r="F160" s="659" t="str">
        <f>VLOOKUP(A160,合同台帐!$A$4:$D$195,4,1)</f>
        <v>三期放、验线报告</v>
      </c>
      <c r="G160" s="659" t="str">
        <f>VLOOKUP(A160,合同台帐!$A$4:$E$195,5,1)</f>
        <v>天津市蓟县测绘队</v>
      </c>
      <c r="H160" s="660"/>
      <c r="I160" s="522" t="str">
        <f>IF(A160&lt;&gt;0,VLOOKUP(A160,合同台帐!$A$4:$C$893,3,0),"")</f>
        <v>建定测</v>
      </c>
    </row>
    <row r="161" spans="1:9" s="623" customFormat="1" ht="15.75" customHeight="1">
      <c r="A161" s="566" t="s">
        <v>305</v>
      </c>
      <c r="B161" s="649" t="s">
        <v>310</v>
      </c>
      <c r="C161" s="576">
        <v>1000000</v>
      </c>
      <c r="D161" s="657">
        <f>SUMIF(A$2:A161,A161,C$2:C161)</f>
        <v>2000000</v>
      </c>
      <c r="E161" s="658">
        <f>IF(VLOOKUP(A161,合同台帐!$A$4:$K$195,7,1)&gt;0,VLOOKUP(A161,合同台帐!$A$4:$K$195,7,1)-D161,VLOOKUP(A161,合同台帐!$A$4:$F$195,6,1)-D161)</f>
        <v>7498614</v>
      </c>
      <c r="F161" s="659" t="str">
        <f>VLOOKUP(A161,合同台帐!$A$4:$D$195,4,1)</f>
        <v>示范区景观</v>
      </c>
      <c r="G161" s="659" t="str">
        <f>VLOOKUP(A161,合同台帐!$A$4:$E$195,5,1)</f>
        <v>天津兰苑园林绿化工程有限公司</v>
      </c>
      <c r="H161" s="660"/>
      <c r="I161" s="522" t="str">
        <f>IF(A161&lt;&gt;0,VLOOKUP(A161,合同台帐!$A$4:$C$893,3,0),"")</f>
        <v>建环内</v>
      </c>
    </row>
    <row r="162" spans="1:9" s="623" customFormat="1" ht="15.75" customHeight="1">
      <c r="A162" s="566" t="s">
        <v>311</v>
      </c>
      <c r="B162" s="649" t="s">
        <v>310</v>
      </c>
      <c r="C162" s="576">
        <v>31834</v>
      </c>
      <c r="D162" s="657">
        <f>SUMIF(A$2:A162,A162,C$2:C162)</f>
        <v>31834</v>
      </c>
      <c r="E162" s="658">
        <f>IF(VLOOKUP(A162,合同台帐!$A$4:$K$195,7,1)&gt;0,VLOOKUP(A162,合同台帐!$A$4:$K$195,7,1)-D162,VLOOKUP(A162,合同台帐!$A$4:$F$195,6,1)-D162)</f>
        <v>47750</v>
      </c>
      <c r="F162" s="659" t="str">
        <f>VLOOKUP(A162,合同台帐!$A$4:$D$195,4,1)</f>
        <v>联排样板间中央空调安装合同</v>
      </c>
      <c r="G162" s="659" t="str">
        <f>VLOOKUP(A162,合同台帐!$A$4:$E$195,5,1)</f>
        <v>天津荣润世纪科技有限公司</v>
      </c>
      <c r="H162" s="660"/>
      <c r="I162" s="522" t="str">
        <f>IF(A162&lt;&gt;0,VLOOKUP(A162,合同台帐!$A$4:$C$893,3,0),"")</f>
        <v>建主</v>
      </c>
    </row>
    <row r="163" spans="1:9" s="623" customFormat="1" ht="15.75" customHeight="1">
      <c r="A163" s="566" t="s">
        <v>305</v>
      </c>
      <c r="B163" s="649" t="s">
        <v>312</v>
      </c>
      <c r="C163" s="576">
        <v>1000000</v>
      </c>
      <c r="D163" s="657">
        <f>SUMIF(A$2:A163,A163,C$2:C163)</f>
        <v>3000000</v>
      </c>
      <c r="E163" s="658">
        <f>IF(VLOOKUP(A163,合同台帐!$A$4:$K$195,7,1)&gt;0,VLOOKUP(A163,合同台帐!$A$4:$K$195,7,1)-D163,VLOOKUP(A163,合同台帐!$A$4:$F$195,6,1)-D163)</f>
        <v>6498614</v>
      </c>
      <c r="F163" s="659" t="str">
        <f>VLOOKUP(A163,合同台帐!$A$4:$D$195,4,1)</f>
        <v>示范区景观</v>
      </c>
      <c r="G163" s="659" t="str">
        <f>VLOOKUP(A163,合同台帐!$A$4:$E$195,5,1)</f>
        <v>天津兰苑园林绿化工程有限公司</v>
      </c>
      <c r="H163" s="660"/>
      <c r="I163" s="522" t="str">
        <f>IF(A163&lt;&gt;0,VLOOKUP(A163,合同台帐!$A$4:$C$893,3,0),"")</f>
        <v>建环内</v>
      </c>
    </row>
    <row r="164" spans="1:9" s="623" customFormat="1" ht="15.75" customHeight="1">
      <c r="A164" s="566" t="s">
        <v>313</v>
      </c>
      <c r="B164" s="649" t="s">
        <v>314</v>
      </c>
      <c r="C164" s="576">
        <v>77563.17</v>
      </c>
      <c r="D164" s="657">
        <f>SUMIF(A$2:A164,A164,C$2:C164)</f>
        <v>77563.17</v>
      </c>
      <c r="E164" s="658">
        <f>IF(VLOOKUP(A164,合同台帐!$A$4:$K$195,7,1)&gt;0,VLOOKUP(A164,合同台帐!$A$4:$K$195,7,1)-D164,VLOOKUP(A164,合同台帐!$A$4:$F$195,6,1)-D164)</f>
        <v>0</v>
      </c>
      <c r="F164" s="659" t="str">
        <f>VLOOKUP(A164,合同台帐!$A$4:$D$195,4,1)</f>
        <v>房屋转让手续费（一期22个楼）产权登记</v>
      </c>
      <c r="G164" s="659" t="str">
        <f>VLOOKUP(A164,合同台帐!$A$4:$E$195,5,1)</f>
        <v>蓟县房地产管理局</v>
      </c>
      <c r="H164" s="660"/>
      <c r="I164" s="522" t="str">
        <f>IF(A164&lt;&gt;0,VLOOKUP(A164,合同台帐!$A$4:$C$893,3,0),"")</f>
        <v>前销</v>
      </c>
    </row>
    <row r="165" spans="1:9" s="623" customFormat="1" ht="15.75" customHeight="1">
      <c r="A165" s="566" t="s">
        <v>315</v>
      </c>
      <c r="B165" s="649" t="s">
        <v>314</v>
      </c>
      <c r="C165" s="576">
        <v>150000</v>
      </c>
      <c r="D165" s="657">
        <f>SUMIF(A$2:A165,A165,C$2:C165)</f>
        <v>150000</v>
      </c>
      <c r="E165" s="658">
        <f>IF(VLOOKUP(A165,合同台帐!$A$4:$K$195,7,1)&gt;0,VLOOKUP(A165,合同台帐!$A$4:$K$195,7,1)-D165,VLOOKUP(A165,合同台帐!$A$4:$F$195,6,1)-D165)</f>
        <v>50000</v>
      </c>
      <c r="F165" s="659" t="str">
        <f>VLOOKUP(A165,合同台帐!$A$4:$D$195,4,1)</f>
        <v>博御园临时围墙工程</v>
      </c>
      <c r="G165" s="659" t="str">
        <f>VLOOKUP(A165,合同台帐!$A$4:$E$195,5,1)</f>
        <v>天津宏鑫鼎泰建筑工程有限公司</v>
      </c>
      <c r="H165" s="660"/>
      <c r="I165" s="522" t="str">
        <f>IF(A165&lt;&gt;0,VLOOKUP(A165,合同台帐!$A$4:$C$893,3,0),"")</f>
        <v>前临围</v>
      </c>
    </row>
    <row r="166" spans="1:9" s="623" customFormat="1" ht="15.75" customHeight="1">
      <c r="A166" s="566" t="s">
        <v>302</v>
      </c>
      <c r="B166" s="649" t="s">
        <v>314</v>
      </c>
      <c r="C166" s="576">
        <v>150000</v>
      </c>
      <c r="D166" s="657">
        <f>SUMIF(A$2:A166,A166,C$2:C166)</f>
        <v>250000</v>
      </c>
      <c r="E166" s="658">
        <f>IF(VLOOKUP(A166,合同台帐!$A$4:$K$195,7,1)&gt;0,VLOOKUP(A166,合同台帐!$A$4:$K$195,7,1)-D166,VLOOKUP(A166,合同台帐!$A$4:$F$195,6,1)-D166)</f>
        <v>99680</v>
      </c>
      <c r="F166" s="659" t="str">
        <f>VLOOKUP(A166,合同台帐!$A$4:$D$195,4,1)</f>
        <v>售楼处、样板间钢结构工程</v>
      </c>
      <c r="G166" s="659" t="str">
        <f>VLOOKUP(A166,合同台帐!$A$4:$E$195,5,1)</f>
        <v>天津博斯特膜装饰工程有限公司</v>
      </c>
      <c r="H166" s="660"/>
      <c r="I166" s="522" t="str">
        <f>IF(A166&lt;&gt;0,VLOOKUP(A166,合同台帐!$A$4:$C$893,3,0),"")</f>
        <v>建主</v>
      </c>
    </row>
    <row r="167" spans="1:9" s="623" customFormat="1" ht="15.75" customHeight="1">
      <c r="A167" s="566" t="s">
        <v>244</v>
      </c>
      <c r="B167" s="649" t="s">
        <v>316</v>
      </c>
      <c r="C167" s="576">
        <v>20000</v>
      </c>
      <c r="D167" s="657">
        <f>SUMIF(A$2:A167,A167,C$2:C167)</f>
        <v>90000</v>
      </c>
      <c r="E167" s="658">
        <f>IF(VLOOKUP(A167,合同台帐!$A$4:$K$195,7,1)&gt;0,VLOOKUP(A167,合同台帐!$A$4:$K$195,7,1)-D167,VLOOKUP(A167,合同台帐!$A$4:$F$195,6,1)-D167)</f>
        <v>210000</v>
      </c>
      <c r="F167" s="659" t="str">
        <f>VLOOKUP(A167,合同台帐!$A$4:$D$195,4,1)</f>
        <v>（一、三期）造价咨询合同</v>
      </c>
      <c r="G167" s="659" t="str">
        <f>VLOOKUP(A167,合同台帐!$A$4:$E$195,5,1)</f>
        <v>天津中天华建工程咨询有限公司</v>
      </c>
      <c r="H167" s="660"/>
      <c r="I167" s="522" t="str">
        <f>IF(A167&lt;&gt;0,VLOOKUP(A167,合同台帐!$A$4:$C$893,3,0),"")</f>
        <v>前标咨</v>
      </c>
    </row>
    <row r="168" spans="1:9" s="623" customFormat="1" ht="15.75" customHeight="1">
      <c r="A168" s="566" t="s">
        <v>299</v>
      </c>
      <c r="B168" s="649" t="s">
        <v>316</v>
      </c>
      <c r="C168" s="576">
        <v>100000</v>
      </c>
      <c r="D168" s="657">
        <f>SUMIF(A$2:A168,A168,C$2:C168)</f>
        <v>280245</v>
      </c>
      <c r="E168" s="658">
        <f>IF(VLOOKUP(A168,合同台帐!$A$4:$K$195,7,1)&gt;0,VLOOKUP(A168,合同台帐!$A$4:$K$195,7,1)-D168,VLOOKUP(A168,合同台帐!$A$4:$F$195,6,1)-D168)</f>
        <v>170367</v>
      </c>
      <c r="F168" s="659" t="str">
        <f>VLOOKUP(A168,合同台帐!$A$4:$D$195,4,1)</f>
        <v>售楼处中央空调安装合同</v>
      </c>
      <c r="G168" s="659" t="str">
        <f>VLOOKUP(A168,合同台帐!$A$4:$E$195,5,1)</f>
        <v>天津荣润世纪科技有限公司</v>
      </c>
      <c r="H168" s="660"/>
      <c r="I168" s="522" t="str">
        <f>IF(A168&lt;&gt;0,VLOOKUP(A168,合同台帐!$A$4:$C$893,3,0),"")</f>
        <v>建主</v>
      </c>
    </row>
    <row r="169" spans="1:9" s="623" customFormat="1" ht="15.75" customHeight="1">
      <c r="A169" s="566" t="s">
        <v>317</v>
      </c>
      <c r="B169" s="649" t="s">
        <v>316</v>
      </c>
      <c r="C169" s="576">
        <v>280000</v>
      </c>
      <c r="D169" s="657">
        <f>SUMIF(A$2:A169,A169,C$2:C169)</f>
        <v>280000</v>
      </c>
      <c r="E169" s="658">
        <f>IF(VLOOKUP(A169,合同台帐!$A$4:$K$195,7,1)&gt;0,VLOOKUP(A169,合同台帐!$A$4:$K$195,7,1)-D169,VLOOKUP(A169,合同台帐!$A$4:$F$195,6,1)-D169)</f>
        <v>197650</v>
      </c>
      <c r="F169" s="659" t="str">
        <f>VLOOKUP(A169,合同台帐!$A$4:$D$195,4,1)</f>
        <v>苗木增补协议</v>
      </c>
      <c r="G169" s="659" t="str">
        <f>VLOOKUP(A169,合同台帐!$A$4:$E$195,5,1)</f>
        <v>天津市静海县泽森苗圃</v>
      </c>
      <c r="H169" s="660"/>
      <c r="I169" s="522" t="str">
        <f>IF(A169&lt;&gt;0,VLOOKUP(A169,合同台帐!$A$4:$C$893,3,0),"")</f>
        <v>建环内</v>
      </c>
    </row>
    <row r="170" spans="1:9" s="623" customFormat="1" ht="15.75" customHeight="1">
      <c r="A170" s="566" t="s">
        <v>284</v>
      </c>
      <c r="B170" s="649" t="s">
        <v>316</v>
      </c>
      <c r="C170" s="576">
        <v>500000</v>
      </c>
      <c r="D170" s="657">
        <f>SUMIF(A$2:A170,A170,C$2:C170)</f>
        <v>2205504</v>
      </c>
      <c r="E170" s="658">
        <f>IF(VLOOKUP(A170,合同台帐!$A$4:$K$195,7,1)&gt;0,VLOOKUP(A170,合同台帐!$A$4:$K$195,7,1)-D170,VLOOKUP(A170,合同台帐!$A$4:$F$195,6,1)-D170)</f>
        <v>20389192</v>
      </c>
      <c r="F170" s="659" t="str">
        <f>VLOOKUP(A170,合同台帐!$A$4:$D$195,4,1)</f>
        <v>一期保温涂料线条线角</v>
      </c>
      <c r="G170" s="659" t="str">
        <f>VLOOKUP(A170,合同台帐!$A$4:$E$195,5,1)</f>
        <v>天津万通达建筑工程有限公司</v>
      </c>
      <c r="H170" s="660"/>
      <c r="I170" s="522" t="str">
        <f>IF(A170&lt;&gt;0,VLOOKUP(A170,合同台帐!$A$4:$C$893,3,0),"")</f>
        <v>建主</v>
      </c>
    </row>
    <row r="171" spans="1:9" s="623" customFormat="1" ht="15.75" customHeight="1">
      <c r="A171" s="566" t="s">
        <v>110</v>
      </c>
      <c r="B171" s="649" t="s">
        <v>316</v>
      </c>
      <c r="C171" s="576">
        <v>300000</v>
      </c>
      <c r="D171" s="657">
        <f>SUMIF(A$2:A171,A171,C$2:C171)</f>
        <v>6027629</v>
      </c>
      <c r="E171" s="658">
        <f>IF(VLOOKUP(A171,合同台帐!$A$4:$K$195,7,1)&gt;0,VLOOKUP(A171,合同台帐!$A$4:$K$195,7,1)-D171,VLOOKUP(A171,合同台帐!$A$4:$F$195,6,1)-D171)</f>
        <v>1772371</v>
      </c>
      <c r="F171" s="659" t="str">
        <f>VLOOKUP(A171,合同台帐!$A$4:$D$195,4,1)</f>
        <v>建筑方案及施工图设计合同</v>
      </c>
      <c r="G171" s="659" t="str">
        <f>VLOOKUP(A171,合同台帐!$A$4:$E$195,5,1)</f>
        <v>北京新纪元建筑工程设计有限公司</v>
      </c>
      <c r="H171" s="660"/>
      <c r="I171" s="522" t="str">
        <f>IF(A171&lt;&gt;0,VLOOKUP(A171,合同台帐!$A$4:$C$893,3,0),"")</f>
        <v>前设设</v>
      </c>
    </row>
    <row r="172" spans="1:9" s="623" customFormat="1" ht="15.75" customHeight="1">
      <c r="A172" s="566" t="s">
        <v>287</v>
      </c>
      <c r="B172" s="649" t="s">
        <v>316</v>
      </c>
      <c r="C172" s="576">
        <v>200000</v>
      </c>
      <c r="D172" s="657">
        <f>SUMIF(A$2:A172,A172,C$2:C172)</f>
        <v>400000</v>
      </c>
      <c r="E172" s="658">
        <f>IF(VLOOKUP(A172,合同台帐!$A$4:$K$195,7,1)&gt;0,VLOOKUP(A172,合同台帐!$A$4:$K$195,7,1)-D172,VLOOKUP(A172,合同台帐!$A$4:$F$195,6,1)-D172)</f>
        <v>1650000</v>
      </c>
      <c r="F172" s="659" t="str">
        <f>VLOOKUP(A172,合同台帐!$A$4:$D$195,4,1)</f>
        <v>一期配电箱采购合同（含电表箱）</v>
      </c>
      <c r="G172" s="659" t="str">
        <f>VLOOKUP(A172,合同台帐!$A$4:$E$195,5,1)</f>
        <v>天津市隆裕电器有限公司</v>
      </c>
      <c r="H172" s="660"/>
      <c r="I172" s="522" t="str">
        <f>IF(A172&lt;&gt;0,VLOOKUP(A172,合同台帐!$A$4:$C$893,3,0),"")</f>
        <v>建主</v>
      </c>
    </row>
    <row r="173" spans="1:9" s="623" customFormat="1" ht="15.75" customHeight="1">
      <c r="A173" s="566" t="s">
        <v>254</v>
      </c>
      <c r="B173" s="649" t="s">
        <v>318</v>
      </c>
      <c r="C173" s="576">
        <v>150000</v>
      </c>
      <c r="D173" s="657">
        <f>SUMIF(A$2:A173,A173,C$2:C173)</f>
        <v>678130</v>
      </c>
      <c r="E173" s="658">
        <f>IF(VLOOKUP(A173,合同台帐!$A$4:$K$195,7,1)&gt;0,VLOOKUP(A173,合同台帐!$A$4:$K$195,7,1)-D173,VLOOKUP(A173,合同台帐!$A$4:$F$195,6,1)-D173)</f>
        <v>70018</v>
      </c>
      <c r="F173" s="659" t="str">
        <f>VLOOKUP(A173,合同台帐!$A$4:$D$195,4,1)</f>
        <v>示范区强夯工程合同</v>
      </c>
      <c r="G173" s="659" t="str">
        <f>VLOOKUP(A173,合同台帐!$A$4:$E$195,5,1)</f>
        <v>天津华勘集团有限公司</v>
      </c>
      <c r="H173" s="660"/>
      <c r="I173" s="522" t="str">
        <f>IF(A173&lt;&gt;0,VLOOKUP(A173,合同台帐!$A$4:$C$893,3,0),"")</f>
        <v>建基</v>
      </c>
    </row>
    <row r="174" spans="1:9" s="623" customFormat="1" ht="15.75" customHeight="1">
      <c r="A174" s="566" t="s">
        <v>319</v>
      </c>
      <c r="B174" s="649" t="s">
        <v>320</v>
      </c>
      <c r="C174" s="576">
        <v>2326</v>
      </c>
      <c r="D174" s="657">
        <f>SUMIF(A$2:A174,A174,C$2:C174)</f>
        <v>2326</v>
      </c>
      <c r="E174" s="658">
        <f>IF(VLOOKUP(A174,合同台帐!$A$4:$K$195,7,1)&gt;0,VLOOKUP(A174,合同台帐!$A$4:$K$195,7,1)-D174,VLOOKUP(A174,合同台帐!$A$4:$F$195,6,1)-D174)</f>
        <v>0</v>
      </c>
      <c r="F174" s="659" t="str">
        <f>VLOOKUP(A174,合同台帐!$A$4:$D$195,4,1)</f>
        <v>一期施工图审查（1.2.3.23#变更）</v>
      </c>
      <c r="G174" s="659" t="str">
        <f>VLOOKUP(A174,合同台帐!$A$4:$E$195,5,1)</f>
        <v>天津华苑建筑工程咨询有限公司</v>
      </c>
      <c r="H174" s="660"/>
      <c r="I174" s="522" t="str">
        <f>IF(A174&lt;&gt;0,VLOOKUP(A174,合同台帐!$A$4:$C$893,3,0),"")</f>
        <v>前设审</v>
      </c>
    </row>
    <row r="175" spans="1:9" s="628" customFormat="1" ht="15.75" customHeight="1">
      <c r="A175" s="36" t="s">
        <v>247</v>
      </c>
      <c r="B175" s="678" t="s">
        <v>321</v>
      </c>
      <c r="C175" s="679">
        <v>4403610</v>
      </c>
      <c r="D175" s="692">
        <f>SUMIF(A$2:A175,A175,C$2:C175)</f>
        <v>23563610</v>
      </c>
      <c r="E175" s="680">
        <f>IF(VLOOKUP(A175,合同台帐!$A$4:$K$195,7,1)&gt;0,VLOOKUP(A175,合同台帐!$A$4:$K$195,7,1)-D175,VLOOKUP(A175,合同台帐!$A$4:$F$195,6,1)-D175)</f>
        <v>86436390</v>
      </c>
      <c r="F175" s="681" t="str">
        <f>VLOOKUP(A175,合同台帐!$A$4:$D$195,4,1)</f>
        <v>总包一期工程</v>
      </c>
      <c r="G175" s="681" t="str">
        <f>VLOOKUP(A175,合同台帐!$A$4:$E$195,5,1)</f>
        <v>天津泉州建设工程集团有限公司</v>
      </c>
      <c r="H175" s="682"/>
      <c r="I175" s="512">
        <f>IF(A175&lt;&gt;0,VLOOKUP(A175,合同台帐!$A$4:$C$893,3,0),"")</f>
        <v>0</v>
      </c>
    </row>
    <row r="176" spans="1:9" s="623" customFormat="1" ht="15.75" customHeight="1">
      <c r="A176" s="566" t="s">
        <v>247</v>
      </c>
      <c r="B176" s="649" t="s">
        <v>322</v>
      </c>
      <c r="C176" s="576">
        <v>1000000</v>
      </c>
      <c r="D176" s="657">
        <f>SUMIF(A$2:A176,A176,C$2:C176)</f>
        <v>24563610</v>
      </c>
      <c r="E176" s="658">
        <f>IF(VLOOKUP(A176,合同台帐!$A$4:$K$195,7,1)&gt;0,VLOOKUP(A176,合同台帐!$A$4:$K$195,7,1)-D176,VLOOKUP(A176,合同台帐!$A$4:$F$195,6,1)-D176)</f>
        <v>85436390</v>
      </c>
      <c r="F176" s="659" t="str">
        <f>VLOOKUP(A176,合同台帐!$A$4:$D$195,4,1)</f>
        <v>总包一期工程</v>
      </c>
      <c r="G176" s="659" t="str">
        <f>VLOOKUP(A176,合同台帐!$A$4:$E$195,5,1)</f>
        <v>天津泉州建设工程集团有限公司</v>
      </c>
      <c r="H176" s="660"/>
      <c r="I176" s="522">
        <f>IF(A176&lt;&gt;0,VLOOKUP(A176,合同台帐!$A$4:$C$893,3,0),"")</f>
        <v>0</v>
      </c>
    </row>
    <row r="177" spans="1:9" s="623" customFormat="1" ht="15.75" customHeight="1">
      <c r="A177" s="566" t="s">
        <v>305</v>
      </c>
      <c r="B177" s="649" t="s">
        <v>322</v>
      </c>
      <c r="C177" s="576">
        <v>1000000</v>
      </c>
      <c r="D177" s="657">
        <f>SUMIF(A$2:A177,A177,C$2:C177)</f>
        <v>4000000</v>
      </c>
      <c r="E177" s="658">
        <f>IF(VLOOKUP(A177,合同台帐!$A$4:$K$195,7,1)&gt;0,VLOOKUP(A177,合同台帐!$A$4:$K$195,7,1)-D177,VLOOKUP(A177,合同台帐!$A$4:$F$195,6,1)-D177)</f>
        <v>5498614</v>
      </c>
      <c r="F177" s="659" t="str">
        <f>VLOOKUP(A177,合同台帐!$A$4:$D$195,4,1)</f>
        <v>示范区景观</v>
      </c>
      <c r="G177" s="659" t="str">
        <f>VLOOKUP(A177,合同台帐!$A$4:$E$195,5,1)</f>
        <v>天津兰苑园林绿化工程有限公司</v>
      </c>
      <c r="H177" s="660"/>
      <c r="I177" s="522" t="str">
        <f>IF(A177&lt;&gt;0,VLOOKUP(A177,合同台帐!$A$4:$C$893,3,0),"")</f>
        <v>建环内</v>
      </c>
    </row>
    <row r="178" spans="1:9" s="623" customFormat="1" ht="15.75" customHeight="1">
      <c r="A178" s="566" t="s">
        <v>259</v>
      </c>
      <c r="B178" s="649" t="s">
        <v>322</v>
      </c>
      <c r="C178" s="576">
        <v>650000</v>
      </c>
      <c r="D178" s="657">
        <f>SUMIF(A$2:A178,A178,C$2:C178)</f>
        <v>1950000</v>
      </c>
      <c r="E178" s="658">
        <f>IF(VLOOKUP(A178,合同台帐!$A$4:$K$195,7,1)&gt;0,VLOOKUP(A178,合同台帐!$A$4:$K$195,7,1)-D178,VLOOKUP(A178,合同台帐!$A$4:$F$195,6,1)-D178)</f>
        <v>1150000</v>
      </c>
      <c r="F178" s="659" t="str">
        <f>VLOOKUP(A178,合同台帐!$A$4:$D$195,4,1)</f>
        <v>界外地景观</v>
      </c>
      <c r="G178" s="659" t="str">
        <f>VLOOKUP(A178,合同台帐!$A$4:$E$195,5,1)</f>
        <v>天津兰苑绿化工程有限公司</v>
      </c>
      <c r="H178" s="660"/>
      <c r="I178" s="522" t="str">
        <f>IF(A178&lt;&gt;0,VLOOKUP(A178,合同台帐!$A$4:$C$893,3,0),"")</f>
        <v>建环外</v>
      </c>
    </row>
    <row r="179" spans="1:9" s="623" customFormat="1" ht="15.75" customHeight="1">
      <c r="A179" s="566" t="s">
        <v>323</v>
      </c>
      <c r="B179" s="649" t="s">
        <v>322</v>
      </c>
      <c r="C179" s="576">
        <v>100000</v>
      </c>
      <c r="D179" s="657">
        <f>SUMIF(A$2:A179,A179,C$2:C179)</f>
        <v>100000</v>
      </c>
      <c r="E179" s="658">
        <f>IF(VLOOKUP(A179,合同台帐!$A$4:$K$195,7,1)&gt;0,VLOOKUP(A179,合同台帐!$A$4:$K$195,7,1)-D179,VLOOKUP(A179,合同台帐!$A$4:$F$195,6,1)-D179)</f>
        <v>113449</v>
      </c>
      <c r="F179" s="659" t="str">
        <f>VLOOKUP(A179,合同台帐!$A$4:$D$195,4,1)</f>
        <v>示范区夜景照明</v>
      </c>
      <c r="G179" s="659" t="str">
        <f>VLOOKUP(A179,合同台帐!$A$4:$E$195,5,1)</f>
        <v>天津鑫润达建筑工程有限公司</v>
      </c>
      <c r="H179" s="660"/>
      <c r="I179" s="522" t="str">
        <f>IF(A179&lt;&gt;0,VLOOKUP(A179,合同台帐!$A$4:$C$893,3,0),"")</f>
        <v>建环</v>
      </c>
    </row>
    <row r="180" spans="1:9" s="623" customFormat="1" ht="15.75" customHeight="1">
      <c r="A180" s="566" t="s">
        <v>275</v>
      </c>
      <c r="B180" s="649" t="s">
        <v>322</v>
      </c>
      <c r="C180" s="576">
        <v>2000000</v>
      </c>
      <c r="D180" s="657">
        <f>SUMIF(A$2:A180,A180,C$2:C180)</f>
        <v>2400000</v>
      </c>
      <c r="E180" s="658">
        <f>IF(VLOOKUP(A180,合同台帐!$A$4:$K$195,7,1)&gt;0,VLOOKUP(A180,合同台帐!$A$4:$K$195,7,1)-D180,VLOOKUP(A180,合同台帐!$A$4:$F$195,6,1)-D180)</f>
        <v>3300000</v>
      </c>
      <c r="F180" s="659" t="str">
        <f>VLOOKUP(A180,合同台帐!$A$4:$D$195,4,1)</f>
        <v>一期中水、自来水配套工程（含中水一次网，中水、自来水二次网，中水、自来水水表，室外消火栓、消防防险准备金）</v>
      </c>
      <c r="G180" s="659" t="str">
        <f>VLOOKUP(A180,合同台帐!$A$4:$E$195,5,1)</f>
        <v>蓟县自来水管理所</v>
      </c>
      <c r="H180" s="660"/>
      <c r="I180" s="522" t="str">
        <f>IF(A180&lt;&gt;0,VLOOKUP(A180,合同台帐!$A$4:$C$893,3,0),"")</f>
        <v>基水</v>
      </c>
    </row>
    <row r="181" spans="1:9" s="623" customFormat="1" ht="15.75" customHeight="1">
      <c r="A181" s="566" t="s">
        <v>286</v>
      </c>
      <c r="B181" s="649" t="s">
        <v>324</v>
      </c>
      <c r="C181" s="576">
        <v>554916</v>
      </c>
      <c r="D181" s="657">
        <f>SUMIF(A$2:A181,A181,C$2:C181)</f>
        <v>832374</v>
      </c>
      <c r="E181" s="658">
        <f>IF(VLOOKUP(A181,合同台帐!$A$4:$K$195,7,1)&gt;0,VLOOKUP(A181,合同台帐!$A$4:$K$195,7,1)-D181,VLOOKUP(A181,合同台帐!$A$4:$F$195,6,1)-D181)</f>
        <v>5969013</v>
      </c>
      <c r="F181" s="659" t="str">
        <f>VLOOKUP(A181,合同台帐!$A$4:$D$195,4,1)</f>
        <v>一期断桥铝合金门窗安装</v>
      </c>
      <c r="G181" s="659" t="str">
        <f>VLOOKUP(A181,合同台帐!$A$4:$E$195,5,1)</f>
        <v>天津江胜建筑工程有限公司</v>
      </c>
      <c r="H181" s="660"/>
      <c r="I181" s="522" t="str">
        <f>IF(A181&lt;&gt;0,VLOOKUP(A181,合同台帐!$A$4:$C$893,3,0),"")</f>
        <v>建主</v>
      </c>
    </row>
    <row r="182" spans="1:9" s="623" customFormat="1" ht="15.75" customHeight="1">
      <c r="A182" s="566" t="s">
        <v>325</v>
      </c>
      <c r="B182" s="649" t="s">
        <v>326</v>
      </c>
      <c r="C182" s="576">
        <v>2336</v>
      </c>
      <c r="D182" s="657">
        <f>SUMIF(A$2:A182,A182,C$2:C182)</f>
        <v>2336</v>
      </c>
      <c r="E182" s="658">
        <f>IF(VLOOKUP(A182,合同台帐!$A$4:$K$195,7,1)&gt;0,VLOOKUP(A182,合同台帐!$A$4:$K$195,7,1)-D182,VLOOKUP(A182,合同台帐!$A$4:$F$195,6,1)-D182)</f>
        <v>0</v>
      </c>
      <c r="F182" s="659" t="str">
        <f>VLOOKUP(A182,合同台帐!$A$4:$D$195,4,1)</f>
        <v>二期消防缩微费</v>
      </c>
      <c r="G182" s="659" t="str">
        <f>VLOOKUP(A182,合同台帐!$A$4:$E$195,5,1)</f>
        <v>天津汉龙思琪科技发展有限公司</v>
      </c>
      <c r="H182" s="660"/>
      <c r="I182" s="522" t="str">
        <f>IF(A182&lt;&gt;0,VLOOKUP(A182,合同台帐!$A$4:$C$893,3,0),"")</f>
        <v>前消档</v>
      </c>
    </row>
    <row r="183" spans="1:9" s="623" customFormat="1" ht="15.75" customHeight="1">
      <c r="A183" s="566" t="s">
        <v>327</v>
      </c>
      <c r="B183" s="649" t="s">
        <v>328</v>
      </c>
      <c r="C183" s="576">
        <v>6400</v>
      </c>
      <c r="D183" s="657">
        <f>SUMIF(A$2:A183,A183,C$2:C183)</f>
        <v>6400</v>
      </c>
      <c r="E183" s="658">
        <f>IF(VLOOKUP(A183,合同台帐!$A$4:$K$195,7,1)&gt;0,VLOOKUP(A183,合同台帐!$A$4:$K$195,7,1)-D183,VLOOKUP(A183,合同台帐!$A$4:$F$195,6,1)-D183)</f>
        <v>0</v>
      </c>
      <c r="F183" s="659" t="str">
        <f>VLOOKUP(A183,合同台帐!$A$4:$D$195,4,1)</f>
        <v>景观（界外地、示范区、小院围墙）招标交易服务费</v>
      </c>
      <c r="G183" s="659" t="str">
        <f>VLOOKUP(A183,合同台帐!$A$4:$E$195,5,1)</f>
        <v>蓟县建设管理委员会</v>
      </c>
      <c r="H183" s="660"/>
      <c r="I183" s="522" t="str">
        <f>IF(A183&lt;&gt;0,VLOOKUP(A183,合同台帐!$A$4:$C$893,3,0),"")</f>
        <v>前标服</v>
      </c>
    </row>
    <row r="184" spans="1:9" s="623" customFormat="1" ht="15.75" customHeight="1">
      <c r="A184" s="566" t="s">
        <v>247</v>
      </c>
      <c r="B184" s="649" t="s">
        <v>328</v>
      </c>
      <c r="C184" s="576">
        <v>1000000</v>
      </c>
      <c r="D184" s="657">
        <f>SUMIF(A$2:A184,A184,C$2:C184)</f>
        <v>25563610</v>
      </c>
      <c r="E184" s="658">
        <f>IF(VLOOKUP(A184,合同台帐!$A$4:$K$195,7,1)&gt;0,VLOOKUP(A184,合同台帐!$A$4:$K$195,7,1)-D184,VLOOKUP(A184,合同台帐!$A$4:$F$195,6,1)-D184)</f>
        <v>84436390</v>
      </c>
      <c r="F184" s="659" t="str">
        <f>VLOOKUP(A184,合同台帐!$A$4:$D$195,4,1)</f>
        <v>总包一期工程</v>
      </c>
      <c r="G184" s="659" t="str">
        <f>VLOOKUP(A184,合同台帐!$A$4:$E$195,5,1)</f>
        <v>天津泉州建设工程集团有限公司</v>
      </c>
      <c r="H184" s="660"/>
      <c r="I184" s="522">
        <f>IF(A184&lt;&gt;0,VLOOKUP(A184,合同台帐!$A$4:$C$893,3,0),"")</f>
        <v>0</v>
      </c>
    </row>
    <row r="185" spans="1:9" s="628" customFormat="1" ht="15.75" customHeight="1">
      <c r="A185" s="36" t="s">
        <v>247</v>
      </c>
      <c r="B185" s="678"/>
      <c r="C185" s="679">
        <v>1000000</v>
      </c>
      <c r="D185" s="692">
        <f>SUMIF(A$2:A185,A185,C$2:C185)</f>
        <v>26563610</v>
      </c>
      <c r="E185" s="680">
        <f>IF(VLOOKUP(A185,合同台帐!$A$4:$K$195,7,1)&gt;0,VLOOKUP(A185,合同台帐!$A$4:$K$195,7,1)-D185,VLOOKUP(A185,合同台帐!$A$4:$F$195,6,1)-D185)</f>
        <v>83436390</v>
      </c>
      <c r="F185" s="681" t="str">
        <f>VLOOKUP(A185,合同台帐!$A$4:$D$195,4,1)</f>
        <v>总包一期工程</v>
      </c>
      <c r="G185" s="681" t="str">
        <f>VLOOKUP(A185,合同台帐!$A$4:$E$195,5,1)</f>
        <v>天津泉州建设工程集团有限公司</v>
      </c>
      <c r="H185" s="682"/>
      <c r="I185" s="512">
        <f>IF(A185&lt;&gt;0,VLOOKUP(A185,合同台帐!$A$4:$C$893,3,0),"")</f>
        <v>0</v>
      </c>
    </row>
    <row r="186" spans="1:9" s="623" customFormat="1" ht="15.75" customHeight="1">
      <c r="A186" s="566" t="s">
        <v>308</v>
      </c>
      <c r="B186" s="649" t="s">
        <v>329</v>
      </c>
      <c r="C186" s="576">
        <v>900000</v>
      </c>
      <c r="D186" s="657">
        <f>SUMIF(A$2:A186,A186,C$2:C186)</f>
        <v>1050000</v>
      </c>
      <c r="E186" s="658">
        <f>IF(VLOOKUP(A186,合同台帐!$A$4:$K$195,7,1)&gt;0,VLOOKUP(A186,合同台帐!$A$4:$K$195,7,1)-D186,VLOOKUP(A186,合同台帐!$A$4:$F$195,6,1)-D186)</f>
        <v>2710794</v>
      </c>
      <c r="F186" s="659" t="str">
        <f>VLOOKUP(A186,合同台帐!$A$4:$D$195,4,1)</f>
        <v>售楼处样板间精装修工程</v>
      </c>
      <c r="G186" s="659" t="str">
        <f>VLOOKUP(A186,合同台帐!$A$4:$E$195,5,1)</f>
        <v>天津磊德建筑装饰工程有限公司</v>
      </c>
      <c r="H186" s="660"/>
      <c r="I186" s="522" t="str">
        <f>IF(A186&lt;&gt;0,VLOOKUP(A186,合同台帐!$A$4:$C$893,3,0),"")</f>
        <v>建主</v>
      </c>
    </row>
    <row r="187" spans="1:9" s="623" customFormat="1" ht="15.75" customHeight="1">
      <c r="A187" s="566" t="s">
        <v>152</v>
      </c>
      <c r="B187" s="649" t="s">
        <v>330</v>
      </c>
      <c r="C187" s="576">
        <v>2405214</v>
      </c>
      <c r="D187" s="657">
        <f>SUMIF(A$2:A187,A187,C$2:C187)</f>
        <v>5411731.5</v>
      </c>
      <c r="E187" s="658">
        <f>IF(VLOOKUP(A187,合同台帐!$A$4:$K$195,7,1)&gt;0,VLOOKUP(A187,合同台帐!$A$4:$K$195,7,1)-D187,VLOOKUP(A187,合同台帐!$A$4:$F$195,6,1)-D187)</f>
        <v>601303.5</v>
      </c>
      <c r="F187" s="659" t="str">
        <f>VLOOKUP(A187,合同台帐!$A$4:$D$195,4,1)</f>
        <v>一期电力配套费</v>
      </c>
      <c r="G187" s="659" t="str">
        <f>VLOOKUP(A187,合同台帐!$A$4:$E$195,5,1)</f>
        <v>天津市电力公司蓟县分公司</v>
      </c>
      <c r="H187" s="660"/>
      <c r="I187" s="522" t="str">
        <f>IF(A187&lt;&gt;0,VLOOKUP(A187,合同台帐!$A$4:$C$893,3,0),"")</f>
        <v>基电工</v>
      </c>
    </row>
    <row r="188" spans="1:9" s="623" customFormat="1" ht="15.75" customHeight="1">
      <c r="A188" s="566" t="s">
        <v>283</v>
      </c>
      <c r="B188" s="649" t="s">
        <v>330</v>
      </c>
      <c r="C188" s="576">
        <v>259182</v>
      </c>
      <c r="D188" s="657">
        <f>SUMIF(A$2:A188,A188,C$2:C188)</f>
        <v>583159.5</v>
      </c>
      <c r="E188" s="658">
        <f>IF(VLOOKUP(A188,合同台帐!$A$4:$K$195,7,1)&gt;0,VLOOKUP(A188,合同台帐!$A$4:$K$195,7,1)-D188,VLOOKUP(A188,合同台帐!$A$4:$F$195,6,1)-D188)</f>
        <v>64795.5</v>
      </c>
      <c r="F188" s="659" t="str">
        <f>VLOOKUP(A188,合同台帐!$A$4:$D$195,4,1)</f>
        <v>一期电力配套费（泵房、供热站动力负荷）</v>
      </c>
      <c r="G188" s="659" t="str">
        <f>VLOOKUP(A188,合同台帐!$A$4:$E$195,5,1)</f>
        <v>天津市电力公司蓟县分公司</v>
      </c>
      <c r="H188" s="660"/>
      <c r="I188" s="522" t="str">
        <f>IF(A188&lt;&gt;0,VLOOKUP(A188,合同台帐!$A$4:$C$893,3,0),"")</f>
        <v>基电工</v>
      </c>
    </row>
    <row r="189" spans="1:9" s="623" customFormat="1" ht="15.75" customHeight="1">
      <c r="A189" s="566" t="s">
        <v>308</v>
      </c>
      <c r="B189" s="649" t="s">
        <v>331</v>
      </c>
      <c r="C189" s="576">
        <v>830397</v>
      </c>
      <c r="D189" s="657">
        <f>SUMIF(A$2:A189,A189,C$2:C189)</f>
        <v>1880397</v>
      </c>
      <c r="E189" s="658">
        <f>IF(VLOOKUP(A189,合同台帐!$A$4:$K$195,7,1)&gt;0,VLOOKUP(A189,合同台帐!$A$4:$K$195,7,1)-D189,VLOOKUP(A189,合同台帐!$A$4:$F$195,6,1)-D189)</f>
        <v>1880397</v>
      </c>
      <c r="F189" s="659" t="str">
        <f>VLOOKUP(A189,合同台帐!$A$4:$D$195,4,1)</f>
        <v>售楼处样板间精装修工程</v>
      </c>
      <c r="G189" s="659" t="str">
        <f>VLOOKUP(A189,合同台帐!$A$4:$E$195,5,1)</f>
        <v>天津磊德建筑装饰工程有限公司</v>
      </c>
      <c r="H189" s="660"/>
      <c r="I189" s="522" t="str">
        <f>IF(A189&lt;&gt;0,VLOOKUP(A189,合同台帐!$A$4:$C$893,3,0),"")</f>
        <v>建主</v>
      </c>
    </row>
    <row r="190" spans="1:9" s="623" customFormat="1" ht="15.75" customHeight="1">
      <c r="A190" s="566" t="s">
        <v>110</v>
      </c>
      <c r="B190" s="649" t="s">
        <v>331</v>
      </c>
      <c r="C190" s="576">
        <v>300000</v>
      </c>
      <c r="D190" s="657">
        <f>SUMIF(A$2:A190,A190,C$2:C190)</f>
        <v>6327629</v>
      </c>
      <c r="E190" s="658">
        <f>IF(VLOOKUP(A190,合同台帐!$A$4:$K$195,7,1)&gt;0,VLOOKUP(A190,合同台帐!$A$4:$K$195,7,1)-D190,VLOOKUP(A190,合同台帐!$A$4:$F$195,6,1)-D190)</f>
        <v>1472371</v>
      </c>
      <c r="F190" s="659" t="str">
        <f>VLOOKUP(A190,合同台帐!$A$4:$D$195,4,1)</f>
        <v>建筑方案及施工图设计合同</v>
      </c>
      <c r="G190" s="659" t="str">
        <f>VLOOKUP(A190,合同台帐!$A$4:$E$195,5,1)</f>
        <v>北京新纪元建筑工程设计有限公司</v>
      </c>
      <c r="H190" s="660"/>
      <c r="I190" s="522" t="str">
        <f>IF(A190&lt;&gt;0,VLOOKUP(A190,合同台帐!$A$4:$C$893,3,0),"")</f>
        <v>前设设</v>
      </c>
    </row>
    <row r="191" spans="1:9" s="623" customFormat="1" ht="15.75" customHeight="1">
      <c r="A191" s="566" t="s">
        <v>284</v>
      </c>
      <c r="B191" s="649" t="s">
        <v>332</v>
      </c>
      <c r="C191" s="576">
        <v>300000</v>
      </c>
      <c r="D191" s="657">
        <f>SUMIF(A$2:A191,A191,C$2:C191)</f>
        <v>2505504</v>
      </c>
      <c r="E191" s="658">
        <f>IF(VLOOKUP(A191,合同台帐!$A$4:$K$195,7,1)&gt;0,VLOOKUP(A191,合同台帐!$A$4:$K$195,7,1)-D191,VLOOKUP(A191,合同台帐!$A$4:$F$195,6,1)-D191)</f>
        <v>20089192</v>
      </c>
      <c r="F191" s="659" t="str">
        <f>VLOOKUP(A191,合同台帐!$A$4:$D$195,4,1)</f>
        <v>一期保温涂料线条线角</v>
      </c>
      <c r="G191" s="659" t="str">
        <f>VLOOKUP(A191,合同台帐!$A$4:$E$195,5,1)</f>
        <v>天津万通达建筑工程有限公司</v>
      </c>
      <c r="H191" s="660"/>
      <c r="I191" s="522" t="str">
        <f>IF(A191&lt;&gt;0,VLOOKUP(A191,合同台帐!$A$4:$C$893,3,0),"")</f>
        <v>建主</v>
      </c>
    </row>
    <row r="192" spans="1:9" s="623" customFormat="1" ht="15.75" customHeight="1">
      <c r="A192" s="566" t="s">
        <v>333</v>
      </c>
      <c r="B192" s="649" t="s">
        <v>332</v>
      </c>
      <c r="C192" s="576">
        <v>5760</v>
      </c>
      <c r="D192" s="657">
        <f>SUMIF(A$2:A192,A192,C$2:C192)</f>
        <v>5760</v>
      </c>
      <c r="E192" s="658">
        <f>IF(VLOOKUP(A192,合同台帐!$A$4:$K$195,7,1)&gt;0,VLOOKUP(A192,合同台帐!$A$4:$K$195,7,1)-D192,VLOOKUP(A192,合同台帐!$A$4:$F$195,6,1)-D192)</f>
        <v>0</v>
      </c>
      <c r="F192" s="659" t="str">
        <f>VLOOKUP(A192,合同台帐!$A$4:$D$195,4,1)</f>
        <v>预售登记费(一期72套）</v>
      </c>
      <c r="G192" s="659" t="str">
        <f>VLOOKUP(A192,合同台帐!$A$4:$E$195,5,1)</f>
        <v>天津市财政局</v>
      </c>
      <c r="H192" s="660"/>
      <c r="I192" s="522" t="str">
        <f>IF(A192&lt;&gt;0,VLOOKUP(A192,合同台帐!$A$4:$C$893,3,0),"")</f>
        <v>前销</v>
      </c>
    </row>
    <row r="193" spans="1:9" s="623" customFormat="1" ht="15.75" customHeight="1">
      <c r="A193" s="566" t="s">
        <v>265</v>
      </c>
      <c r="B193" s="649" t="s">
        <v>332</v>
      </c>
      <c r="C193" s="576">
        <v>200000</v>
      </c>
      <c r="D193" s="657">
        <f>SUMIF(A$2:A193,A193,C$2:C193)</f>
        <v>707870</v>
      </c>
      <c r="E193" s="658">
        <f>IF(VLOOKUP(A193,合同台帐!$A$4:$K$195,7,1)&gt;0,VLOOKUP(A193,合同台帐!$A$4:$K$195,7,1)-D193,VLOOKUP(A193,合同台帐!$A$4:$F$195,6,1)-D193)</f>
        <v>260080</v>
      </c>
      <c r="F193" s="659" t="str">
        <f>VLOOKUP(A193,合同台帐!$A$4:$D$195,4,1)</f>
        <v>一期强夯工程补充合同</v>
      </c>
      <c r="G193" s="659" t="str">
        <f>VLOOKUP(A193,合同台帐!$A$4:$E$195,5,1)</f>
        <v>天津华勘集团有限公司</v>
      </c>
      <c r="H193" s="660"/>
      <c r="I193" s="522" t="str">
        <f>IF(A193&lt;&gt;0,VLOOKUP(A193,合同台帐!$A$4:$C$893,3,0),"")</f>
        <v>建基</v>
      </c>
    </row>
    <row r="194" spans="1:9" s="623" customFormat="1" ht="15.75" customHeight="1">
      <c r="A194" s="566" t="s">
        <v>334</v>
      </c>
      <c r="B194" s="649" t="s">
        <v>332</v>
      </c>
      <c r="C194" s="576">
        <v>100000</v>
      </c>
      <c r="D194" s="657">
        <f>SUMIF(A$2:A194,A194,C$2:C194)</f>
        <v>100000</v>
      </c>
      <c r="E194" s="658">
        <f>IF(VLOOKUP(A194,合同台帐!$A$4:$K$195,7,1)&gt;0,VLOOKUP(A194,合同台帐!$A$4:$K$195,7,1)-D194,VLOOKUP(A194,合同台帐!$A$4:$F$195,6,1)-D194)</f>
        <v>449900</v>
      </c>
      <c r="F194" s="659" t="str">
        <f>VLOOKUP(A194,合同台帐!$A$4:$D$195,4,1)</f>
        <v>弱电综合管网工程</v>
      </c>
      <c r="G194" s="659" t="str">
        <f>VLOOKUP(A194,合同台帐!$A$4:$E$195,5,1)</f>
        <v>天津市玉宇建筑工程有限公司</v>
      </c>
      <c r="H194" s="660"/>
      <c r="I194" s="522" t="str">
        <f>IF(A194&lt;&gt;0,VLOOKUP(A194,合同台帐!$A$4:$C$893,3,0),"")</f>
        <v>基视</v>
      </c>
    </row>
    <row r="195" spans="1:9" s="623" customFormat="1" ht="15.75" customHeight="1">
      <c r="A195" s="566" t="s">
        <v>159</v>
      </c>
      <c r="B195" s="649" t="s">
        <v>332</v>
      </c>
      <c r="C195" s="576">
        <v>100000</v>
      </c>
      <c r="D195" s="657">
        <f>SUMIF(A$2:A195,A195,C$2:C195)</f>
        <v>338650</v>
      </c>
      <c r="E195" s="658">
        <f>IF(VLOOKUP(A195,合同台帐!$A$4:$K$195,7,1)&gt;0,VLOOKUP(A195,合同台帐!$A$4:$K$195,7,1)-D195,VLOOKUP(A195,合同台帐!$A$4:$F$195,6,1)-D195)</f>
        <v>111030</v>
      </c>
      <c r="F195" s="659" t="str">
        <f>VLOOKUP(A195,合同台帐!$A$4:$D$195,4,1)</f>
        <v>地库及人防设计合同</v>
      </c>
      <c r="G195" s="659" t="str">
        <f>VLOOKUP(A195,合同台帐!$A$4:$E$195,5,1)</f>
        <v>天津冶金规划设计院</v>
      </c>
      <c r="H195" s="660"/>
      <c r="I195" s="522" t="str">
        <f>IF(A195&lt;&gt;0,VLOOKUP(A195,合同台帐!$A$4:$C$893,3,0),"")</f>
        <v>前设其</v>
      </c>
    </row>
    <row r="196" spans="1:9" s="623" customFormat="1" ht="15.75" customHeight="1">
      <c r="A196" s="566" t="s">
        <v>247</v>
      </c>
      <c r="B196" s="649" t="s">
        <v>335</v>
      </c>
      <c r="C196" s="576">
        <v>1500000</v>
      </c>
      <c r="D196" s="657">
        <f>SUMIF(A$2:A196,A196,C$2:C196)</f>
        <v>28063610</v>
      </c>
      <c r="E196" s="658">
        <f>IF(VLOOKUP(A196,合同台帐!$A$4:$K$195,7,1)&gt;0,VLOOKUP(A196,合同台帐!$A$4:$K$195,7,1)-D196,VLOOKUP(A196,合同台帐!$A$4:$F$195,6,1)-D196)</f>
        <v>81936390</v>
      </c>
      <c r="F196" s="659" t="str">
        <f>VLOOKUP(A196,合同台帐!$A$4:$D$195,4,1)</f>
        <v>总包一期工程</v>
      </c>
      <c r="G196" s="659" t="str">
        <f>VLOOKUP(A196,合同台帐!$A$4:$E$195,5,1)</f>
        <v>天津泉州建设工程集团有限公司</v>
      </c>
      <c r="H196" s="660"/>
      <c r="I196" s="522">
        <f>IF(A196&lt;&gt;0,VLOOKUP(A196,合同台帐!$A$4:$C$893,3,0),"")</f>
        <v>0</v>
      </c>
    </row>
    <row r="197" spans="1:9" s="623" customFormat="1" ht="15.75" customHeight="1">
      <c r="A197" s="566" t="s">
        <v>299</v>
      </c>
      <c r="B197" s="649" t="s">
        <v>336</v>
      </c>
      <c r="C197" s="576">
        <v>147836</v>
      </c>
      <c r="D197" s="657">
        <f>SUMIF(A$2:A197,A197,C$2:C197)</f>
        <v>428081</v>
      </c>
      <c r="E197" s="658">
        <f>IF(VLOOKUP(A197,合同台帐!$A$4:$K$195,7,1)&gt;0,VLOOKUP(A197,合同台帐!$A$4:$K$195,7,1)-D197,VLOOKUP(A197,合同台帐!$A$4:$F$195,6,1)-D197)</f>
        <v>22531</v>
      </c>
      <c r="F197" s="659" t="str">
        <f>VLOOKUP(A197,合同台帐!$A$4:$D$195,4,1)</f>
        <v>售楼处中央空调安装合同</v>
      </c>
      <c r="G197" s="659" t="str">
        <f>VLOOKUP(A197,合同台帐!$A$4:$E$195,5,1)</f>
        <v>天津荣润世纪科技有限公司</v>
      </c>
      <c r="H197" s="660"/>
      <c r="I197" s="522" t="str">
        <f>IF(A197&lt;&gt;0,VLOOKUP(A197,合同台帐!$A$4:$C$893,3,0),"")</f>
        <v>建主</v>
      </c>
    </row>
    <row r="198" spans="1:9" s="623" customFormat="1" ht="15.75" customHeight="1">
      <c r="A198" s="566" t="s">
        <v>337</v>
      </c>
      <c r="B198" s="649" t="s">
        <v>336</v>
      </c>
      <c r="C198" s="576">
        <v>74507</v>
      </c>
      <c r="D198" s="657">
        <f>SUMIF(A$2:A198,A198,C$2:C198)</f>
        <v>74507</v>
      </c>
      <c r="E198" s="658">
        <f>IF(VLOOKUP(A198,合同台帐!$A$4:$K$195,7,1)&gt;0,VLOOKUP(A198,合同台帐!$A$4:$K$195,7,1)-D198,VLOOKUP(A198,合同台帐!$A$4:$F$195,6,1)-D198)</f>
        <v>74507</v>
      </c>
      <c r="F198" s="659" t="str">
        <f>VLOOKUP(A198,合同台帐!$A$4:$D$195,4,1)</f>
        <v>33#楼公共部位精装修、门卫精装修</v>
      </c>
      <c r="G198" s="659" t="str">
        <f>VLOOKUP(A198,合同台帐!$A$4:$E$195,5,1)</f>
        <v>天津市三鼎建筑工程有限公司</v>
      </c>
      <c r="H198" s="660"/>
      <c r="I198" s="522" t="str">
        <f>IF(A198&lt;&gt;0,VLOOKUP(A198,合同台帐!$A$4:$C$893,3,0),"")</f>
        <v>建主</v>
      </c>
    </row>
    <row r="199" spans="1:9" s="623" customFormat="1" ht="15.75" customHeight="1">
      <c r="A199" s="566" t="s">
        <v>279</v>
      </c>
      <c r="B199" s="649" t="s">
        <v>338</v>
      </c>
      <c r="C199" s="576">
        <v>1139744</v>
      </c>
      <c r="D199" s="657">
        <f>SUMIF(A$2:A199,A199,C$2:C199)</f>
        <v>2039730</v>
      </c>
      <c r="E199" s="658">
        <f>IF(VLOOKUP(A199,合同台帐!$A$4:$K$195,7,1)&gt;0,VLOOKUP(A199,合同台帐!$A$4:$K$195,7,1)-D199,VLOOKUP(A199,合同台帐!$A$4:$F$195,6,1)-D199)</f>
        <v>1100000</v>
      </c>
      <c r="F199" s="659" t="str">
        <f>VLOOKUP(A199,合同台帐!$A$4:$D$195,4,1)</f>
        <v>一期排水配套工程</v>
      </c>
      <c r="G199" s="659" t="str">
        <f>VLOOKUP(A199,合同台帐!$A$4:$E$195,5,1)</f>
        <v>天津市蓟县节约用水事务管理中心</v>
      </c>
      <c r="H199" s="660"/>
      <c r="I199" s="522" t="str">
        <f>IF(A199&lt;&gt;0,VLOOKUP(A199,合同台帐!$A$4:$C$893,3,0),"")</f>
        <v>基排工</v>
      </c>
    </row>
    <row r="200" spans="1:9" s="623" customFormat="1" ht="15.75" customHeight="1">
      <c r="A200" s="566" t="s">
        <v>275</v>
      </c>
      <c r="B200" s="649" t="s">
        <v>338</v>
      </c>
      <c r="C200" s="576">
        <v>1800000</v>
      </c>
      <c r="D200" s="657">
        <f>SUMIF(A$2:A200,A200,C$2:C200)</f>
        <v>4200000</v>
      </c>
      <c r="E200" s="658">
        <f>IF(VLOOKUP(A200,合同台帐!$A$4:$K$195,7,1)&gt;0,VLOOKUP(A200,合同台帐!$A$4:$K$195,7,1)-D200,VLOOKUP(A200,合同台帐!$A$4:$F$195,6,1)-D200)</f>
        <v>1500000</v>
      </c>
      <c r="F200" s="659" t="str">
        <f>VLOOKUP(A200,合同台帐!$A$4:$D$195,4,1)</f>
        <v>一期中水、自来水配套工程（含中水一次网，中水、自来水二次网，中水、自来水水表，室外消火栓、消防防险准备金）</v>
      </c>
      <c r="G200" s="659" t="str">
        <f>VLOOKUP(A200,合同台帐!$A$4:$E$195,5,1)</f>
        <v>蓟县自来水管理所</v>
      </c>
      <c r="H200" s="660"/>
      <c r="I200" s="522" t="str">
        <f>IF(A200&lt;&gt;0,VLOOKUP(A200,合同台帐!$A$4:$C$893,3,0),"")</f>
        <v>基水</v>
      </c>
    </row>
    <row r="201" spans="1:9" s="623" customFormat="1" ht="15.75" customHeight="1">
      <c r="A201" s="566" t="s">
        <v>247</v>
      </c>
      <c r="B201" s="649" t="s">
        <v>339</v>
      </c>
      <c r="C201" s="576">
        <v>800000</v>
      </c>
      <c r="D201" s="657">
        <f>SUMIF(A$2:A201,A201,C$2:C201)</f>
        <v>28863610</v>
      </c>
      <c r="E201" s="658">
        <f>IF(VLOOKUP(A201,合同台帐!$A$4:$K$195,7,1)&gt;0,VLOOKUP(A201,合同台帐!$A$4:$K$195,7,1)-D201,VLOOKUP(A201,合同台帐!$A$4:$F$195,6,1)-D201)</f>
        <v>81136390</v>
      </c>
      <c r="F201" s="659" t="str">
        <f>VLOOKUP(A201,合同台帐!$A$4:$D$195,4,1)</f>
        <v>总包一期工程</v>
      </c>
      <c r="G201" s="659" t="str">
        <f>VLOOKUP(A201,合同台帐!$A$4:$E$195,5,1)</f>
        <v>天津泉州建设工程集团有限公司</v>
      </c>
      <c r="H201" s="660"/>
      <c r="I201" s="522">
        <f>IF(A201&lt;&gt;0,VLOOKUP(A201,合同台帐!$A$4:$C$893,3,0),"")</f>
        <v>0</v>
      </c>
    </row>
    <row r="202" spans="1:9" s="623" customFormat="1" ht="15.75" customHeight="1">
      <c r="A202" s="566" t="s">
        <v>340</v>
      </c>
      <c r="B202" s="649" t="s">
        <v>339</v>
      </c>
      <c r="C202" s="576">
        <v>600000</v>
      </c>
      <c r="D202" s="657">
        <f>SUMIF(A$2:A202,A202,C$2:C202)</f>
        <v>600000</v>
      </c>
      <c r="E202" s="658">
        <f>IF(VLOOKUP(A202,合同台帐!$A$4:$K$195,7,1)&gt;0,VLOOKUP(A202,合同台帐!$A$4:$K$195,7,1)-D202,VLOOKUP(A202,合同台帐!$A$4:$F$195,6,1)-D202)</f>
        <v>10684542</v>
      </c>
      <c r="F202" s="659" t="str">
        <f>VLOOKUP(A202,合同台帐!$A$4:$D$195,4,1)</f>
        <v>外檐石材一体板及保温（一期）</v>
      </c>
      <c r="G202" s="659" t="str">
        <f>VLOOKUP(A202,合同台帐!$A$4:$E$195,5,1)</f>
        <v>山东华德隆建设有限公司</v>
      </c>
      <c r="H202" s="660"/>
      <c r="I202" s="522">
        <f>IF(A202&lt;&gt;0,VLOOKUP(A202,合同台帐!$A$4:$C$893,3,0),"")</f>
        <v>0</v>
      </c>
    </row>
    <row r="203" spans="1:9" s="623" customFormat="1" ht="15.75" customHeight="1">
      <c r="A203" s="566" t="s">
        <v>290</v>
      </c>
      <c r="B203" s="649" t="s">
        <v>339</v>
      </c>
      <c r="C203" s="576">
        <v>130000</v>
      </c>
      <c r="D203" s="657">
        <f>SUMIF(A$2:A203,A203,C$2:C203)</f>
        <v>200000</v>
      </c>
      <c r="E203" s="658">
        <f>IF(VLOOKUP(A203,合同台帐!$A$4:$K$195,7,1)&gt;0,VLOOKUP(A203,合同台帐!$A$4:$K$195,7,1)-D203,VLOOKUP(A203,合同台帐!$A$4:$F$195,6,1)-D203)</f>
        <v>0</v>
      </c>
      <c r="F203" s="659" t="str">
        <f>VLOOKUP(A203,合同台帐!$A$4:$D$195,4,1)</f>
        <v>一期供热二次网工程土方挖填</v>
      </c>
      <c r="G203" s="659" t="str">
        <f>VLOOKUP(A203,合同台帐!$A$4:$E$195,5,1)</f>
        <v>天津聚宝龙投资有限公司</v>
      </c>
      <c r="H203" s="660"/>
      <c r="I203" s="522" t="str">
        <f>IF(A203&lt;&gt;0,VLOOKUP(A203,合同台帐!$A$4:$C$893,3,0),"")</f>
        <v>基热内</v>
      </c>
    </row>
    <row r="204" spans="1:9" s="623" customFormat="1" ht="15.75" customHeight="1">
      <c r="A204" s="566" t="s">
        <v>274</v>
      </c>
      <c r="B204" s="649" t="s">
        <v>339</v>
      </c>
      <c r="C204" s="576">
        <v>1000000</v>
      </c>
      <c r="D204" s="657">
        <f>SUMIF(A$2:A204,A204,C$2:C204)</f>
        <v>1900000</v>
      </c>
      <c r="E204" s="658">
        <f>IF(VLOOKUP(A204,合同台帐!$A$4:$K$195,7,1)&gt;0,VLOOKUP(A204,合同台帐!$A$4:$K$195,7,1)-D204,VLOOKUP(A204,合同台帐!$A$4:$F$195,6,1)-D204)</f>
        <v>773069.73</v>
      </c>
      <c r="F204" s="659" t="str">
        <f>VLOOKUP(A204,合同台帐!$A$4:$D$195,4,1)</f>
        <v>供用热协议书（二次管网）</v>
      </c>
      <c r="G204" s="659" t="str">
        <f>VLOOKUP(A204,合同台帐!$A$4:$E$195,5,1)</f>
        <v>蓟县鑫泰物业管理有限公司</v>
      </c>
      <c r="H204" s="660"/>
      <c r="I204" s="522" t="str">
        <f>IF(A204&lt;&gt;0,VLOOKUP(A204,合同台帐!$A$4:$C$893,3,0),"")</f>
        <v>基热内</v>
      </c>
    </row>
    <row r="205" spans="1:9" s="623" customFormat="1" ht="15.75" customHeight="1">
      <c r="A205" s="566" t="s">
        <v>305</v>
      </c>
      <c r="B205" s="649" t="s">
        <v>341</v>
      </c>
      <c r="C205" s="576">
        <v>1000000</v>
      </c>
      <c r="D205" s="657">
        <f>SUMIF(A$2:A205,A205,C$2:C205)</f>
        <v>5000000</v>
      </c>
      <c r="E205" s="658">
        <f>IF(VLOOKUP(A205,合同台帐!$A$4:$K$195,7,1)&gt;0,VLOOKUP(A205,合同台帐!$A$4:$K$195,7,1)-D205,VLOOKUP(A205,合同台帐!$A$4:$F$195,6,1)-D205)</f>
        <v>4498614</v>
      </c>
      <c r="F205" s="659" t="str">
        <f>VLOOKUP(A205,合同台帐!$A$4:$D$195,4,1)</f>
        <v>示范区景观</v>
      </c>
      <c r="G205" s="659" t="str">
        <f>VLOOKUP(A205,合同台帐!$A$4:$E$195,5,1)</f>
        <v>天津兰苑园林绿化工程有限公司</v>
      </c>
      <c r="H205" s="660"/>
      <c r="I205" s="522" t="str">
        <f>IF(A205&lt;&gt;0,VLOOKUP(A205,合同台帐!$A$4:$C$893,3,0),"")</f>
        <v>建环内</v>
      </c>
    </row>
    <row r="206" spans="1:9" s="623" customFormat="1" ht="15.75" customHeight="1">
      <c r="A206" s="566" t="s">
        <v>234</v>
      </c>
      <c r="B206" s="649" t="s">
        <v>341</v>
      </c>
      <c r="C206" s="576">
        <v>200000</v>
      </c>
      <c r="D206" s="657">
        <f>SUMIF(A$2:A206,A206,C$2:C206)</f>
        <v>450000</v>
      </c>
      <c r="E206" s="658">
        <f>IF(VLOOKUP(A206,合同台帐!$A$4:$K$195,7,1)&gt;0,VLOOKUP(A206,合同台帐!$A$4:$K$195,7,1)-D206,VLOOKUP(A206,合同台帐!$A$4:$F$195,6,1)-D206)</f>
        <v>109667</v>
      </c>
      <c r="F206" s="659" t="str">
        <f>VLOOKUP(A206,合同台帐!$A$4:$D$195,4,1)</f>
        <v>大门入口外檐装饰</v>
      </c>
      <c r="G206" s="659" t="str">
        <f>VLOOKUP(A206,合同台帐!$A$4:$E$195,5,1)</f>
        <v>天津万通达建筑工程有限公司</v>
      </c>
      <c r="H206" s="660"/>
      <c r="I206" s="522" t="str">
        <f>IF(A206&lt;&gt;0,VLOOKUP(A206,合同台帐!$A$4:$C$893,3,0),"")</f>
        <v>建主</v>
      </c>
    </row>
    <row r="207" spans="1:9" s="623" customFormat="1" ht="15.75" customHeight="1">
      <c r="A207" s="566" t="s">
        <v>342</v>
      </c>
      <c r="B207" s="693">
        <v>2016.1</v>
      </c>
      <c r="C207" s="576">
        <v>4073.59</v>
      </c>
      <c r="D207" s="657">
        <f>SUMIF(A$2:A207,A207,C$2:C207)</f>
        <v>4073.59</v>
      </c>
      <c r="E207" s="658">
        <f>IF(VLOOKUP(A207,合同台帐!$A$4:$K$195,7,1)&gt;0,VLOOKUP(A207,合同台帐!$A$4:$K$195,7,1)-D207,VLOOKUP(A207,合同台帐!$A$4:$F$195,6,1)-D207)</f>
        <v>0</v>
      </c>
      <c r="F207" s="659" t="str">
        <f>VLOOKUP(A207,合同台帐!$A$4:$D$195,4,1)</f>
        <v>地形图测绘费（一期）</v>
      </c>
      <c r="G207" s="659" t="str">
        <f>VLOOKUP(A207,合同台帐!$A$4:$E$195,5,1)</f>
        <v>天津市国土资源测绘和房屋测量中心</v>
      </c>
      <c r="H207" s="660"/>
      <c r="I207" s="522" t="str">
        <f>IF(A207&lt;&gt;0,VLOOKUP(A207,合同台帐!$A$4:$C$893,3,0),"")</f>
        <v>前销</v>
      </c>
    </row>
    <row r="208" spans="1:9" s="623" customFormat="1" ht="15.75" customHeight="1">
      <c r="A208" s="566" t="s">
        <v>343</v>
      </c>
      <c r="B208" s="693">
        <v>2016.1</v>
      </c>
      <c r="C208" s="576">
        <v>30400</v>
      </c>
      <c r="D208" s="657">
        <f>SUMIF(A$2:A208,A208,C$2:C208)</f>
        <v>30400</v>
      </c>
      <c r="E208" s="658">
        <f>IF(VLOOKUP(A208,合同台帐!$A$4:$K$195,7,1)&gt;0,VLOOKUP(A208,合同台帐!$A$4:$K$195,7,1)-D208,VLOOKUP(A208,合同台帐!$A$4:$F$195,6,1)-D208)</f>
        <v>0</v>
      </c>
      <c r="F208" s="659" t="str">
        <f>VLOOKUP(A208,合同台帐!$A$4:$D$195,4,1)</f>
        <v>（二期）招标交易服务费</v>
      </c>
      <c r="G208" s="659" t="str">
        <f>VLOOKUP(A208,合同台帐!$A$4:$E$195,5,1)</f>
        <v>蓟县建设管理委员会</v>
      </c>
      <c r="H208" s="660"/>
      <c r="I208" s="522" t="str">
        <f>IF(A208&lt;&gt;0,VLOOKUP(A208,合同台帐!$A$4:$C$893,3,0),"")</f>
        <v>前标服</v>
      </c>
    </row>
    <row r="209" spans="1:9" s="623" customFormat="1" ht="15.75" customHeight="1">
      <c r="A209" s="566" t="s">
        <v>344</v>
      </c>
      <c r="B209" s="693">
        <v>2016.1</v>
      </c>
      <c r="C209" s="576">
        <v>46000</v>
      </c>
      <c r="D209" s="657">
        <f>SUMIF(A$2:A209,A209,C$2:C209)</f>
        <v>46000</v>
      </c>
      <c r="E209" s="658">
        <f>IF(VLOOKUP(A209,合同台帐!$A$4:$K$195,7,1)&gt;0,VLOOKUP(A209,合同台帐!$A$4:$K$195,7,1)-D209,VLOOKUP(A209,合同台帐!$A$4:$F$195,6,1)-D209)</f>
        <v>0</v>
      </c>
      <c r="F209" s="659" t="str">
        <f>VLOOKUP(A209,合同台帐!$A$4:$D$195,4,1)</f>
        <v>（三期）招标交易服务费</v>
      </c>
      <c r="G209" s="659" t="str">
        <f>VLOOKUP(A209,合同台帐!$A$4:$E$195,5,1)</f>
        <v>蓟县建设管理委员会</v>
      </c>
      <c r="H209" s="660"/>
      <c r="I209" s="522" t="str">
        <f>IF(A209&lt;&gt;0,VLOOKUP(A209,合同台帐!$A$4:$C$893,3,0),"")</f>
        <v>前标服</v>
      </c>
    </row>
    <row r="210" spans="1:9" s="623" customFormat="1" ht="15.75" customHeight="1">
      <c r="A210" s="566" t="s">
        <v>345</v>
      </c>
      <c r="B210" s="693">
        <v>2016.1</v>
      </c>
      <c r="C210" s="576">
        <v>52120.35</v>
      </c>
      <c r="D210" s="657">
        <f>SUMIF(A$2:A210,A210,C$2:C210)</f>
        <v>52120.35</v>
      </c>
      <c r="E210" s="658">
        <f>IF(VLOOKUP(A210,合同台帐!$A$4:$K$195,7,1)&gt;0,VLOOKUP(A210,合同台帐!$A$4:$K$195,7,1)-D210,VLOOKUP(A210,合同台帐!$A$4:$F$195,6,1)-D210)</f>
        <v>0</v>
      </c>
      <c r="F210" s="659" t="str">
        <f>VLOOKUP(A210,合同台帐!$A$4:$D$195,4,1)</f>
        <v>（二、三期）水泥专项基金</v>
      </c>
      <c r="G210" s="659" t="str">
        <f>VLOOKUP(A210,合同台帐!$A$4:$E$195,5,1)</f>
        <v>蓟县建设管理委员会</v>
      </c>
      <c r="H210" s="660"/>
      <c r="I210" s="522" t="str">
        <f>IF(A210&lt;&gt;0,VLOOKUP(A210,合同台帐!$A$4:$C$893,3,0),"")</f>
        <v>前泥</v>
      </c>
    </row>
    <row r="211" spans="1:9" s="623" customFormat="1" ht="15.75" customHeight="1">
      <c r="A211" s="566" t="s">
        <v>232</v>
      </c>
      <c r="B211" s="693">
        <v>2016.1</v>
      </c>
      <c r="C211" s="576">
        <v>107340</v>
      </c>
      <c r="D211" s="657">
        <f>SUMIF(A$2:A211,A211,C$2:C211)</f>
        <v>737340</v>
      </c>
      <c r="E211" s="658">
        <f>IF(VLOOKUP(A211,合同台帐!$A$4:$K$195,7,1)&gt;0,VLOOKUP(A211,合同台帐!$A$4:$K$195,7,1)-D211,VLOOKUP(A211,合同台帐!$A$4:$F$195,6,1)-D211)</f>
        <v>0</v>
      </c>
      <c r="F211" s="659" t="str">
        <f>VLOOKUP(A211,合同台帐!$A$4:$D$195,4,1)</f>
        <v>售楼处样板间精装设计合同</v>
      </c>
      <c r="G211" s="659" t="str">
        <f>VLOOKUP(A211,合同台帐!$A$4:$E$195,5,1)</f>
        <v>北京米罗那装饰设计有限公司</v>
      </c>
      <c r="H211" s="660"/>
      <c r="I211" s="522" t="str">
        <f>IF(A211&lt;&gt;0,VLOOKUP(A211,合同台帐!$A$4:$C$893,3,0),"")</f>
        <v>前设</v>
      </c>
    </row>
    <row r="212" spans="1:9" s="623" customFormat="1" ht="15.75" customHeight="1">
      <c r="A212" s="566" t="s">
        <v>346</v>
      </c>
      <c r="B212" s="693">
        <v>2016.1</v>
      </c>
      <c r="C212" s="576">
        <v>743063.4</v>
      </c>
      <c r="D212" s="657">
        <f>SUMIF(A$2:A212,A212,C$2:C212)</f>
        <v>743063.4</v>
      </c>
      <c r="E212" s="658">
        <f>IF(VLOOKUP(A212,合同台帐!$A$4:$K$195,7,1)&gt;0,VLOOKUP(A212,合同台帐!$A$4:$K$195,7,1)-D212,VLOOKUP(A212,合同台帐!$A$4:$F$195,6,1)-D212)</f>
        <v>0</v>
      </c>
      <c r="F212" s="659" t="str">
        <f>VLOOKUP(A212,合同台帐!$A$4:$D$195,4,1)</f>
        <v>（三期）气源发展费</v>
      </c>
      <c r="G212" s="659" t="str">
        <f>VLOOKUP(A212,合同台帐!$A$4:$E$195,5,1)</f>
        <v>蓟县建设管理委员会</v>
      </c>
      <c r="H212" s="660"/>
      <c r="I212" s="522" t="str">
        <f>IF(A212&lt;&gt;0,VLOOKUP(A212,合同台帐!$A$4:$C$893,3,0),"")</f>
        <v>基气源</v>
      </c>
    </row>
    <row r="213" spans="1:9" s="623" customFormat="1" ht="15.75" customHeight="1">
      <c r="A213" s="566" t="s">
        <v>347</v>
      </c>
      <c r="B213" s="693">
        <v>2016.1</v>
      </c>
      <c r="C213" s="576">
        <v>2574714.6800000002</v>
      </c>
      <c r="D213" s="657">
        <f>SUMIF(A$2:A213,A213,C$2:C213)</f>
        <v>2574714.6800000002</v>
      </c>
      <c r="E213" s="658">
        <f>IF(VLOOKUP(A213,合同台帐!$A$4:$K$195,7,1)&gt;0,VLOOKUP(A213,合同台帐!$A$4:$K$195,7,1)-D213,VLOOKUP(A213,合同台帐!$A$4:$F$195,6,1)-D213)</f>
        <v>0</v>
      </c>
      <c r="F213" s="659" t="str">
        <f>VLOOKUP(A213,合同台帐!$A$4:$D$195,4,1)</f>
        <v>（三期）小配套费</v>
      </c>
      <c r="G213" s="659" t="str">
        <f>VLOOKUP(A213,合同台帐!$A$4:$E$195,5,1)</f>
        <v>蓟县建设管理委员会</v>
      </c>
      <c r="H213" s="660"/>
      <c r="I213" s="522" t="str">
        <f>IF(A213&lt;&gt;0,VLOOKUP(A213,合同台帐!$A$4:$C$893,3,0),"")</f>
        <v>公配小</v>
      </c>
    </row>
    <row r="214" spans="1:9" s="623" customFormat="1" ht="15.75" customHeight="1">
      <c r="A214" s="566" t="s">
        <v>348</v>
      </c>
      <c r="B214" s="693">
        <v>2016.1</v>
      </c>
      <c r="C214" s="576">
        <v>11876897</v>
      </c>
      <c r="D214" s="657">
        <f>SUMIF(A$2:A214,A214,C$2:C214)</f>
        <v>11876897</v>
      </c>
      <c r="E214" s="658">
        <f>IF(VLOOKUP(A214,合同台帐!$A$4:$K$195,7,1)&gt;0,VLOOKUP(A214,合同台帐!$A$4:$K$195,7,1)-D214,VLOOKUP(A214,合同台帐!$A$4:$F$195,6,1)-D214)</f>
        <v>0</v>
      </c>
      <c r="F214" s="659" t="str">
        <f>VLOOKUP(A214,合同台帐!$A$4:$D$195,4,1)</f>
        <v>（二、三期）大配套费</v>
      </c>
      <c r="G214" s="659" t="str">
        <f>VLOOKUP(A214,合同台帐!$A$4:$E$195,5,1)</f>
        <v>蓟县建设管理委员会</v>
      </c>
      <c r="H214" s="660"/>
      <c r="I214" s="522" t="str">
        <f>IF(A214&lt;&gt;0,VLOOKUP(A214,合同台帐!$A$4:$C$893,3,0),"")</f>
        <v>土配</v>
      </c>
    </row>
    <row r="215" spans="1:9" s="623" customFormat="1" ht="15.75" customHeight="1">
      <c r="A215" s="566" t="s">
        <v>349</v>
      </c>
      <c r="B215" s="693">
        <v>2016.1</v>
      </c>
      <c r="C215" s="576">
        <v>50000</v>
      </c>
      <c r="D215" s="657">
        <f>SUMIF(A$2:A215,A215,C$2:C215)</f>
        <v>50000</v>
      </c>
      <c r="E215" s="658">
        <f>IF(VLOOKUP(A215,合同台帐!$A$4:$K$195,7,1)&gt;0,VLOOKUP(A215,合同台帐!$A$4:$K$195,7,1)-D215,VLOOKUP(A215,合同台帐!$A$4:$F$195,6,1)-D215)</f>
        <v>159694.29999999999</v>
      </c>
      <c r="F215" s="659" t="str">
        <f>VLOOKUP(A215,合同台帐!$A$4:$D$195,4,1)</f>
        <v>（二期）造价咨询合同</v>
      </c>
      <c r="G215" s="659" t="str">
        <f>VLOOKUP(A215,合同台帐!$A$4:$E$195,5,1)</f>
        <v>天津建工工程管理有限公司</v>
      </c>
      <c r="H215" s="660"/>
      <c r="I215" s="522" t="str">
        <f>IF(A215&lt;&gt;0,VLOOKUP(A215,合同台帐!$A$4:$C$893,3,0),"")</f>
        <v>前标咨</v>
      </c>
    </row>
    <row r="216" spans="1:9" s="623" customFormat="1" ht="15.75" customHeight="1">
      <c r="A216" s="566" t="s">
        <v>315</v>
      </c>
      <c r="B216" s="693">
        <v>2016.1</v>
      </c>
      <c r="C216" s="576">
        <v>50000</v>
      </c>
      <c r="D216" s="657">
        <f>SUMIF(A$2:A216,A216,C$2:C216)</f>
        <v>200000</v>
      </c>
      <c r="E216" s="658">
        <f>IF(VLOOKUP(A216,合同台帐!$A$4:$K$195,7,1)&gt;0,VLOOKUP(A216,合同台帐!$A$4:$K$195,7,1)-D216,VLOOKUP(A216,合同台帐!$A$4:$F$195,6,1)-D216)</f>
        <v>0</v>
      </c>
      <c r="F216" s="659" t="str">
        <f>VLOOKUP(A216,合同台帐!$A$4:$D$195,4,1)</f>
        <v>博御园临时围墙工程</v>
      </c>
      <c r="G216" s="659" t="str">
        <f>VLOOKUP(A216,合同台帐!$A$4:$E$195,5,1)</f>
        <v>天津宏鑫鼎泰建筑工程有限公司</v>
      </c>
      <c r="H216" s="660"/>
      <c r="I216" s="522" t="str">
        <f>IF(A216&lt;&gt;0,VLOOKUP(A216,合同台帐!$A$4:$C$893,3,0),"")</f>
        <v>前临围</v>
      </c>
    </row>
    <row r="217" spans="1:9" s="623" customFormat="1" ht="15.75" customHeight="1">
      <c r="A217" s="566" t="s">
        <v>350</v>
      </c>
      <c r="B217" s="693">
        <v>2016.1</v>
      </c>
      <c r="C217" s="576">
        <v>17710</v>
      </c>
      <c r="D217" s="657">
        <f>SUMIF(A$2:A217,A217,C$2:C217)</f>
        <v>17710</v>
      </c>
      <c r="E217" s="658">
        <f>IF(VLOOKUP(A217,合同台帐!$A$4:$K$195,7,1)&gt;0,VLOOKUP(A217,合同台帐!$A$4:$K$195,7,1)-D217,VLOOKUP(A217,合同台帐!$A$4:$F$195,6,1)-D217)</f>
        <v>0</v>
      </c>
      <c r="F217" s="659" t="str">
        <f>VLOOKUP(A217,合同台帐!$A$4:$D$195,4,1)</f>
        <v>支付委托保证合同（二期）</v>
      </c>
      <c r="G217" s="659" t="str">
        <f>VLOOKUP(A217,合同台帐!$A$4:$E$195,5,1)</f>
        <v>天津融诚挚信投资担保有限公司</v>
      </c>
      <c r="H217" s="660"/>
      <c r="I217" s="522" t="str">
        <f>IF(A217&lt;&gt;0,VLOOKUP(A217,合同台帐!$A$4:$C$893,3,0),"")</f>
        <v>前标担</v>
      </c>
    </row>
    <row r="218" spans="1:9" s="623" customFormat="1" ht="15.75" customHeight="1">
      <c r="A218" s="566" t="s">
        <v>351</v>
      </c>
      <c r="B218" s="693">
        <v>2016.1</v>
      </c>
      <c r="C218" s="576">
        <v>34500</v>
      </c>
      <c r="D218" s="657">
        <f>SUMIF(A$2:A218,A218,C$2:C218)</f>
        <v>34500</v>
      </c>
      <c r="E218" s="658">
        <f>IF(VLOOKUP(A218,合同台帐!$A$4:$K$195,7,1)&gt;0,VLOOKUP(A218,合同台帐!$A$4:$K$195,7,1)-D218,VLOOKUP(A218,合同台帐!$A$4:$F$195,6,1)-D218)</f>
        <v>0</v>
      </c>
      <c r="F218" s="659" t="str">
        <f>VLOOKUP(A218,合同台帐!$A$4:$D$195,4,1)</f>
        <v>支付委托保证合同（三期）</v>
      </c>
      <c r="G218" s="659" t="str">
        <f>VLOOKUP(A218,合同台帐!$A$4:$E$195,5,1)</f>
        <v>天津融诚挚信投资担保有限公司</v>
      </c>
      <c r="H218" s="660"/>
      <c r="I218" s="522" t="str">
        <f>IF(A218&lt;&gt;0,VLOOKUP(A218,合同台帐!$A$4:$C$893,3,0),"")</f>
        <v>前标担</v>
      </c>
    </row>
    <row r="219" spans="1:9" s="623" customFormat="1" ht="15.75" customHeight="1">
      <c r="A219" s="566" t="s">
        <v>352</v>
      </c>
      <c r="B219" s="693">
        <v>2016.1</v>
      </c>
      <c r="C219" s="576">
        <v>18000</v>
      </c>
      <c r="D219" s="657">
        <f>SUMIF(A$2:A219,A219,C$2:C219)</f>
        <v>18000</v>
      </c>
      <c r="E219" s="658">
        <f>IF(VLOOKUP(A219,合同台帐!$A$4:$K$195,7,1)&gt;0,VLOOKUP(A219,合同台帐!$A$4:$K$195,7,1)-D219,VLOOKUP(A219,合同台帐!$A$4:$F$195,6,1)-D219)</f>
        <v>0</v>
      </c>
      <c r="F219" s="659" t="str">
        <f>VLOOKUP(A219,合同台帐!$A$4:$D$195,4,1)</f>
        <v>招标代理费（界外地、示范区园林）</v>
      </c>
      <c r="G219" s="659" t="str">
        <f>VLOOKUP(A219,合同台帐!$A$4:$E$195,5,1)</f>
        <v>天津建安建设项目管理有限公司</v>
      </c>
      <c r="H219" s="660"/>
      <c r="I219" s="522" t="str">
        <f>IF(A219&lt;&gt;0,VLOOKUP(A219,合同台帐!$A$4:$C$893,3,0),"")</f>
        <v>前标代</v>
      </c>
    </row>
    <row r="220" spans="1:9" s="623" customFormat="1" ht="15.75" customHeight="1">
      <c r="A220" s="566" t="s">
        <v>136</v>
      </c>
      <c r="B220" s="693">
        <v>2016.1</v>
      </c>
      <c r="C220" s="576">
        <v>500000</v>
      </c>
      <c r="D220" s="657">
        <f>SUMIF(A$2:A220,A220,C$2:C220)</f>
        <v>4649988</v>
      </c>
      <c r="E220" s="658">
        <f>IF(VLOOKUP(A220,合同台帐!$A$4:$K$195,7,1)&gt;0,VLOOKUP(A220,合同台帐!$A$4:$K$195,7,1)-D220,VLOOKUP(A220,合同台帐!$A$4:$F$195,6,1)-D220)</f>
        <v>2100012</v>
      </c>
      <c r="F220" s="659" t="str">
        <f>VLOOKUP(A220,合同台帐!$A$4:$D$195,4,1)</f>
        <v>场地平整</v>
      </c>
      <c r="G220" s="659" t="str">
        <f>VLOOKUP(A220,合同台帐!$A$4:$E$195,5,1)</f>
        <v>天津市蓟县振东建筑有限责任公司</v>
      </c>
      <c r="H220" s="660"/>
      <c r="I220" s="522" t="str">
        <f>IF(A220&lt;&gt;0,VLOOKUP(A220,合同台帐!$A$4:$C$893,3,0),"")</f>
        <v>前临土</v>
      </c>
    </row>
    <row r="221" spans="1:9" s="623" customFormat="1" ht="15.75" customHeight="1">
      <c r="A221" s="566" t="s">
        <v>226</v>
      </c>
      <c r="B221" s="693">
        <v>2016.1</v>
      </c>
      <c r="C221" s="576">
        <v>30146.6</v>
      </c>
      <c r="D221" s="657">
        <f>SUMIF(A$2:A221,A221,C$2:C221)</f>
        <v>150733</v>
      </c>
      <c r="E221" s="658">
        <f>IF(VLOOKUP(A221,合同台帐!$A$4:$K$195,7,1)&gt;0,VLOOKUP(A221,合同台帐!$A$4:$K$195,7,1)-D221,VLOOKUP(A221,合同台帐!$A$4:$F$195,6,1)-D221)</f>
        <v>0</v>
      </c>
      <c r="F221" s="659" t="str">
        <f>VLOOKUP(A221,合同台帐!$A$4:$D$195,4,1)</f>
        <v>招投标代理（设计、勘察、工程、监理）</v>
      </c>
      <c r="G221" s="659" t="str">
        <f>VLOOKUP(A221,合同台帐!$A$4:$E$195,5,1)</f>
        <v>天津建安建设项目管理有限公司</v>
      </c>
      <c r="H221" s="660"/>
      <c r="I221" s="522" t="str">
        <f>IF(A221&lt;&gt;0,VLOOKUP(A221,合同台帐!$A$4:$C$893,3,0),"")</f>
        <v>前标代</v>
      </c>
    </row>
    <row r="222" spans="1:9" s="623" customFormat="1" ht="15.75" customHeight="1">
      <c r="A222" s="566" t="s">
        <v>305</v>
      </c>
      <c r="B222" s="693">
        <v>2016.1</v>
      </c>
      <c r="C222" s="576">
        <v>1000000</v>
      </c>
      <c r="D222" s="657">
        <f>SUMIF(A$2:A222,A222,C$2:C222)</f>
        <v>6000000</v>
      </c>
      <c r="E222" s="658">
        <f>IF(VLOOKUP(A222,合同台帐!$A$4:$K$195,7,1)&gt;0,VLOOKUP(A222,合同台帐!$A$4:$K$195,7,1)-D222,VLOOKUP(A222,合同台帐!$A$4:$F$195,6,1)-D222)</f>
        <v>3498614</v>
      </c>
      <c r="F222" s="659" t="str">
        <f>VLOOKUP(A222,合同台帐!$A$4:$D$195,4,1)</f>
        <v>示范区景观</v>
      </c>
      <c r="G222" s="659" t="str">
        <f>VLOOKUP(A222,合同台帐!$A$4:$E$195,5,1)</f>
        <v>天津兰苑园林绿化工程有限公司</v>
      </c>
      <c r="H222" s="660"/>
      <c r="I222" s="522" t="str">
        <f>IF(A222&lt;&gt;0,VLOOKUP(A222,合同台帐!$A$4:$C$893,3,0),"")</f>
        <v>建环内</v>
      </c>
    </row>
    <row r="223" spans="1:9" s="623" customFormat="1" ht="15.75" customHeight="1">
      <c r="A223" s="566" t="s">
        <v>353</v>
      </c>
      <c r="B223" s="693">
        <v>2016.1</v>
      </c>
      <c r="C223" s="576">
        <v>23332</v>
      </c>
      <c r="D223" s="657">
        <f>SUMIF(A$2:A223,A223,C$2:C223)</f>
        <v>23332</v>
      </c>
      <c r="E223" s="658">
        <f>IF(VLOOKUP(A223,合同台帐!$A$4:$K$195,7,1)&gt;0,VLOOKUP(A223,合同台帐!$A$4:$K$195,7,1)-D223,VLOOKUP(A223,合同台帐!$A$4:$F$195,6,1)-D223)</f>
        <v>1228</v>
      </c>
      <c r="F223" s="659" t="str">
        <f>VLOOKUP(A223,合同台帐!$A$4:$D$195,4,1)</f>
        <v>33#楼宇门及样板单元首层楼梯间户门采购安装</v>
      </c>
      <c r="G223" s="659" t="str">
        <f>VLOOKUP(A223,合同台帐!$A$4:$E$195,5,1)</f>
        <v>浙江福日工贸有限公司</v>
      </c>
      <c r="H223" s="660"/>
      <c r="I223" s="522" t="str">
        <f>IF(A223&lt;&gt;0,VLOOKUP(A223,合同台帐!$A$4:$C$893,3,0),"")</f>
        <v>建主</v>
      </c>
    </row>
    <row r="224" spans="1:9" s="623" customFormat="1" ht="15.75" customHeight="1">
      <c r="A224" s="566" t="s">
        <v>354</v>
      </c>
      <c r="B224" s="693">
        <v>2016.1</v>
      </c>
      <c r="C224" s="576">
        <v>80225</v>
      </c>
      <c r="D224" s="657">
        <f>SUMIF(A$2:A224,A224,C$2:C224)</f>
        <v>80225</v>
      </c>
      <c r="E224" s="658">
        <f>IF(VLOOKUP(A224,合同台帐!$A$4:$K$195,7,1)&gt;0,VLOOKUP(A224,合同台帐!$A$4:$K$195,7,1)-D224,VLOOKUP(A224,合同台帐!$A$4:$F$195,6,1)-D224)</f>
        <v>1694472</v>
      </c>
      <c r="F224" s="659" t="str">
        <f>VLOOKUP(A224,合同台帐!$A$4:$D$195,4,1)</f>
        <v>一期入户门采购安装合同</v>
      </c>
      <c r="G224" s="659" t="str">
        <f>VLOOKUP(A224,合同台帐!$A$4:$E$195,5,1)</f>
        <v>黑龙江龙业木业有限责任公司</v>
      </c>
      <c r="H224" s="660"/>
      <c r="I224" s="522" t="str">
        <f>IF(A224&lt;&gt;0,VLOOKUP(A224,合同台帐!$A$4:$C$893,3,0),"")</f>
        <v>建主</v>
      </c>
    </row>
    <row r="225" spans="1:9" s="623" customFormat="1" ht="15.75" customHeight="1">
      <c r="A225" s="566" t="s">
        <v>340</v>
      </c>
      <c r="B225" s="693">
        <v>2016.1</v>
      </c>
      <c r="C225" s="576">
        <v>3000000</v>
      </c>
      <c r="D225" s="657">
        <f>SUMIF(A$2:A225,A225,C$2:C225)</f>
        <v>3600000</v>
      </c>
      <c r="E225" s="658">
        <f>IF(VLOOKUP(A225,合同台帐!$A$4:$K$195,7,1)&gt;0,VLOOKUP(A225,合同台帐!$A$4:$K$195,7,1)-D225,VLOOKUP(A225,合同台帐!$A$4:$F$195,6,1)-D225)</f>
        <v>7684542</v>
      </c>
      <c r="F225" s="659" t="str">
        <f>VLOOKUP(A225,合同台帐!$A$4:$D$195,4,1)</f>
        <v>外檐石材一体板及保温（一期）</v>
      </c>
      <c r="G225" s="659" t="str">
        <f>VLOOKUP(A225,合同台帐!$A$4:$E$195,5,1)</f>
        <v>山东华德隆建设有限公司</v>
      </c>
      <c r="H225" s="660"/>
      <c r="I225" s="522">
        <f>IF(A225&lt;&gt;0,VLOOKUP(A225,合同台帐!$A$4:$C$893,3,0),"")</f>
        <v>0</v>
      </c>
    </row>
    <row r="226" spans="1:9" s="623" customFormat="1" ht="15.75" customHeight="1">
      <c r="A226" s="566" t="s">
        <v>284</v>
      </c>
      <c r="B226" s="693">
        <v>2016.1</v>
      </c>
      <c r="C226" s="576">
        <v>3000000</v>
      </c>
      <c r="D226" s="657">
        <f>SUMIF(A$2:A226,A226,C$2:C226)</f>
        <v>5505504</v>
      </c>
      <c r="E226" s="658">
        <f>IF(VLOOKUP(A226,合同台帐!$A$4:$K$195,7,1)&gt;0,VLOOKUP(A226,合同台帐!$A$4:$K$195,7,1)-D226,VLOOKUP(A226,合同台帐!$A$4:$F$195,6,1)-D226)</f>
        <v>17089192</v>
      </c>
      <c r="F226" s="659" t="str">
        <f>VLOOKUP(A226,合同台帐!$A$4:$D$195,4,1)</f>
        <v>一期保温涂料线条线角</v>
      </c>
      <c r="G226" s="659" t="str">
        <f>VLOOKUP(A226,合同台帐!$A$4:$E$195,5,1)</f>
        <v>天津万通达建筑工程有限公司</v>
      </c>
      <c r="H226" s="660"/>
      <c r="I226" s="522" t="str">
        <f>IF(A226&lt;&gt;0,VLOOKUP(A226,合同台帐!$A$4:$C$893,3,0),"")</f>
        <v>建主</v>
      </c>
    </row>
    <row r="227" spans="1:9" s="623" customFormat="1" ht="15.75" customHeight="1">
      <c r="A227" s="566" t="s">
        <v>234</v>
      </c>
      <c r="B227" s="693">
        <v>2016.1</v>
      </c>
      <c r="C227" s="576">
        <v>80000</v>
      </c>
      <c r="D227" s="657">
        <f>SUMIF(A$2:A227,A227,C$2:C227)</f>
        <v>530000</v>
      </c>
      <c r="E227" s="658">
        <f>IF(VLOOKUP(A227,合同台帐!$A$4:$K$195,7,1)&gt;0,VLOOKUP(A227,合同台帐!$A$4:$K$195,7,1)-D227,VLOOKUP(A227,合同台帐!$A$4:$F$195,6,1)-D227)</f>
        <v>29667</v>
      </c>
      <c r="F227" s="659" t="str">
        <f>VLOOKUP(A227,合同台帐!$A$4:$D$195,4,1)</f>
        <v>大门入口外檐装饰</v>
      </c>
      <c r="G227" s="659" t="str">
        <f>VLOOKUP(A227,合同台帐!$A$4:$E$195,5,1)</f>
        <v>天津万通达建筑工程有限公司</v>
      </c>
      <c r="H227" s="660"/>
      <c r="I227" s="522" t="str">
        <f>IF(A227&lt;&gt;0,VLOOKUP(A227,合同台帐!$A$4:$C$893,3,0),"")</f>
        <v>建主</v>
      </c>
    </row>
    <row r="228" spans="1:9" s="623" customFormat="1" ht="15.75" customHeight="1">
      <c r="A228" s="566" t="s">
        <v>355</v>
      </c>
      <c r="B228" s="693">
        <v>2016.1</v>
      </c>
      <c r="C228" s="576">
        <v>95000</v>
      </c>
      <c r="D228" s="657">
        <f>SUMIF(A$2:A228,A228,C$2:C228)</f>
        <v>95000</v>
      </c>
      <c r="E228" s="658">
        <f>IF(VLOOKUP(A228,合同台帐!$A$4:$K$195,7,1)&gt;0,VLOOKUP(A228,合同台帐!$A$4:$K$195,7,1)-D228,VLOOKUP(A228,合同台帐!$A$4:$F$195,6,1)-D228)</f>
        <v>40990</v>
      </c>
      <c r="F228" s="659" t="str">
        <f>VLOOKUP(A228,合同台帐!$A$4:$D$195,4,1)</f>
        <v>清运拉圾（三期）</v>
      </c>
      <c r="G228" s="659" t="str">
        <f>VLOOKUP(A228,合同台帐!$A$4:$E$195,5,1)</f>
        <v>天津市蓟县宏拓建筑有限公司</v>
      </c>
      <c r="H228" s="660"/>
      <c r="I228" s="522" t="str">
        <f>IF(A228&lt;&gt;0,VLOOKUP(A228,合同台帐!$A$4:$C$893,3,0),"")</f>
        <v>建主建</v>
      </c>
    </row>
    <row r="229" spans="1:9" s="623" customFormat="1" ht="15.75" customHeight="1">
      <c r="A229" s="566" t="s">
        <v>261</v>
      </c>
      <c r="B229" s="693">
        <v>2016.1</v>
      </c>
      <c r="C229" s="576">
        <v>1000000</v>
      </c>
      <c r="D229" s="657">
        <f>SUMIF(A$2:A229,A229,C$2:C229)</f>
        <v>2033890</v>
      </c>
      <c r="E229" s="658">
        <f>IF(VLOOKUP(A229,合同台帐!$A$4:$K$195,7,1)&gt;0,VLOOKUP(A229,合同台帐!$A$4:$K$195,7,1)-D229,VLOOKUP(A229,合同台帐!$A$4:$F$195,6,1)-D229)</f>
        <v>1104596</v>
      </c>
      <c r="F229" s="659" t="str">
        <f>VLOOKUP(A229,合同台帐!$A$4:$D$195,4,1)</f>
        <v>挡土墙施工合同（重签）</v>
      </c>
      <c r="G229" s="659" t="str">
        <f>VLOOKUP(A229,合同台帐!$A$4:$E$195,5,1)</f>
        <v>天津市蓟县宏拓建筑有限公司</v>
      </c>
      <c r="H229" s="660"/>
      <c r="I229" s="522" t="str">
        <f>IF(A229&lt;&gt;0,VLOOKUP(A229,合同台帐!$A$4:$C$893,3,0),"")</f>
        <v>建环外</v>
      </c>
    </row>
    <row r="230" spans="1:9" s="623" customFormat="1" ht="15.75" customHeight="1">
      <c r="A230" s="566" t="s">
        <v>286</v>
      </c>
      <c r="B230" s="693">
        <v>2016.1</v>
      </c>
      <c r="C230" s="576">
        <v>400000</v>
      </c>
      <c r="D230" s="657">
        <f>SUMIF(A$2:A230,A230,C$2:C230)</f>
        <v>1232374</v>
      </c>
      <c r="E230" s="658">
        <f>IF(VLOOKUP(A230,合同台帐!$A$4:$K$195,7,1)&gt;0,VLOOKUP(A230,合同台帐!$A$4:$K$195,7,1)-D230,VLOOKUP(A230,合同台帐!$A$4:$F$195,6,1)-D230)</f>
        <v>5569013</v>
      </c>
      <c r="F230" s="659" t="str">
        <f>VLOOKUP(A230,合同台帐!$A$4:$D$195,4,1)</f>
        <v>一期断桥铝合金门窗安装</v>
      </c>
      <c r="G230" s="659" t="str">
        <f>VLOOKUP(A230,合同台帐!$A$4:$E$195,5,1)</f>
        <v>天津江胜建筑工程有限公司</v>
      </c>
      <c r="H230" s="660"/>
      <c r="I230" s="522" t="str">
        <f>IF(A230&lt;&gt;0,VLOOKUP(A230,合同台帐!$A$4:$C$893,3,0),"")</f>
        <v>建主</v>
      </c>
    </row>
    <row r="231" spans="1:9" s="623" customFormat="1" ht="15.75" customHeight="1">
      <c r="A231" s="566" t="s">
        <v>356</v>
      </c>
      <c r="B231" s="693">
        <v>2016.1</v>
      </c>
      <c r="C231" s="576">
        <v>100000</v>
      </c>
      <c r="D231" s="657">
        <f>SUMIF(A$2:A231,A231,C$2:C231)</f>
        <v>100000</v>
      </c>
      <c r="E231" s="658">
        <f>IF(VLOOKUP(A231,合同台帐!$A$4:$K$195,7,1)&gt;0,VLOOKUP(A231,合同台帐!$A$4:$K$195,7,1)-D231,VLOOKUP(A231,合同台帐!$A$4:$F$195,6,1)-D231)</f>
        <v>0</v>
      </c>
      <c r="F231" s="659" t="str">
        <f>VLOOKUP(A231,合同台帐!$A$4:$D$195,4,1)</f>
        <v>维修改建工程（集团办公室精装）</v>
      </c>
      <c r="G231" s="659" t="str">
        <f>VLOOKUP(A231,合同台帐!$A$4:$E$195,5,1)</f>
        <v>天津市锦适名研装饰设计有限公司</v>
      </c>
      <c r="H231" s="660"/>
      <c r="I231" s="522" t="str">
        <f>IF(A231&lt;&gt;0,VLOOKUP(A231,合同台帐!$A$4:$C$893,3,0),"")</f>
        <v>建安</v>
      </c>
    </row>
    <row r="232" spans="1:9" s="623" customFormat="1" ht="15.75" customHeight="1">
      <c r="A232" s="566" t="s">
        <v>265</v>
      </c>
      <c r="B232" s="693">
        <v>2016.1</v>
      </c>
      <c r="C232" s="576">
        <v>100000</v>
      </c>
      <c r="D232" s="657">
        <f>SUMIF(A$2:A232,A232,C$2:C232)</f>
        <v>807870</v>
      </c>
      <c r="E232" s="658">
        <f>IF(VLOOKUP(A232,合同台帐!$A$4:$K$195,7,1)&gt;0,VLOOKUP(A232,合同台帐!$A$4:$K$195,7,1)-D232,VLOOKUP(A232,合同台帐!$A$4:$F$195,6,1)-D232)</f>
        <v>160080</v>
      </c>
      <c r="F232" s="659" t="str">
        <f>VLOOKUP(A232,合同台帐!$A$4:$D$195,4,1)</f>
        <v>一期强夯工程补充合同</v>
      </c>
      <c r="G232" s="659" t="str">
        <f>VLOOKUP(A232,合同台帐!$A$4:$E$195,5,1)</f>
        <v>天津华勘集团有限公司</v>
      </c>
      <c r="H232" s="660"/>
      <c r="I232" s="522" t="str">
        <f>IF(A232&lt;&gt;0,VLOOKUP(A232,合同台帐!$A$4:$C$893,3,0),"")</f>
        <v>建基</v>
      </c>
    </row>
    <row r="233" spans="1:9" s="623" customFormat="1" ht="15.75" customHeight="1">
      <c r="A233" s="566" t="s">
        <v>357</v>
      </c>
      <c r="B233" s="693">
        <v>2016.1</v>
      </c>
      <c r="C233" s="576">
        <v>40000</v>
      </c>
      <c r="D233" s="657">
        <f>SUMIF(A$2:A233,A233,C$2:C233)</f>
        <v>40000</v>
      </c>
      <c r="E233" s="658">
        <f>IF(VLOOKUP(A233,合同台帐!$A$4:$K$195,7,1)&gt;0,VLOOKUP(A233,合同台帐!$A$4:$K$195,7,1)-D233,VLOOKUP(A233,合同台帐!$A$4:$F$195,6,1)-D233)</f>
        <v>0</v>
      </c>
      <c r="F233" s="659" t="str">
        <f>VLOOKUP(A233,合同台帐!$A$4:$D$195,4,1)</f>
        <v>现场扬尘监测设备</v>
      </c>
      <c r="G233" s="659" t="str">
        <f>VLOOKUP(A233,合同台帐!$A$4:$E$195,5,1)</f>
        <v>天津同阳科技发展有限公司</v>
      </c>
      <c r="H233" s="660"/>
      <c r="I233" s="522" t="str">
        <f>IF(A233&lt;&gt;0,VLOOKUP(A233,合同台帐!$A$4:$C$893,3,0),"")</f>
        <v>不可预见</v>
      </c>
    </row>
    <row r="234" spans="1:9" s="623" customFormat="1" ht="15.75" customHeight="1">
      <c r="A234" s="566" t="s">
        <v>358</v>
      </c>
      <c r="B234" s="693">
        <v>2016.2</v>
      </c>
      <c r="C234" s="576">
        <v>150000</v>
      </c>
      <c r="D234" s="657">
        <f>SUMIF(A$2:A234,A234,C$2:C234)</f>
        <v>150000</v>
      </c>
      <c r="E234" s="658">
        <f>IF(VLOOKUP(A234,合同台帐!$A$4:$K$195,7,1)&gt;0,VLOOKUP(A234,合同台帐!$A$4:$K$195,7,1)-D234,VLOOKUP(A234,合同台帐!$A$4:$F$195,6,1)-D234)</f>
        <v>363000</v>
      </c>
      <c r="F234" s="659" t="str">
        <f>VLOOKUP(A234,合同台帐!$A$4:$D$195,4,1)</f>
        <v>示范区智能化工程</v>
      </c>
      <c r="G234" s="659" t="str">
        <f>VLOOKUP(A234,合同台帐!$A$4:$E$195,5,1)</f>
        <v>天津荣润世纪科技有限公司</v>
      </c>
      <c r="H234" s="660"/>
      <c r="I234" s="522" t="str">
        <f>IF(A234&lt;&gt;0,VLOOKUP(A234,合同台帐!$A$4:$C$893,3,0),"")</f>
        <v>建主</v>
      </c>
    </row>
    <row r="235" spans="1:9" s="623" customFormat="1" ht="15.75" customHeight="1">
      <c r="A235" s="566" t="s">
        <v>323</v>
      </c>
      <c r="B235" s="693">
        <v>2016.2</v>
      </c>
      <c r="C235" s="576">
        <v>70759.199999999997</v>
      </c>
      <c r="D235" s="657">
        <f>SUMIF(A$2:A235,A235,C$2:C235)</f>
        <v>170759.2</v>
      </c>
      <c r="E235" s="658">
        <f>IF(VLOOKUP(A235,合同台帐!$A$4:$K$195,7,1)&gt;0,VLOOKUP(A235,合同台帐!$A$4:$K$195,7,1)-D235,VLOOKUP(A235,合同台帐!$A$4:$F$195,6,1)-D235)</f>
        <v>42689.799999999988</v>
      </c>
      <c r="F235" s="659" t="str">
        <f>VLOOKUP(A235,合同台帐!$A$4:$D$195,4,1)</f>
        <v>示范区夜景照明</v>
      </c>
      <c r="G235" s="659" t="str">
        <f>VLOOKUP(A235,合同台帐!$A$4:$E$195,5,1)</f>
        <v>天津鑫润达建筑工程有限公司</v>
      </c>
      <c r="H235" s="660"/>
      <c r="I235" s="522" t="str">
        <f>IF(A235&lt;&gt;0,VLOOKUP(A235,合同台帐!$A$4:$C$893,3,0),"")</f>
        <v>建环</v>
      </c>
    </row>
    <row r="236" spans="1:9" s="623" customFormat="1" ht="15.75" customHeight="1">
      <c r="A236" s="566" t="s">
        <v>337</v>
      </c>
      <c r="B236" s="693">
        <v>2016.2</v>
      </c>
      <c r="C236" s="576">
        <v>50000</v>
      </c>
      <c r="D236" s="657">
        <f>SUMIF(A$2:A236,A236,C$2:C236)</f>
        <v>124507</v>
      </c>
      <c r="E236" s="658">
        <f>IF(VLOOKUP(A236,合同台帐!$A$4:$K$195,7,1)&gt;0,VLOOKUP(A236,合同台帐!$A$4:$K$195,7,1)-D236,VLOOKUP(A236,合同台帐!$A$4:$F$195,6,1)-D236)</f>
        <v>24507</v>
      </c>
      <c r="F236" s="659" t="str">
        <f>VLOOKUP(A236,合同台帐!$A$4:$D$195,4,1)</f>
        <v>33#楼公共部位精装修、门卫精装修</v>
      </c>
      <c r="G236" s="659" t="str">
        <f>VLOOKUP(A236,合同台帐!$A$4:$E$195,5,1)</f>
        <v>天津市三鼎建筑工程有限公司</v>
      </c>
      <c r="H236" s="660"/>
      <c r="I236" s="522" t="str">
        <f>IF(A236&lt;&gt;0,VLOOKUP(A236,合同台帐!$A$4:$C$893,3,0),"")</f>
        <v>建主</v>
      </c>
    </row>
    <row r="237" spans="1:9" s="623" customFormat="1" ht="15.75" customHeight="1">
      <c r="A237" s="566" t="s">
        <v>308</v>
      </c>
      <c r="B237" s="693">
        <v>2016.2</v>
      </c>
      <c r="C237" s="576">
        <v>250000</v>
      </c>
      <c r="D237" s="657">
        <f>SUMIF(A$2:A237,A237,C$2:C237)</f>
        <v>2130397</v>
      </c>
      <c r="E237" s="658">
        <f>IF(VLOOKUP(A237,合同台帐!$A$4:$K$195,7,1)&gt;0,VLOOKUP(A237,合同台帐!$A$4:$K$195,7,1)-D237,VLOOKUP(A237,合同台帐!$A$4:$F$195,6,1)-D237)</f>
        <v>1630397</v>
      </c>
      <c r="F237" s="659" t="str">
        <f>VLOOKUP(A237,合同台帐!$A$4:$D$195,4,1)</f>
        <v>售楼处样板间精装修工程</v>
      </c>
      <c r="G237" s="659" t="str">
        <f>VLOOKUP(A237,合同台帐!$A$4:$E$195,5,1)</f>
        <v>天津磊德建筑装饰工程有限公司</v>
      </c>
      <c r="H237" s="660"/>
      <c r="I237" s="522" t="str">
        <f>IF(A237&lt;&gt;0,VLOOKUP(A237,合同台帐!$A$4:$C$893,3,0),"")</f>
        <v>建主</v>
      </c>
    </row>
    <row r="238" spans="1:9" s="623" customFormat="1" ht="15.75" customHeight="1">
      <c r="A238" s="566" t="s">
        <v>359</v>
      </c>
      <c r="B238" s="693">
        <v>2016.2</v>
      </c>
      <c r="C238" s="576">
        <v>164082</v>
      </c>
      <c r="D238" s="657">
        <f>SUMIF(A$2:A238,A238,C$2:C238)</f>
        <v>164082</v>
      </c>
      <c r="E238" s="658">
        <f>IF(VLOOKUP(A238,合同台帐!$A$4:$K$195,7,1)&gt;0,VLOOKUP(A238,合同台帐!$A$4:$K$195,7,1)-D238,VLOOKUP(A238,合同台帐!$A$4:$F$195,6,1)-D238)</f>
        <v>0</v>
      </c>
      <c r="F238" s="659" t="str">
        <f>VLOOKUP(A238,合同台帐!$A$4:$D$195,4,1)</f>
        <v>示范区现场垃圾清运（结签证）</v>
      </c>
      <c r="G238" s="659" t="str">
        <f>VLOOKUP(A238,合同台帐!$A$4:$E$195,5,1)</f>
        <v>天津市蓟县宏拓建筑有限公司</v>
      </c>
      <c r="H238" s="660"/>
      <c r="I238" s="522" t="str">
        <f>IF(A238&lt;&gt;0,VLOOKUP(A238,合同台帐!$A$4:$C$893,3,0),"")</f>
        <v>建主</v>
      </c>
    </row>
    <row r="239" spans="1:9" s="623" customFormat="1" ht="15.75" customHeight="1">
      <c r="A239" s="566" t="s">
        <v>244</v>
      </c>
      <c r="B239" s="693">
        <v>2016.2</v>
      </c>
      <c r="C239" s="576">
        <v>50000</v>
      </c>
      <c r="D239" s="657">
        <f>SUMIF(A$2:A239,A239,C$2:C239)</f>
        <v>140000</v>
      </c>
      <c r="E239" s="658">
        <f>IF(VLOOKUP(A239,合同台帐!$A$4:$K$195,7,1)&gt;0,VLOOKUP(A239,合同台帐!$A$4:$K$195,7,1)-D239,VLOOKUP(A239,合同台帐!$A$4:$F$195,6,1)-D239)</f>
        <v>160000</v>
      </c>
      <c r="F239" s="659" t="str">
        <f>VLOOKUP(A239,合同台帐!$A$4:$D$195,4,1)</f>
        <v>（一、三期）造价咨询合同</v>
      </c>
      <c r="G239" s="659" t="str">
        <f>VLOOKUP(A239,合同台帐!$A$4:$E$195,5,1)</f>
        <v>天津中天华建工程咨询有限公司</v>
      </c>
      <c r="H239" s="660"/>
      <c r="I239" s="522" t="str">
        <f>IF(A239&lt;&gt;0,VLOOKUP(A239,合同台帐!$A$4:$C$893,3,0),"")</f>
        <v>前标咨</v>
      </c>
    </row>
    <row r="240" spans="1:9" s="623" customFormat="1" ht="15.75" customHeight="1">
      <c r="A240" s="566" t="s">
        <v>247</v>
      </c>
      <c r="B240" s="693">
        <v>2016.2</v>
      </c>
      <c r="C240" s="576">
        <v>5000000</v>
      </c>
      <c r="D240" s="657">
        <f>SUMIF(A$2:A240,A240,C$2:C240)</f>
        <v>33863610</v>
      </c>
      <c r="E240" s="658">
        <f>IF(VLOOKUP(A240,合同台帐!$A$4:$K$195,7,1)&gt;0,VLOOKUP(A240,合同台帐!$A$4:$K$195,7,1)-D240,VLOOKUP(A240,合同台帐!$A$4:$F$195,6,1)-D240)</f>
        <v>76136390</v>
      </c>
      <c r="F240" s="659" t="str">
        <f>VLOOKUP(A240,合同台帐!$A$4:$D$195,4,1)</f>
        <v>总包一期工程</v>
      </c>
      <c r="G240" s="659" t="str">
        <f>VLOOKUP(A240,合同台帐!$A$4:$E$195,5,1)</f>
        <v>天津泉州建设工程集团有限公司</v>
      </c>
      <c r="H240" s="660"/>
      <c r="I240" s="522">
        <f>IF(A240&lt;&gt;0,VLOOKUP(A240,合同台帐!$A$4:$C$893,3,0),"")</f>
        <v>0</v>
      </c>
    </row>
    <row r="241" spans="1:9" s="623" customFormat="1" ht="15.75" customHeight="1">
      <c r="A241" s="566" t="s">
        <v>360</v>
      </c>
      <c r="B241" s="693">
        <v>2016.2</v>
      </c>
      <c r="C241" s="576">
        <v>11623</v>
      </c>
      <c r="D241" s="657">
        <f>SUMIF(A$2:A241,A241,C$2:C241)</f>
        <v>11623</v>
      </c>
      <c r="E241" s="658">
        <f>IF(VLOOKUP(A241,合同台帐!$A$4:$K$195,7,1)&gt;0,VLOOKUP(A241,合同台帐!$A$4:$K$195,7,1)-D241,VLOOKUP(A241,合同台帐!$A$4:$F$195,6,1)-D241)</f>
        <v>612</v>
      </c>
      <c r="F241" s="659" t="str">
        <f>VLOOKUP(A241,合同台帐!$A$4:$D$195,4,1)</f>
        <v>33#楼空调铁艺护栏</v>
      </c>
      <c r="G241" s="659" t="str">
        <f>VLOOKUP(A241,合同台帐!$A$4:$E$195,5,1)</f>
        <v>天津德须泰钢结构工程有限公司</v>
      </c>
      <c r="H241" s="660"/>
      <c r="I241" s="522" t="str">
        <f>IF(A241&lt;&gt;0,VLOOKUP(A241,合同台帐!$A$4:$C$893,3,0),"")</f>
        <v>建主</v>
      </c>
    </row>
    <row r="242" spans="1:9" s="623" customFormat="1" ht="15.75" customHeight="1">
      <c r="A242" s="655"/>
      <c r="B242" s="693"/>
      <c r="C242" s="576"/>
      <c r="D242" s="657">
        <f>SUMIF(A$2:A242,A242,C$2:C242)</f>
        <v>0</v>
      </c>
      <c r="E242" s="658" t="e">
        <f>IF(VLOOKUP(A242,合同台帐!$A$4:$K$195,7,1)&gt;0,VLOOKUP(A242,合同台帐!$A$4:$K$195,7,1)-D242,VLOOKUP(A242,合同台帐!$A$4:$F$195,6,1)-D242)</f>
        <v>#N/A</v>
      </c>
      <c r="F242" s="659" t="e">
        <f>VLOOKUP(A242,合同台帐!$A$4:$D$195,4,1)</f>
        <v>#N/A</v>
      </c>
      <c r="G242" s="659" t="e">
        <f>VLOOKUP(A242,合同台帐!$A$4:$E$195,5,1)</f>
        <v>#N/A</v>
      </c>
      <c r="H242" s="660"/>
      <c r="I242" s="522" t="str">
        <f>IF(A242&lt;&gt;0,VLOOKUP(A242,合同台帐!$A$4:$C$893,3,0),"")</f>
        <v/>
      </c>
    </row>
    <row r="243" spans="1:9" s="623" customFormat="1" ht="15.75" customHeight="1">
      <c r="A243" s="655"/>
      <c r="B243" s="656"/>
      <c r="C243" s="576"/>
      <c r="D243" s="657">
        <f>SUMIF(A$2:A243,A243,C$2:C243)</f>
        <v>0</v>
      </c>
      <c r="E243" s="658" t="e">
        <f>IF(VLOOKUP(A243,合同台帐!$A$4:$K$195,7,1)&gt;0,VLOOKUP(A243,合同台帐!$A$4:$K$195,7,1)-D243,VLOOKUP(A243,合同台帐!$A$4:$F$195,6,1)-D243)</f>
        <v>#N/A</v>
      </c>
      <c r="F243" s="659" t="e">
        <f>VLOOKUP(A243,合同台帐!$A$4:$D$195,4,1)</f>
        <v>#N/A</v>
      </c>
      <c r="G243" s="659" t="e">
        <f>VLOOKUP(A243,合同台帐!$A$4:$E$195,5,1)</f>
        <v>#N/A</v>
      </c>
      <c r="H243" s="660"/>
      <c r="I243" s="522" t="str">
        <f>IF(A243&lt;&gt;0,VLOOKUP(A243,合同台帐!$A$4:$C$893,3,0),"")</f>
        <v/>
      </c>
    </row>
    <row r="244" spans="1:9" s="623" customFormat="1" ht="15.75" customHeight="1">
      <c r="A244" s="655"/>
      <c r="B244" s="656"/>
      <c r="C244" s="576"/>
      <c r="D244" s="657">
        <f>SUMIF(A$2:A244,A244,C$2:C244)</f>
        <v>0</v>
      </c>
      <c r="E244" s="658" t="e">
        <f>IF(VLOOKUP(A244,合同台帐!$A$4:$K$195,7,1)&gt;0,VLOOKUP(A244,合同台帐!$A$4:$K$195,7,1)-D244,VLOOKUP(A244,合同台帐!$A$4:$F$195,6,1)-D244)</f>
        <v>#N/A</v>
      </c>
      <c r="F244" s="659" t="e">
        <f>VLOOKUP(A244,合同台帐!$A$4:$D$195,4,1)</f>
        <v>#N/A</v>
      </c>
      <c r="G244" s="659" t="e">
        <f>VLOOKUP(A244,合同台帐!$A$4:$E$195,5,1)</f>
        <v>#N/A</v>
      </c>
      <c r="H244" s="660"/>
      <c r="I244" s="522" t="str">
        <f>IF(A244&lt;&gt;0,VLOOKUP(A244,合同台帐!$A$4:$C$893,3,0),"")</f>
        <v/>
      </c>
    </row>
    <row r="245" spans="1:9" s="623" customFormat="1" ht="15.75" customHeight="1">
      <c r="A245" s="655"/>
      <c r="B245" s="656"/>
      <c r="C245" s="576"/>
      <c r="D245" s="657">
        <f>SUMIF(A$2:A245,A245,C$2:C245)</f>
        <v>0</v>
      </c>
      <c r="E245" s="658" t="e">
        <f>IF(VLOOKUP(A245,合同台帐!$A$4:$K$195,7,1)&gt;0,VLOOKUP(A245,合同台帐!$A$4:$K$195,7,1)-D245,VLOOKUP(A245,合同台帐!$A$4:$F$195,6,1)-D245)</f>
        <v>#N/A</v>
      </c>
      <c r="F245" s="659" t="e">
        <f>VLOOKUP(A245,合同台帐!$A$4:$D$195,4,1)</f>
        <v>#N/A</v>
      </c>
      <c r="G245" s="659" t="e">
        <f>VLOOKUP(A245,合同台帐!$A$4:$E$195,5,1)</f>
        <v>#N/A</v>
      </c>
      <c r="H245" s="660"/>
      <c r="I245" s="522" t="str">
        <f>IF(A245&lt;&gt;0,VLOOKUP(A245,合同台帐!$A$4:$C$893,3,0),"")</f>
        <v/>
      </c>
    </row>
    <row r="246" spans="1:9" s="623" customFormat="1" ht="15.75" customHeight="1">
      <c r="A246" s="655"/>
      <c r="B246" s="656"/>
      <c r="C246" s="576"/>
      <c r="D246" s="657">
        <f>SUMIF(A$2:A246,A246,C$2:C246)</f>
        <v>0</v>
      </c>
      <c r="E246" s="658" t="e">
        <f>IF(VLOOKUP(A246,合同台帐!$A$4:$K$195,7,1)&gt;0,VLOOKUP(A246,合同台帐!$A$4:$K$195,7,1)-D246,VLOOKUP(A246,合同台帐!$A$4:$F$195,6,1)-D246)</f>
        <v>#N/A</v>
      </c>
      <c r="F246" s="659" t="e">
        <f>VLOOKUP(A246,合同台帐!$A$4:$D$195,4,1)</f>
        <v>#N/A</v>
      </c>
      <c r="G246" s="659" t="e">
        <f>VLOOKUP(A246,合同台帐!$A$4:$E$195,5,1)</f>
        <v>#N/A</v>
      </c>
      <c r="H246" s="660"/>
      <c r="I246" s="522" t="str">
        <f>IF(A246&lt;&gt;0,VLOOKUP(A246,合同台帐!$A$4:$C$893,3,0),"")</f>
        <v/>
      </c>
    </row>
    <row r="247" spans="1:9" s="623" customFormat="1" ht="15.75" customHeight="1">
      <c r="A247" s="655"/>
      <c r="B247" s="656"/>
      <c r="C247" s="576"/>
      <c r="D247" s="657">
        <f>SUMIF(A$2:A247,A247,C$2:C247)</f>
        <v>0</v>
      </c>
      <c r="E247" s="658" t="e">
        <f>IF(VLOOKUP(A247,合同台帐!$A$4:$K$195,7,1)&gt;0,VLOOKUP(A247,合同台帐!$A$4:$K$195,7,1)-D247,VLOOKUP(A247,合同台帐!$A$4:$F$195,6,1)-D247)</f>
        <v>#N/A</v>
      </c>
      <c r="F247" s="659" t="e">
        <f>VLOOKUP(A247,合同台帐!$A$4:$D$195,4,1)</f>
        <v>#N/A</v>
      </c>
      <c r="G247" s="659" t="e">
        <f>VLOOKUP(A247,合同台帐!$A$4:$E$195,5,1)</f>
        <v>#N/A</v>
      </c>
      <c r="H247" s="660"/>
      <c r="I247" s="522" t="str">
        <f>IF(A247&lt;&gt;0,VLOOKUP(A247,合同台帐!$A$4:$C$893,3,0),"")</f>
        <v/>
      </c>
    </row>
    <row r="248" spans="1:9" s="623" customFormat="1" ht="15.75" customHeight="1">
      <c r="A248" s="655"/>
      <c r="B248" s="656"/>
      <c r="C248" s="576"/>
      <c r="D248" s="657">
        <f>SUMIF(A$2:A248,A248,C$2:C248)</f>
        <v>0</v>
      </c>
      <c r="E248" s="658" t="e">
        <f>IF(VLOOKUP(A248,合同台帐!$A$4:$K$195,7,1)&gt;0,VLOOKUP(A248,合同台帐!$A$4:$K$195,7,1)-D248,VLOOKUP(A248,合同台帐!$A$4:$F$195,6,1)-D248)</f>
        <v>#N/A</v>
      </c>
      <c r="F248" s="659" t="e">
        <f>VLOOKUP(A248,合同台帐!$A$4:$D$195,4,1)</f>
        <v>#N/A</v>
      </c>
      <c r="G248" s="659" t="e">
        <f>VLOOKUP(A248,合同台帐!$A$4:$E$195,5,1)</f>
        <v>#N/A</v>
      </c>
      <c r="H248" s="660"/>
      <c r="I248" s="522" t="str">
        <f>IF(A248&lt;&gt;0,VLOOKUP(A248,合同台帐!$A$4:$C$893,3,0),"")</f>
        <v/>
      </c>
    </row>
    <row r="249" spans="1:9" s="623" customFormat="1" ht="15.75" customHeight="1">
      <c r="A249" s="655"/>
      <c r="B249" s="656"/>
      <c r="C249" s="576"/>
      <c r="D249" s="657">
        <f>SUMIF(A$2:A249,A249,C$2:C249)</f>
        <v>0</v>
      </c>
      <c r="E249" s="658" t="e">
        <f>IF(VLOOKUP(A249,合同台帐!$A$4:$K$195,7,1)&gt;0,VLOOKUP(A249,合同台帐!$A$4:$K$195,7,1)-D249,VLOOKUP(A249,合同台帐!$A$4:$F$195,6,1)-D249)</f>
        <v>#N/A</v>
      </c>
      <c r="F249" s="659" t="e">
        <f>VLOOKUP(A249,合同台帐!$A$4:$D$195,4,1)</f>
        <v>#N/A</v>
      </c>
      <c r="G249" s="659" t="e">
        <f>VLOOKUP(A249,合同台帐!$A$4:$E$195,5,1)</f>
        <v>#N/A</v>
      </c>
      <c r="H249" s="660"/>
      <c r="I249" s="522" t="str">
        <f>IF(A249&lt;&gt;0,VLOOKUP(A249,合同台帐!$A$4:$C$893,3,0),"")</f>
        <v/>
      </c>
    </row>
    <row r="250" spans="1:9" s="623" customFormat="1" ht="15.75" customHeight="1">
      <c r="A250" s="655"/>
      <c r="B250" s="656"/>
      <c r="C250" s="576"/>
      <c r="D250" s="657">
        <f>SUMIF(A$2:A250,A250,C$2:C250)</f>
        <v>0</v>
      </c>
      <c r="E250" s="658" t="e">
        <f>IF(VLOOKUP(A250,合同台帐!$A$4:$K$195,7,1)&gt;0,VLOOKUP(A250,合同台帐!$A$4:$K$195,7,1)-D250,VLOOKUP(A250,合同台帐!$A$4:$F$195,6,1)-D250)</f>
        <v>#N/A</v>
      </c>
      <c r="F250" s="659" t="e">
        <f>VLOOKUP(A250,合同台帐!$A$4:$D$195,4,1)</f>
        <v>#N/A</v>
      </c>
      <c r="G250" s="659" t="e">
        <f>VLOOKUP(A250,合同台帐!$A$4:$E$195,5,1)</f>
        <v>#N/A</v>
      </c>
      <c r="H250" s="660"/>
      <c r="I250" s="522" t="str">
        <f>IF(A250&lt;&gt;0,VLOOKUP(A250,合同台帐!$A$4:$C$893,3,0),"")</f>
        <v/>
      </c>
    </row>
    <row r="251" spans="1:9" s="623" customFormat="1" ht="15.75" customHeight="1">
      <c r="A251" s="655"/>
      <c r="B251" s="656"/>
      <c r="C251" s="576"/>
      <c r="D251" s="657">
        <f>SUMIF(A$2:A251,A251,C$2:C251)</f>
        <v>0</v>
      </c>
      <c r="E251" s="658" t="e">
        <f>IF(VLOOKUP(A251,合同台帐!$A$4:$K$195,7,1)&gt;0,VLOOKUP(A251,合同台帐!$A$4:$K$195,7,1)-D251,VLOOKUP(A251,合同台帐!$A$4:$F$195,6,1)-D251)</f>
        <v>#N/A</v>
      </c>
      <c r="F251" s="659" t="e">
        <f>VLOOKUP(A251,合同台帐!$A$4:$D$195,4,1)</f>
        <v>#N/A</v>
      </c>
      <c r="G251" s="659" t="e">
        <f>VLOOKUP(A251,合同台帐!$A$4:$E$195,5,1)</f>
        <v>#N/A</v>
      </c>
      <c r="H251" s="660"/>
      <c r="I251" s="522" t="str">
        <f>IF(A251&lt;&gt;0,VLOOKUP(A251,合同台帐!$A$4:$C$893,3,0),"")</f>
        <v/>
      </c>
    </row>
    <row r="252" spans="1:9" s="623" customFormat="1" ht="15.75" customHeight="1">
      <c r="A252" s="655"/>
      <c r="B252" s="656"/>
      <c r="C252" s="576"/>
      <c r="D252" s="657">
        <f>SUMIF(A$2:A252,A252,C$2:C252)</f>
        <v>0</v>
      </c>
      <c r="E252" s="658" t="e">
        <f>IF(VLOOKUP(A252,合同台帐!$A$4:$K$195,7,1)&gt;0,VLOOKUP(A252,合同台帐!$A$4:$K$195,7,1)-D252,VLOOKUP(A252,合同台帐!$A$4:$F$195,6,1)-D252)</f>
        <v>#N/A</v>
      </c>
      <c r="F252" s="659" t="e">
        <f>VLOOKUP(A252,合同台帐!$A$4:$D$195,4,1)</f>
        <v>#N/A</v>
      </c>
      <c r="G252" s="659" t="e">
        <f>VLOOKUP(A252,合同台帐!$A$4:$E$195,5,1)</f>
        <v>#N/A</v>
      </c>
      <c r="H252" s="660"/>
      <c r="I252" s="522" t="str">
        <f>IF(A252&lt;&gt;0,VLOOKUP(A252,合同台帐!$A$4:$C$893,3,0),"")</f>
        <v/>
      </c>
    </row>
    <row r="253" spans="1:9" s="623" customFormat="1" ht="15.75" customHeight="1">
      <c r="A253" s="655"/>
      <c r="B253" s="656"/>
      <c r="C253" s="576"/>
      <c r="D253" s="657">
        <f>SUMIF(A$2:A253,A253,C$2:C253)</f>
        <v>0</v>
      </c>
      <c r="E253" s="658" t="e">
        <f>IF(VLOOKUP(A253,合同台帐!$A$4:$K$195,7,1)&gt;0,VLOOKUP(A253,合同台帐!$A$4:$K$195,7,1)-D253,VLOOKUP(A253,合同台帐!$A$4:$F$195,6,1)-D253)</f>
        <v>#N/A</v>
      </c>
      <c r="F253" s="659" t="e">
        <f>VLOOKUP(A253,合同台帐!$A$4:$D$195,4,1)</f>
        <v>#N/A</v>
      </c>
      <c r="G253" s="659" t="e">
        <f>VLOOKUP(A253,合同台帐!$A$4:$E$195,5,1)</f>
        <v>#N/A</v>
      </c>
      <c r="H253" s="660"/>
      <c r="I253" s="522" t="str">
        <f>IF(A253&lt;&gt;0,VLOOKUP(A253,合同台帐!$A$4:$C$893,3,0),"")</f>
        <v/>
      </c>
    </row>
    <row r="254" spans="1:9" s="623" customFormat="1" ht="15.75" customHeight="1">
      <c r="A254" s="655"/>
      <c r="B254" s="656"/>
      <c r="C254" s="576"/>
      <c r="D254" s="657">
        <f>SUMIF(A$2:A254,A254,C$2:C254)</f>
        <v>0</v>
      </c>
      <c r="E254" s="658" t="e">
        <f>IF(VLOOKUP(A254,合同台帐!$A$4:$K$195,7,1)&gt;0,VLOOKUP(A254,合同台帐!$A$4:$K$195,7,1)-D254,VLOOKUP(A254,合同台帐!$A$4:$F$195,6,1)-D254)</f>
        <v>#N/A</v>
      </c>
      <c r="F254" s="659" t="e">
        <f>VLOOKUP(A254,合同台帐!$A$4:$D$195,4,1)</f>
        <v>#N/A</v>
      </c>
      <c r="G254" s="659" t="e">
        <f>VLOOKUP(A254,合同台帐!$A$4:$E$195,5,1)</f>
        <v>#N/A</v>
      </c>
      <c r="H254" s="660"/>
      <c r="I254" s="522" t="str">
        <f>IF(A254&lt;&gt;0,VLOOKUP(A254,合同台帐!$A$4:$C$893,3,0),"")</f>
        <v/>
      </c>
    </row>
    <row r="255" spans="1:9" s="623" customFormat="1" ht="15.75" customHeight="1">
      <c r="A255" s="655"/>
      <c r="B255" s="656"/>
      <c r="C255" s="576"/>
      <c r="D255" s="657">
        <f>SUMIF(A$2:A255,A255,C$2:C255)</f>
        <v>0</v>
      </c>
      <c r="E255" s="658" t="e">
        <f>IF(VLOOKUP(A255,合同台帐!$A$4:$K$195,7,1)&gt;0,VLOOKUP(A255,合同台帐!$A$4:$K$195,7,1)-D255,VLOOKUP(A255,合同台帐!$A$4:$F$195,6,1)-D255)</f>
        <v>#N/A</v>
      </c>
      <c r="F255" s="659" t="e">
        <f>VLOOKUP(A255,合同台帐!$A$4:$D$195,4,1)</f>
        <v>#N/A</v>
      </c>
      <c r="G255" s="659" t="e">
        <f>VLOOKUP(A255,合同台帐!$A$4:$E$195,5,1)</f>
        <v>#N/A</v>
      </c>
      <c r="H255" s="660"/>
      <c r="I255" s="522" t="str">
        <f>IF(A255&lt;&gt;0,VLOOKUP(A255,合同台帐!$A$4:$C$893,3,0),"")</f>
        <v/>
      </c>
    </row>
    <row r="256" spans="1:9" s="623" customFormat="1" ht="15.75" customHeight="1">
      <c r="A256" s="655"/>
      <c r="B256" s="656"/>
      <c r="C256" s="576"/>
      <c r="D256" s="657">
        <f>SUMIF(A$2:A256,A256,C$2:C256)</f>
        <v>0</v>
      </c>
      <c r="E256" s="658" t="e">
        <f>IF(VLOOKUP(A256,合同台帐!$A$4:$K$195,7,1)&gt;0,VLOOKUP(A256,合同台帐!$A$4:$K$195,7,1)-D256,VLOOKUP(A256,合同台帐!$A$4:$F$195,6,1)-D256)</f>
        <v>#N/A</v>
      </c>
      <c r="F256" s="659" t="e">
        <f>VLOOKUP(A256,合同台帐!$A$4:$D$195,4,1)</f>
        <v>#N/A</v>
      </c>
      <c r="G256" s="659" t="e">
        <f>VLOOKUP(A256,合同台帐!$A$4:$E$195,5,1)</f>
        <v>#N/A</v>
      </c>
      <c r="H256" s="660"/>
      <c r="I256" s="522" t="str">
        <f>IF(A256&lt;&gt;0,VLOOKUP(A256,合同台帐!$A$4:$C$893,3,0),"")</f>
        <v/>
      </c>
    </row>
    <row r="257" spans="1:9" s="630" customFormat="1" ht="15.75" customHeight="1">
      <c r="A257" s="694"/>
      <c r="B257" s="656"/>
      <c r="C257" s="695">
        <f>SUM(C2:C256)</f>
        <v>538812008.25999987</v>
      </c>
      <c r="D257" s="695">
        <f t="shared" ref="D257:E257" si="0">SUM(D2:D256)</f>
        <v>1167224982.3099997</v>
      </c>
      <c r="E257" s="695" t="e">
        <f t="shared" si="0"/>
        <v>#N/A</v>
      </c>
      <c r="F257" s="696">
        <f>SUM(F2:F26)</f>
        <v>0</v>
      </c>
      <c r="G257" s="696"/>
      <c r="H257" s="697"/>
      <c r="I257" s="704"/>
    </row>
    <row r="258" spans="1:9">
      <c r="B258" s="698"/>
      <c r="C258" s="699"/>
      <c r="D258" s="700"/>
    </row>
    <row r="259" spans="1:9">
      <c r="C259" s="633">
        <f>C107+C175+C185</f>
        <v>11943610</v>
      </c>
    </row>
    <row r="260" spans="1:9">
      <c r="C260" s="633">
        <f>D201-C259-C104-C134+往来款台账!E6+往来款台账!E11</f>
        <v>35610000</v>
      </c>
    </row>
    <row r="262" spans="1:9">
      <c r="A262" s="632"/>
      <c r="C262" s="701"/>
      <c r="D262" s="702"/>
      <c r="F262" s="632"/>
      <c r="G262" s="632"/>
      <c r="H262" s="632"/>
    </row>
    <row r="265" spans="1:9">
      <c r="A265" s="632"/>
      <c r="C265" s="701"/>
      <c r="D265" s="634" t="s">
        <v>361</v>
      </c>
      <c r="F265" s="632"/>
      <c r="G265" s="632"/>
      <c r="H265" s="632"/>
    </row>
    <row r="266" spans="1:9">
      <c r="A266" s="632"/>
      <c r="C266" s="701"/>
      <c r="D266" s="702"/>
      <c r="F266" s="632"/>
      <c r="G266" s="632"/>
      <c r="H266" s="632"/>
    </row>
    <row r="268" spans="1:9">
      <c r="A268" s="632"/>
      <c r="C268" s="701"/>
      <c r="E268" s="703"/>
      <c r="F268" s="632"/>
      <c r="G268" s="632"/>
      <c r="H268" s="632"/>
    </row>
  </sheetData>
  <autoFilter ref="A1:IU257"/>
  <phoneticPr fontId="40" type="noConversion"/>
  <pageMargins left="0" right="0.196527777777778" top="0.196527777777778" bottom="0.15625" header="0.15625" footer="0.15625"/>
  <pageSetup paperSize="9" scale="85" orientation="landscape" useFirstPageNumber="1"/>
  <headerFooter alignWithMargins="0">
    <oddFooter>&amp;C第&amp;"Times New Roman,常规"&amp;P&amp;"宋体,常规"页&amp;"Times New Roman,常规"        &amp;"宋体,常规"共&amp;"Times New Roman,常规"&amp;N&amp;"宋体,常规"页</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R230"/>
  <sheetViews>
    <sheetView view="pageBreakPreview" zoomScaleNormal="100" zoomScaleSheetLayoutView="100" workbookViewId="0">
      <pane xSplit="3" ySplit="3" topLeftCell="D4" activePane="bottomRight" state="frozen"/>
      <selection pane="topRight"/>
      <selection pane="bottomLeft"/>
      <selection pane="bottomRight" activeCell="H158" sqref="H158"/>
    </sheetView>
  </sheetViews>
  <sheetFormatPr defaultColWidth="9" defaultRowHeight="14.25"/>
  <cols>
    <col min="1" max="1" width="10.125" style="495" customWidth="1"/>
    <col min="2" max="2" width="13.5" style="496" customWidth="1"/>
    <col min="3" max="3" width="9.5" style="496" customWidth="1"/>
    <col min="4" max="4" width="30.875" style="200" customWidth="1"/>
    <col min="5" max="5" width="26.125" style="497" customWidth="1"/>
    <col min="6" max="6" width="13.5" style="498" customWidth="1"/>
    <col min="7" max="7" width="13.5" style="499" customWidth="1"/>
    <col min="8" max="9" width="16.125" style="200" customWidth="1"/>
    <col min="10" max="10" width="14.125" style="200" customWidth="1"/>
    <col min="11" max="11" width="20.125" style="200" customWidth="1"/>
    <col min="12" max="12" width="9.875" style="200" customWidth="1"/>
    <col min="13" max="13" width="13.125" style="200" customWidth="1"/>
    <col min="14" max="14" width="9.125" style="496" customWidth="1"/>
    <col min="15" max="15" width="34" style="500" customWidth="1"/>
    <col min="16" max="16" width="12.625" style="501" customWidth="1"/>
    <col min="17" max="17" width="12.125" style="501" customWidth="1"/>
    <col min="18" max="16384" width="9" style="200"/>
  </cols>
  <sheetData>
    <row r="1" spans="1:18" ht="25.5">
      <c r="A1" s="717" t="s">
        <v>362</v>
      </c>
      <c r="B1" s="717"/>
      <c r="C1" s="717"/>
      <c r="D1" s="717"/>
      <c r="E1" s="717"/>
      <c r="F1" s="502"/>
      <c r="G1" s="502"/>
      <c r="H1" s="503"/>
      <c r="I1" s="503"/>
      <c r="J1" s="503"/>
      <c r="K1" s="503"/>
      <c r="L1" s="503"/>
      <c r="M1" s="503"/>
    </row>
    <row r="2" spans="1:18" ht="16.5" customHeight="1">
      <c r="A2" s="731"/>
      <c r="B2" s="731"/>
      <c r="C2" s="504"/>
      <c r="D2" s="505"/>
      <c r="E2" s="506"/>
      <c r="F2" s="390"/>
      <c r="G2" s="201"/>
      <c r="H2" s="505"/>
      <c r="I2" s="505"/>
      <c r="J2" s="505"/>
      <c r="K2" s="505"/>
      <c r="L2" s="732"/>
      <c r="M2" s="733"/>
    </row>
    <row r="3" spans="1:18" s="485" customFormat="1" ht="21" customHeight="1">
      <c r="A3" s="507" t="s">
        <v>363</v>
      </c>
      <c r="B3" s="508" t="s">
        <v>364</v>
      </c>
      <c r="C3" s="508" t="s">
        <v>365</v>
      </c>
      <c r="D3" s="508" t="s">
        <v>366</v>
      </c>
      <c r="E3" s="509" t="s">
        <v>100</v>
      </c>
      <c r="F3" s="508" t="s">
        <v>367</v>
      </c>
      <c r="G3" s="508" t="s">
        <v>368</v>
      </c>
      <c r="H3" s="508" t="s">
        <v>369</v>
      </c>
      <c r="I3" s="508" t="s">
        <v>370</v>
      </c>
      <c r="J3" s="508" t="s">
        <v>371</v>
      </c>
      <c r="K3" s="508" t="s">
        <v>372</v>
      </c>
      <c r="L3" s="529" t="s">
        <v>373</v>
      </c>
      <c r="M3" s="529" t="s">
        <v>374</v>
      </c>
      <c r="N3" s="530" t="s">
        <v>375</v>
      </c>
      <c r="O3" s="531" t="s">
        <v>376</v>
      </c>
      <c r="P3" s="532" t="s">
        <v>377</v>
      </c>
      <c r="Q3" s="532" t="s">
        <v>378</v>
      </c>
      <c r="R3" s="552" t="s">
        <v>102</v>
      </c>
    </row>
    <row r="4" spans="1:18" s="486" customFormat="1" ht="16.5" customHeight="1">
      <c r="A4" s="21" t="s">
        <v>103</v>
      </c>
      <c r="B4" s="22" t="s">
        <v>379</v>
      </c>
      <c r="C4" s="510" t="s">
        <v>380</v>
      </c>
      <c r="D4" s="18" t="s">
        <v>381</v>
      </c>
      <c r="E4" s="18" t="s">
        <v>382</v>
      </c>
      <c r="F4" s="20">
        <v>12055.17</v>
      </c>
      <c r="G4" s="24">
        <f t="shared" ref="G4:G6" si="0">F4+J4</f>
        <v>12055.17</v>
      </c>
      <c r="H4" s="25">
        <f t="shared" ref="H4:H7" ca="1" si="1">SUMIF(INDIRECT($K$213),A4,INDIRECT($K$214))</f>
        <v>12055.17</v>
      </c>
      <c r="I4" s="25">
        <f t="shared" ref="I4:I7" si="2">IF(G4&lt;&gt;0,G4,F4)</f>
        <v>12055.17</v>
      </c>
      <c r="J4" s="25">
        <v>0</v>
      </c>
      <c r="K4" s="46">
        <f t="shared" ref="K4" ca="1" si="3">SUMIF(INDIRECT($K$216),A4,INDIRECT($K$217))</f>
        <v>12055.17</v>
      </c>
      <c r="L4" s="533">
        <f t="shared" ref="L4:L7" ca="1" si="4">IF(G4&gt;0,K4/G4,K4/F4)</f>
        <v>1</v>
      </c>
      <c r="M4" s="534">
        <f t="shared" ref="M4:M7" ca="1" si="5">IF(G4&gt;0,G4-K4,F4-K4)</f>
        <v>0</v>
      </c>
      <c r="N4" s="535" t="s">
        <v>383</v>
      </c>
      <c r="O4" s="18" t="s">
        <v>384</v>
      </c>
    </row>
    <row r="5" spans="1:18" s="486" customFormat="1" ht="16.5" customHeight="1">
      <c r="A5" s="21" t="s">
        <v>106</v>
      </c>
      <c r="B5" s="22" t="s">
        <v>379</v>
      </c>
      <c r="C5" s="510" t="s">
        <v>385</v>
      </c>
      <c r="D5" s="18" t="s">
        <v>386</v>
      </c>
      <c r="E5" s="18" t="s">
        <v>382</v>
      </c>
      <c r="F5" s="20">
        <v>44110</v>
      </c>
      <c r="G5" s="24">
        <f t="shared" si="0"/>
        <v>44110</v>
      </c>
      <c r="H5" s="25">
        <f t="shared" ca="1" si="1"/>
        <v>44110</v>
      </c>
      <c r="I5" s="25">
        <f t="shared" si="2"/>
        <v>44110</v>
      </c>
      <c r="J5" s="25">
        <v>0</v>
      </c>
      <c r="K5" s="46">
        <f t="shared" ref="K5:K27" ca="1" si="6">SUMIF(INDIRECT($K$216),A5,INDIRECT($K$217))</f>
        <v>44110</v>
      </c>
      <c r="L5" s="533">
        <f t="shared" ca="1" si="4"/>
        <v>1</v>
      </c>
      <c r="M5" s="534">
        <f t="shared" ca="1" si="5"/>
        <v>0</v>
      </c>
      <c r="N5" s="535" t="s">
        <v>383</v>
      </c>
      <c r="O5" s="18" t="s">
        <v>387</v>
      </c>
    </row>
    <row r="6" spans="1:18" s="486" customFormat="1" ht="16.5" customHeight="1">
      <c r="A6" s="21" t="s">
        <v>108</v>
      </c>
      <c r="B6" s="22" t="s">
        <v>388</v>
      </c>
      <c r="C6" s="510" t="s">
        <v>389</v>
      </c>
      <c r="D6" s="18" t="s">
        <v>390</v>
      </c>
      <c r="E6" s="18" t="s">
        <v>391</v>
      </c>
      <c r="F6" s="20">
        <v>71820</v>
      </c>
      <c r="G6" s="24">
        <f t="shared" si="0"/>
        <v>102375</v>
      </c>
      <c r="H6" s="25">
        <f t="shared" ca="1" si="1"/>
        <v>102375</v>
      </c>
      <c r="I6" s="25">
        <f t="shared" si="2"/>
        <v>102375</v>
      </c>
      <c r="J6" s="25">
        <v>30555</v>
      </c>
      <c r="K6" s="46">
        <f t="shared" ca="1" si="6"/>
        <v>102375</v>
      </c>
      <c r="L6" s="533">
        <f t="shared" ca="1" si="4"/>
        <v>1</v>
      </c>
      <c r="M6" s="534">
        <f t="shared" ca="1" si="5"/>
        <v>0</v>
      </c>
      <c r="N6" s="535" t="s">
        <v>383</v>
      </c>
      <c r="O6" s="18" t="s">
        <v>392</v>
      </c>
    </row>
    <row r="7" spans="1:18" s="486" customFormat="1" ht="16.5" customHeight="1">
      <c r="A7" s="21" t="s">
        <v>110</v>
      </c>
      <c r="B7" s="22" t="s">
        <v>393</v>
      </c>
      <c r="C7" s="510" t="s">
        <v>394</v>
      </c>
      <c r="D7" s="18" t="s">
        <v>395</v>
      </c>
      <c r="E7" s="18" t="s">
        <v>396</v>
      </c>
      <c r="F7" s="20">
        <v>7800000</v>
      </c>
      <c r="G7" s="24">
        <f t="shared" ref="G7" si="7">F7+J7</f>
        <v>7800000</v>
      </c>
      <c r="H7" s="25">
        <f t="shared" ca="1" si="1"/>
        <v>6327629</v>
      </c>
      <c r="I7" s="25">
        <f t="shared" si="2"/>
        <v>7800000</v>
      </c>
      <c r="J7" s="25">
        <v>0</v>
      </c>
      <c r="K7" s="46">
        <f t="shared" ca="1" si="6"/>
        <v>6327629</v>
      </c>
      <c r="L7" s="533">
        <f t="shared" ca="1" si="4"/>
        <v>0.81123448717948721</v>
      </c>
      <c r="M7" s="534">
        <f t="shared" ca="1" si="5"/>
        <v>1472371</v>
      </c>
      <c r="N7" s="535" t="s">
        <v>383</v>
      </c>
      <c r="O7" s="18" t="s">
        <v>397</v>
      </c>
    </row>
    <row r="8" spans="1:18" s="486" customFormat="1" ht="16.5" customHeight="1">
      <c r="A8" s="21" t="s">
        <v>116</v>
      </c>
      <c r="B8" s="22" t="s">
        <v>393</v>
      </c>
      <c r="C8" s="510" t="s">
        <v>398</v>
      </c>
      <c r="D8" s="18" t="s">
        <v>399</v>
      </c>
      <c r="E8" s="18" t="s">
        <v>400</v>
      </c>
      <c r="F8" s="20">
        <v>366100000</v>
      </c>
      <c r="G8" s="24">
        <f t="shared" ref="G8:G18" si="8">F8+J8</f>
        <v>366100000</v>
      </c>
      <c r="H8" s="25">
        <f t="shared" ref="H8" ca="1" si="9">SUMIF(INDIRECT($K$213),A8,INDIRECT($K$214))</f>
        <v>366100000</v>
      </c>
      <c r="I8" s="25">
        <f t="shared" ref="I8" si="10">IF(G8&lt;&gt;0,G8,F8)</f>
        <v>366100000</v>
      </c>
      <c r="J8" s="25">
        <v>0</v>
      </c>
      <c r="K8" s="46">
        <f t="shared" ca="1" si="6"/>
        <v>366100000</v>
      </c>
      <c r="L8" s="533">
        <f t="shared" ref="L8" ca="1" si="11">IF(G8&gt;0,K8/G8,K8/F8)</f>
        <v>1</v>
      </c>
      <c r="M8" s="534">
        <f t="shared" ref="M8" ca="1" si="12">IF(G8&gt;0,G8-K8,F8-K8)</f>
        <v>0</v>
      </c>
      <c r="N8" s="535" t="s">
        <v>401</v>
      </c>
      <c r="O8" s="18" t="s">
        <v>402</v>
      </c>
    </row>
    <row r="9" spans="1:18" s="486" customFormat="1" ht="16.5" customHeight="1">
      <c r="A9" s="21" t="s">
        <v>120</v>
      </c>
      <c r="B9" s="22" t="s">
        <v>403</v>
      </c>
      <c r="C9" s="510" t="s">
        <v>404</v>
      </c>
      <c r="D9" s="18" t="s">
        <v>405</v>
      </c>
      <c r="E9" s="18" t="s">
        <v>400</v>
      </c>
      <c r="F9" s="20">
        <v>366100</v>
      </c>
      <c r="G9" s="24">
        <f t="shared" si="8"/>
        <v>366100</v>
      </c>
      <c r="H9" s="25">
        <f t="shared" ref="H9:H28" ca="1" si="13">SUMIF(INDIRECT($K$213),A9,INDIRECT($K$214))</f>
        <v>366100</v>
      </c>
      <c r="I9" s="25">
        <f t="shared" ref="I9:I25" si="14">IF(G9&lt;&gt;0,G9,F9)</f>
        <v>366100</v>
      </c>
      <c r="J9" s="25">
        <v>0</v>
      </c>
      <c r="K9" s="46">
        <f t="shared" ca="1" si="6"/>
        <v>366100</v>
      </c>
      <c r="L9" s="533">
        <f t="shared" ref="L9:L27" ca="1" si="15">IF(G9&gt;0,K9/G9,K9/F9)</f>
        <v>1</v>
      </c>
      <c r="M9" s="534">
        <f t="shared" ref="M9:M27" ca="1" si="16">IF(G9&gt;0,G9-K9,F9-K9)</f>
        <v>0</v>
      </c>
      <c r="N9" s="535" t="s">
        <v>401</v>
      </c>
      <c r="O9" s="18" t="s">
        <v>406</v>
      </c>
    </row>
    <row r="10" spans="1:18" s="486" customFormat="1" ht="16.5" customHeight="1">
      <c r="A10" s="21" t="s">
        <v>122</v>
      </c>
      <c r="B10" s="22" t="s">
        <v>123</v>
      </c>
      <c r="C10" s="510" t="s">
        <v>407</v>
      </c>
      <c r="D10" s="18" t="s">
        <v>408</v>
      </c>
      <c r="E10" s="18" t="s">
        <v>409</v>
      </c>
      <c r="F10" s="20">
        <v>10000</v>
      </c>
      <c r="G10" s="24">
        <f t="shared" si="8"/>
        <v>10000</v>
      </c>
      <c r="H10" s="25">
        <f t="shared" ca="1" si="13"/>
        <v>10000</v>
      </c>
      <c r="I10" s="25">
        <f t="shared" si="14"/>
        <v>10000</v>
      </c>
      <c r="J10" s="25">
        <v>0</v>
      </c>
      <c r="K10" s="46">
        <f t="shared" ca="1" si="6"/>
        <v>10000</v>
      </c>
      <c r="L10" s="533">
        <f t="shared" ca="1" si="15"/>
        <v>1</v>
      </c>
      <c r="M10" s="534">
        <f t="shared" ca="1" si="16"/>
        <v>0</v>
      </c>
      <c r="N10" s="535" t="s">
        <v>401</v>
      </c>
      <c r="O10" s="18" t="s">
        <v>406</v>
      </c>
    </row>
    <row r="11" spans="1:18" s="486" customFormat="1" ht="16.5" customHeight="1">
      <c r="A11" s="21" t="s">
        <v>124</v>
      </c>
      <c r="B11" s="22" t="s">
        <v>117</v>
      </c>
      <c r="C11" s="510" t="s">
        <v>404</v>
      </c>
      <c r="D11" s="18" t="s">
        <v>410</v>
      </c>
      <c r="E11" s="18" t="s">
        <v>411</v>
      </c>
      <c r="F11" s="20">
        <v>1464400</v>
      </c>
      <c r="G11" s="24">
        <f t="shared" si="8"/>
        <v>1464400</v>
      </c>
      <c r="H11" s="25">
        <f t="shared" ca="1" si="13"/>
        <v>1464400</v>
      </c>
      <c r="I11" s="25">
        <f t="shared" si="14"/>
        <v>1464400</v>
      </c>
      <c r="J11" s="25">
        <v>0</v>
      </c>
      <c r="K11" s="46">
        <f t="shared" ca="1" si="6"/>
        <v>1464400</v>
      </c>
      <c r="L11" s="533">
        <f t="shared" ca="1" si="15"/>
        <v>1</v>
      </c>
      <c r="M11" s="534">
        <f t="shared" ca="1" si="16"/>
        <v>0</v>
      </c>
      <c r="N11" s="535" t="s">
        <v>401</v>
      </c>
      <c r="O11" s="18" t="s">
        <v>406</v>
      </c>
    </row>
    <row r="12" spans="1:18" s="486" customFormat="1" ht="16.5" customHeight="1">
      <c r="A12" s="21" t="s">
        <v>125</v>
      </c>
      <c r="B12" s="22" t="s">
        <v>117</v>
      </c>
      <c r="C12" s="510" t="s">
        <v>404</v>
      </c>
      <c r="D12" s="18" t="s">
        <v>412</v>
      </c>
      <c r="E12" s="18" t="s">
        <v>411</v>
      </c>
      <c r="F12" s="20">
        <v>732200</v>
      </c>
      <c r="G12" s="24">
        <f t="shared" si="8"/>
        <v>732200</v>
      </c>
      <c r="H12" s="25">
        <f t="shared" ca="1" si="13"/>
        <v>732200</v>
      </c>
      <c r="I12" s="25">
        <f t="shared" si="14"/>
        <v>732200</v>
      </c>
      <c r="J12" s="25">
        <v>0</v>
      </c>
      <c r="K12" s="46">
        <f t="shared" ca="1" si="6"/>
        <v>732200</v>
      </c>
      <c r="L12" s="533">
        <f t="shared" ca="1" si="15"/>
        <v>1</v>
      </c>
      <c r="M12" s="534">
        <f t="shared" ca="1" si="16"/>
        <v>0</v>
      </c>
      <c r="N12" s="535" t="s">
        <v>401</v>
      </c>
      <c r="O12" s="18" t="s">
        <v>406</v>
      </c>
    </row>
    <row r="13" spans="1:18" s="486" customFormat="1" ht="16.5" customHeight="1">
      <c r="A13" s="21" t="s">
        <v>126</v>
      </c>
      <c r="B13" s="22" t="s">
        <v>127</v>
      </c>
      <c r="C13" s="510" t="s">
        <v>413</v>
      </c>
      <c r="D13" s="18" t="s">
        <v>414</v>
      </c>
      <c r="E13" s="18" t="s">
        <v>415</v>
      </c>
      <c r="F13" s="20">
        <v>14644000</v>
      </c>
      <c r="G13" s="24">
        <f t="shared" si="8"/>
        <v>14644000</v>
      </c>
      <c r="H13" s="25">
        <f t="shared" ca="1" si="13"/>
        <v>14644000</v>
      </c>
      <c r="I13" s="25">
        <f t="shared" si="14"/>
        <v>14644000</v>
      </c>
      <c r="J13" s="25">
        <v>0</v>
      </c>
      <c r="K13" s="46">
        <f t="shared" ca="1" si="6"/>
        <v>14644000</v>
      </c>
      <c r="L13" s="533">
        <f t="shared" ca="1" si="15"/>
        <v>1</v>
      </c>
      <c r="M13" s="534">
        <f t="shared" ca="1" si="16"/>
        <v>0</v>
      </c>
      <c r="N13" s="535" t="s">
        <v>401</v>
      </c>
      <c r="O13" s="18" t="s">
        <v>406</v>
      </c>
    </row>
    <row r="14" spans="1:18" s="486" customFormat="1" ht="16.5" customHeight="1">
      <c r="A14" s="21" t="s">
        <v>128</v>
      </c>
      <c r="B14" s="22" t="s">
        <v>416</v>
      </c>
      <c r="C14" s="510" t="s">
        <v>385</v>
      </c>
      <c r="D14" s="18" t="s">
        <v>417</v>
      </c>
      <c r="E14" s="18" t="s">
        <v>418</v>
      </c>
      <c r="F14" s="20">
        <v>12600</v>
      </c>
      <c r="G14" s="24">
        <f t="shared" si="8"/>
        <v>12600</v>
      </c>
      <c r="H14" s="25">
        <f t="shared" ca="1" si="13"/>
        <v>12600</v>
      </c>
      <c r="I14" s="25">
        <f t="shared" si="14"/>
        <v>12600</v>
      </c>
      <c r="J14" s="25">
        <v>0</v>
      </c>
      <c r="K14" s="46">
        <f t="shared" ca="1" si="6"/>
        <v>12600</v>
      </c>
      <c r="L14" s="533">
        <f t="shared" ca="1" si="15"/>
        <v>1</v>
      </c>
      <c r="M14" s="534">
        <f t="shared" ca="1" si="16"/>
        <v>0</v>
      </c>
      <c r="N14" s="535" t="s">
        <v>401</v>
      </c>
      <c r="O14" s="18" t="s">
        <v>406</v>
      </c>
    </row>
    <row r="15" spans="1:18" s="486" customFormat="1" ht="16.5" customHeight="1">
      <c r="A15" s="21" t="s">
        <v>130</v>
      </c>
      <c r="B15" s="22" t="s">
        <v>419</v>
      </c>
      <c r="C15" s="510" t="s">
        <v>385</v>
      </c>
      <c r="D15" s="18" t="s">
        <v>420</v>
      </c>
      <c r="E15" s="18" t="s">
        <v>382</v>
      </c>
      <c r="F15" s="20">
        <v>61713</v>
      </c>
      <c r="G15" s="24">
        <f t="shared" si="8"/>
        <v>61713</v>
      </c>
      <c r="H15" s="25">
        <f t="shared" ca="1" si="13"/>
        <v>61713</v>
      </c>
      <c r="I15" s="25">
        <f t="shared" si="14"/>
        <v>61713</v>
      </c>
      <c r="J15" s="25">
        <v>0</v>
      </c>
      <c r="K15" s="46">
        <f t="shared" ca="1" si="6"/>
        <v>61713</v>
      </c>
      <c r="L15" s="533">
        <f t="shared" ca="1" si="15"/>
        <v>1</v>
      </c>
      <c r="M15" s="534">
        <f t="shared" ca="1" si="16"/>
        <v>0</v>
      </c>
      <c r="N15" s="535" t="s">
        <v>401</v>
      </c>
      <c r="O15" s="18" t="s">
        <v>406</v>
      </c>
    </row>
    <row r="16" spans="1:18" s="486" customFormat="1" ht="16.5" customHeight="1">
      <c r="A16" s="21" t="s">
        <v>131</v>
      </c>
      <c r="B16" s="22" t="s">
        <v>421</v>
      </c>
      <c r="C16" s="510" t="s">
        <v>422</v>
      </c>
      <c r="D16" s="18" t="s">
        <v>423</v>
      </c>
      <c r="E16" s="18" t="s">
        <v>424</v>
      </c>
      <c r="F16" s="20">
        <v>8280192</v>
      </c>
      <c r="G16" s="24">
        <f t="shared" si="8"/>
        <v>8280192</v>
      </c>
      <c r="H16" s="25">
        <f t="shared" ca="1" si="13"/>
        <v>3312076.7999999998</v>
      </c>
      <c r="I16" s="25">
        <f t="shared" si="14"/>
        <v>8280192</v>
      </c>
      <c r="J16" s="25">
        <v>0</v>
      </c>
      <c r="K16" s="46">
        <f t="shared" ca="1" si="6"/>
        <v>3312076.7999999998</v>
      </c>
      <c r="L16" s="533">
        <f t="shared" ca="1" si="15"/>
        <v>0.39999999999999997</v>
      </c>
      <c r="M16" s="534">
        <f t="shared" ca="1" si="16"/>
        <v>4968115.2</v>
      </c>
      <c r="N16" s="535" t="s">
        <v>401</v>
      </c>
      <c r="O16" s="18" t="s">
        <v>425</v>
      </c>
      <c r="R16" s="4" t="s">
        <v>426</v>
      </c>
    </row>
    <row r="17" spans="1:17" s="486" customFormat="1" ht="16.5" customHeight="1">
      <c r="A17" s="21" t="s">
        <v>134</v>
      </c>
      <c r="B17" s="22" t="s">
        <v>427</v>
      </c>
      <c r="C17" s="510" t="s">
        <v>428</v>
      </c>
      <c r="D17" s="18" t="s">
        <v>429</v>
      </c>
      <c r="E17" s="18" t="s">
        <v>430</v>
      </c>
      <c r="F17" s="20">
        <v>1000</v>
      </c>
      <c r="G17" s="24">
        <f t="shared" si="8"/>
        <v>1000</v>
      </c>
      <c r="H17" s="25">
        <f t="shared" ca="1" si="13"/>
        <v>1000</v>
      </c>
      <c r="I17" s="25">
        <f t="shared" si="14"/>
        <v>1000</v>
      </c>
      <c r="J17" s="25">
        <v>0</v>
      </c>
      <c r="K17" s="46">
        <f t="shared" ca="1" si="6"/>
        <v>1000</v>
      </c>
      <c r="L17" s="533">
        <f t="shared" ca="1" si="15"/>
        <v>1</v>
      </c>
      <c r="M17" s="534">
        <f t="shared" ca="1" si="16"/>
        <v>0</v>
      </c>
      <c r="N17" s="535" t="s">
        <v>401</v>
      </c>
      <c r="O17" s="18" t="s">
        <v>406</v>
      </c>
    </row>
    <row r="18" spans="1:17" s="486" customFormat="1" ht="25.5" customHeight="1">
      <c r="A18" s="21" t="s">
        <v>244</v>
      </c>
      <c r="B18" s="22" t="s">
        <v>431</v>
      </c>
      <c r="C18" s="510" t="s">
        <v>432</v>
      </c>
      <c r="D18" s="18" t="s">
        <v>433</v>
      </c>
      <c r="E18" s="18" t="s">
        <v>434</v>
      </c>
      <c r="F18" s="20">
        <v>300000</v>
      </c>
      <c r="G18" s="24">
        <f t="shared" si="8"/>
        <v>300000</v>
      </c>
      <c r="H18" s="25">
        <f t="shared" ca="1" si="13"/>
        <v>140000</v>
      </c>
      <c r="I18" s="25">
        <f t="shared" si="14"/>
        <v>300000</v>
      </c>
      <c r="J18" s="25">
        <v>0</v>
      </c>
      <c r="K18" s="46">
        <f t="shared" ca="1" si="6"/>
        <v>140000</v>
      </c>
      <c r="L18" s="533">
        <f t="shared" ca="1" si="15"/>
        <v>0.46666666666666667</v>
      </c>
      <c r="M18" s="534">
        <f t="shared" ca="1" si="16"/>
        <v>160000</v>
      </c>
      <c r="N18" s="535" t="s">
        <v>435</v>
      </c>
      <c r="O18" s="18" t="s">
        <v>436</v>
      </c>
    </row>
    <row r="19" spans="1:17" s="486" customFormat="1" ht="16.5" customHeight="1">
      <c r="A19" s="21" t="s">
        <v>136</v>
      </c>
      <c r="B19" s="22" t="s">
        <v>437</v>
      </c>
      <c r="C19" s="510" t="s">
        <v>438</v>
      </c>
      <c r="D19" s="18" t="s">
        <v>439</v>
      </c>
      <c r="E19" s="18" t="s">
        <v>440</v>
      </c>
      <c r="F19" s="20">
        <v>6750000</v>
      </c>
      <c r="G19" s="24">
        <v>6750000</v>
      </c>
      <c r="H19" s="25">
        <f t="shared" ca="1" si="13"/>
        <v>4649988</v>
      </c>
      <c r="I19" s="25">
        <f t="shared" si="14"/>
        <v>6750000</v>
      </c>
      <c r="J19" s="25">
        <v>0</v>
      </c>
      <c r="K19" s="46">
        <f t="shared" ca="1" si="6"/>
        <v>4649988</v>
      </c>
      <c r="L19" s="533">
        <f t="shared" ca="1" si="15"/>
        <v>0.68888711111111112</v>
      </c>
      <c r="M19" s="534">
        <f t="shared" ca="1" si="16"/>
        <v>2100012</v>
      </c>
      <c r="N19" s="535" t="s">
        <v>383</v>
      </c>
      <c r="O19" s="18"/>
    </row>
    <row r="20" spans="1:17" s="486" customFormat="1" ht="16.5" customHeight="1">
      <c r="A20" s="21" t="s">
        <v>138</v>
      </c>
      <c r="B20" s="22" t="s">
        <v>109</v>
      </c>
      <c r="C20" s="510" t="s">
        <v>441</v>
      </c>
      <c r="D20" s="18" t="s">
        <v>442</v>
      </c>
      <c r="E20" s="18" t="s">
        <v>443</v>
      </c>
      <c r="F20" s="20">
        <v>11967564.17</v>
      </c>
      <c r="G20" s="24">
        <f>F20+J20</f>
        <v>11967564.17</v>
      </c>
      <c r="H20" s="25">
        <f t="shared" ca="1" si="13"/>
        <v>11967564.17</v>
      </c>
      <c r="I20" s="25">
        <f t="shared" si="14"/>
        <v>11967564.17</v>
      </c>
      <c r="J20" s="25">
        <v>0</v>
      </c>
      <c r="K20" s="46">
        <f t="shared" ca="1" si="6"/>
        <v>11967564.17</v>
      </c>
      <c r="L20" s="533">
        <f t="shared" ca="1" si="15"/>
        <v>1</v>
      </c>
      <c r="M20" s="534">
        <f t="shared" ca="1" si="16"/>
        <v>0</v>
      </c>
      <c r="N20" s="535" t="s">
        <v>444</v>
      </c>
      <c r="O20" s="18" t="s">
        <v>406</v>
      </c>
    </row>
    <row r="21" spans="1:17" s="486" customFormat="1" ht="16.5" customHeight="1">
      <c r="A21" s="36" t="s">
        <v>145</v>
      </c>
      <c r="B21" s="511" t="s">
        <v>445</v>
      </c>
      <c r="C21" s="512" t="s">
        <v>446</v>
      </c>
      <c r="D21" s="37" t="s">
        <v>447</v>
      </c>
      <c r="E21" s="37" t="s">
        <v>448</v>
      </c>
      <c r="F21" s="513">
        <v>0</v>
      </c>
      <c r="G21" s="514">
        <v>0</v>
      </c>
      <c r="H21" s="515">
        <f t="shared" ca="1" si="13"/>
        <v>0</v>
      </c>
      <c r="I21" s="25">
        <f t="shared" si="14"/>
        <v>0</v>
      </c>
      <c r="J21" s="25">
        <v>0</v>
      </c>
      <c r="K21" s="46">
        <f t="shared" ca="1" si="6"/>
        <v>0</v>
      </c>
      <c r="L21" s="533" t="e">
        <f t="shared" ca="1" si="15"/>
        <v>#DIV/0!</v>
      </c>
      <c r="M21" s="534">
        <f t="shared" ca="1" si="16"/>
        <v>0</v>
      </c>
      <c r="N21" s="535" t="s">
        <v>449</v>
      </c>
      <c r="O21" s="18" t="s">
        <v>406</v>
      </c>
    </row>
    <row r="22" spans="1:17" s="486" customFormat="1" ht="16.5" customHeight="1">
      <c r="A22" s="21" t="s">
        <v>139</v>
      </c>
      <c r="B22" s="22" t="s">
        <v>450</v>
      </c>
      <c r="C22" s="510" t="s">
        <v>446</v>
      </c>
      <c r="D22" s="18" t="s">
        <v>451</v>
      </c>
      <c r="E22" s="18" t="s">
        <v>452</v>
      </c>
      <c r="F22" s="20">
        <v>320</v>
      </c>
      <c r="G22" s="24">
        <v>320</v>
      </c>
      <c r="H22" s="25">
        <f t="shared" ca="1" si="13"/>
        <v>320</v>
      </c>
      <c r="I22" s="25">
        <f t="shared" si="14"/>
        <v>320</v>
      </c>
      <c r="J22" s="25">
        <v>0</v>
      </c>
      <c r="K22" s="46">
        <f t="shared" ca="1" si="6"/>
        <v>320</v>
      </c>
      <c r="L22" s="533">
        <f t="shared" ca="1" si="15"/>
        <v>1</v>
      </c>
      <c r="M22" s="534">
        <f t="shared" ca="1" si="16"/>
        <v>0</v>
      </c>
      <c r="N22" s="535" t="s">
        <v>453</v>
      </c>
      <c r="O22" s="18" t="s">
        <v>406</v>
      </c>
    </row>
    <row r="23" spans="1:17" s="486" customFormat="1" ht="16.5" customHeight="1">
      <c r="A23" s="21" t="s">
        <v>141</v>
      </c>
      <c r="B23" s="22" t="s">
        <v>454</v>
      </c>
      <c r="C23" s="510" t="s">
        <v>446</v>
      </c>
      <c r="D23" s="18" t="s">
        <v>455</v>
      </c>
      <c r="E23" s="18" t="s">
        <v>456</v>
      </c>
      <c r="F23" s="20">
        <v>840</v>
      </c>
      <c r="G23" s="24">
        <v>840</v>
      </c>
      <c r="H23" s="25">
        <f t="shared" ca="1" si="13"/>
        <v>840</v>
      </c>
      <c r="I23" s="25">
        <f t="shared" si="14"/>
        <v>840</v>
      </c>
      <c r="J23" s="25">
        <v>0</v>
      </c>
      <c r="K23" s="46">
        <f t="shared" ca="1" si="6"/>
        <v>840</v>
      </c>
      <c r="L23" s="533">
        <f t="shared" ca="1" si="15"/>
        <v>1</v>
      </c>
      <c r="M23" s="534">
        <f t="shared" ca="1" si="16"/>
        <v>0</v>
      </c>
      <c r="N23" s="535" t="s">
        <v>453</v>
      </c>
      <c r="O23" s="18" t="s">
        <v>406</v>
      </c>
    </row>
    <row r="24" spans="1:17" s="486" customFormat="1" ht="16.5" customHeight="1">
      <c r="A24" s="21" t="s">
        <v>142</v>
      </c>
      <c r="B24" s="22" t="s">
        <v>457</v>
      </c>
      <c r="C24" s="510" t="s">
        <v>428</v>
      </c>
      <c r="D24" s="18" t="s">
        <v>458</v>
      </c>
      <c r="E24" s="18" t="s">
        <v>459</v>
      </c>
      <c r="F24" s="20">
        <v>390</v>
      </c>
      <c r="G24" s="24">
        <v>390</v>
      </c>
      <c r="H24" s="25">
        <f t="shared" ca="1" si="13"/>
        <v>390</v>
      </c>
      <c r="I24" s="25">
        <f t="shared" si="14"/>
        <v>390</v>
      </c>
      <c r="J24" s="25">
        <v>0</v>
      </c>
      <c r="K24" s="46">
        <f t="shared" ca="1" si="6"/>
        <v>390</v>
      </c>
      <c r="L24" s="533">
        <f t="shared" ca="1" si="15"/>
        <v>1</v>
      </c>
      <c r="M24" s="534">
        <f t="shared" ca="1" si="16"/>
        <v>0</v>
      </c>
      <c r="N24" s="535" t="s">
        <v>460</v>
      </c>
      <c r="O24" s="18" t="s">
        <v>406</v>
      </c>
      <c r="P24" s="536"/>
      <c r="Q24" s="536"/>
    </row>
    <row r="25" spans="1:17" ht="16.5" customHeight="1">
      <c r="A25" s="21" t="s">
        <v>143</v>
      </c>
      <c r="B25" s="22" t="s">
        <v>461</v>
      </c>
      <c r="C25" s="510" t="s">
        <v>428</v>
      </c>
      <c r="D25" s="18" t="s">
        <v>429</v>
      </c>
      <c r="E25" s="18" t="s">
        <v>462</v>
      </c>
      <c r="F25" s="20">
        <v>1000</v>
      </c>
      <c r="G25" s="24">
        <f t="shared" ref="G25:G27" si="17">F25+J25</f>
        <v>1000</v>
      </c>
      <c r="H25" s="25">
        <f t="shared" ca="1" si="13"/>
        <v>1000</v>
      </c>
      <c r="I25" s="25">
        <f t="shared" si="14"/>
        <v>1000</v>
      </c>
      <c r="J25" s="25">
        <v>0</v>
      </c>
      <c r="K25" s="46">
        <f t="shared" ca="1" si="6"/>
        <v>1000</v>
      </c>
      <c r="L25" s="533">
        <f t="shared" ca="1" si="15"/>
        <v>1</v>
      </c>
      <c r="M25" s="534">
        <f t="shared" ca="1" si="16"/>
        <v>0</v>
      </c>
      <c r="N25" s="535" t="s">
        <v>401</v>
      </c>
      <c r="O25" s="18" t="s">
        <v>406</v>
      </c>
    </row>
    <row r="26" spans="1:17" ht="16.5" customHeight="1">
      <c r="A26" s="21" t="s">
        <v>198</v>
      </c>
      <c r="B26" s="22" t="s">
        <v>463</v>
      </c>
      <c r="C26" s="510" t="s">
        <v>464</v>
      </c>
      <c r="D26" s="18" t="s">
        <v>465</v>
      </c>
      <c r="E26" s="18" t="s">
        <v>466</v>
      </c>
      <c r="F26" s="20">
        <v>30000</v>
      </c>
      <c r="G26" s="24">
        <f t="shared" si="17"/>
        <v>30000</v>
      </c>
      <c r="H26" s="25">
        <f t="shared" ca="1" si="13"/>
        <v>30000</v>
      </c>
      <c r="I26" s="25">
        <f t="shared" ref="I26:I27" si="18">IF(G26&lt;&gt;0,G26,F26)</f>
        <v>30000</v>
      </c>
      <c r="J26" s="25">
        <v>0</v>
      </c>
      <c r="K26" s="46">
        <f t="shared" ca="1" si="6"/>
        <v>30000</v>
      </c>
      <c r="L26" s="533">
        <f t="shared" ca="1" si="15"/>
        <v>1</v>
      </c>
      <c r="M26" s="534">
        <f t="shared" ca="1" si="16"/>
        <v>0</v>
      </c>
      <c r="N26" s="535" t="s">
        <v>401</v>
      </c>
      <c r="O26" s="18" t="s">
        <v>406</v>
      </c>
    </row>
    <row r="27" spans="1:17" s="486" customFormat="1" ht="16.5" customHeight="1">
      <c r="A27" s="21" t="s">
        <v>317</v>
      </c>
      <c r="B27" s="22" t="s">
        <v>467</v>
      </c>
      <c r="C27" s="510" t="s">
        <v>422</v>
      </c>
      <c r="D27" s="18" t="s">
        <v>468</v>
      </c>
      <c r="E27" s="18" t="s">
        <v>424</v>
      </c>
      <c r="F27" s="24">
        <v>477650</v>
      </c>
      <c r="G27" s="24">
        <f t="shared" si="17"/>
        <v>477650</v>
      </c>
      <c r="H27" s="25">
        <f t="shared" ca="1" si="13"/>
        <v>280000</v>
      </c>
      <c r="I27" s="25">
        <f t="shared" si="18"/>
        <v>477650</v>
      </c>
      <c r="J27" s="25">
        <v>0</v>
      </c>
      <c r="K27" s="46">
        <f t="shared" ca="1" si="6"/>
        <v>280000</v>
      </c>
      <c r="L27" s="533">
        <f t="shared" ca="1" si="15"/>
        <v>0.58620328692557311</v>
      </c>
      <c r="M27" s="534">
        <f t="shared" ca="1" si="16"/>
        <v>197650</v>
      </c>
      <c r="N27" s="535"/>
      <c r="O27" s="18" t="s">
        <v>406</v>
      </c>
      <c r="P27" s="536"/>
      <c r="Q27" s="536"/>
    </row>
    <row r="28" spans="1:17" s="486" customFormat="1" ht="16.5" customHeight="1">
      <c r="A28" s="21" t="s">
        <v>469</v>
      </c>
      <c r="B28" s="22" t="s">
        <v>242</v>
      </c>
      <c r="C28" s="510" t="s">
        <v>470</v>
      </c>
      <c r="D28" s="18" t="s">
        <v>471</v>
      </c>
      <c r="E28" s="516" t="s">
        <v>472</v>
      </c>
      <c r="F28" s="24">
        <v>131400</v>
      </c>
      <c r="G28" s="24">
        <f t="shared" ref="G28" si="19">F28+J28</f>
        <v>131400</v>
      </c>
      <c r="H28" s="25">
        <f t="shared" ca="1" si="13"/>
        <v>131400</v>
      </c>
      <c r="I28" s="25">
        <f t="shared" ref="I28" si="20">IF(G28&lt;&gt;0,G28,F28)</f>
        <v>131400</v>
      </c>
      <c r="J28" s="25">
        <v>0</v>
      </c>
      <c r="K28" s="46">
        <f t="shared" ref="K28" ca="1" si="21">SUMIF(INDIRECT($K$216),A28,INDIRECT($K$217))</f>
        <v>131400</v>
      </c>
      <c r="L28" s="533">
        <f t="shared" ref="L28" ca="1" si="22">IF(G28&gt;0,K28/G28,K28/F28)</f>
        <v>1</v>
      </c>
      <c r="M28" s="534">
        <f t="shared" ref="M28" ca="1" si="23">IF(G28&gt;0,G28-K28,F28-K28)</f>
        <v>0</v>
      </c>
      <c r="N28" s="535" t="s">
        <v>401</v>
      </c>
      <c r="O28" s="18" t="s">
        <v>406</v>
      </c>
      <c r="P28" s="536"/>
      <c r="Q28" s="536"/>
    </row>
    <row r="29" spans="1:17" s="486" customFormat="1" ht="16.5" customHeight="1">
      <c r="A29" s="21" t="s">
        <v>473</v>
      </c>
      <c r="B29" s="22" t="s">
        <v>242</v>
      </c>
      <c r="C29" s="510" t="s">
        <v>470</v>
      </c>
      <c r="D29" s="18" t="s">
        <v>474</v>
      </c>
      <c r="E29" s="516" t="s">
        <v>472</v>
      </c>
      <c r="F29" s="24">
        <v>264625</v>
      </c>
      <c r="G29" s="24">
        <f t="shared" ref="G29:G35" si="24">F29+J29</f>
        <v>264625</v>
      </c>
      <c r="H29" s="25">
        <f t="shared" ref="H29" ca="1" si="25">SUMIF(INDIRECT($K$213),A29,INDIRECT($K$214))</f>
        <v>264625</v>
      </c>
      <c r="I29" s="25">
        <f t="shared" ref="I29" si="26">IF(G29&lt;&gt;0,G29,F29)</f>
        <v>264625</v>
      </c>
      <c r="J29" s="25">
        <v>0</v>
      </c>
      <c r="K29" s="46">
        <f t="shared" ref="K29" ca="1" si="27">SUMIF(INDIRECT($K$216),A29,INDIRECT($K$217))</f>
        <v>264625</v>
      </c>
      <c r="L29" s="533">
        <f t="shared" ref="L29" ca="1" si="28">IF(G29&gt;0,K29/G29,K29/F29)</f>
        <v>1</v>
      </c>
      <c r="M29" s="534">
        <f t="shared" ref="M29" ca="1" si="29">IF(G29&gt;0,G29-K29,F29-K29)</f>
        <v>0</v>
      </c>
      <c r="N29" s="535" t="s">
        <v>401</v>
      </c>
      <c r="O29" s="18" t="s">
        <v>406</v>
      </c>
      <c r="P29" s="536"/>
      <c r="Q29" s="536"/>
    </row>
    <row r="30" spans="1:17" s="486" customFormat="1" ht="16.5" customHeight="1">
      <c r="A30" s="517" t="s">
        <v>248</v>
      </c>
      <c r="B30" s="22" t="s">
        <v>249</v>
      </c>
      <c r="C30" s="510" t="s">
        <v>446</v>
      </c>
      <c r="D30" s="18" t="s">
        <v>475</v>
      </c>
      <c r="E30" s="516" t="s">
        <v>476</v>
      </c>
      <c r="F30" s="24">
        <v>0</v>
      </c>
      <c r="G30" s="24">
        <f t="shared" si="24"/>
        <v>0</v>
      </c>
      <c r="H30" s="25">
        <f t="shared" ref="H30:H36" ca="1" si="30">SUMIF(INDIRECT($K$213),A30,INDIRECT($K$214))</f>
        <v>0</v>
      </c>
      <c r="I30" s="25">
        <f t="shared" ref="I30:I35" si="31">IF(G30&lt;&gt;0,G30,F30)</f>
        <v>0</v>
      </c>
      <c r="J30" s="25">
        <v>0</v>
      </c>
      <c r="K30" s="46">
        <f t="shared" ref="K30:K35" ca="1" si="32">SUMIF(INDIRECT($K$216),A30,INDIRECT($K$217))</f>
        <v>0</v>
      </c>
      <c r="L30" s="533" t="e">
        <f t="shared" ref="L30:L35" ca="1" si="33">IF(G30&gt;0,K30/G30,K30/F30)</f>
        <v>#DIV/0!</v>
      </c>
      <c r="M30" s="534">
        <f t="shared" ref="M30:M35" ca="1" si="34">IF(G30&gt;0,G30-K30,F30-K30)</f>
        <v>0</v>
      </c>
      <c r="N30" s="535"/>
      <c r="O30" s="18"/>
      <c r="P30" s="536"/>
      <c r="Q30" s="536"/>
    </row>
    <row r="31" spans="1:17" s="486" customFormat="1" ht="16.5" customHeight="1">
      <c r="A31" s="518" t="s">
        <v>250</v>
      </c>
      <c r="B31" s="22" t="s">
        <v>249</v>
      </c>
      <c r="C31" s="510" t="s">
        <v>428</v>
      </c>
      <c r="D31" s="18" t="s">
        <v>477</v>
      </c>
      <c r="E31" s="516" t="s">
        <v>478</v>
      </c>
      <c r="F31" s="24">
        <v>240</v>
      </c>
      <c r="G31" s="24">
        <f t="shared" si="24"/>
        <v>240</v>
      </c>
      <c r="H31" s="25">
        <f t="shared" ca="1" si="30"/>
        <v>240</v>
      </c>
      <c r="I31" s="25">
        <f t="shared" si="31"/>
        <v>240</v>
      </c>
      <c r="J31" s="25">
        <v>0</v>
      </c>
      <c r="K31" s="46">
        <f t="shared" ca="1" si="32"/>
        <v>240</v>
      </c>
      <c r="L31" s="533">
        <f t="shared" ca="1" si="33"/>
        <v>1</v>
      </c>
      <c r="M31" s="534">
        <f t="shared" ca="1" si="34"/>
        <v>0</v>
      </c>
      <c r="N31" s="535"/>
      <c r="O31" s="18" t="s">
        <v>406</v>
      </c>
      <c r="P31" s="536"/>
      <c r="Q31" s="536"/>
    </row>
    <row r="32" spans="1:17" s="486" customFormat="1" ht="16.5" customHeight="1">
      <c r="A32" s="518" t="s">
        <v>251</v>
      </c>
      <c r="B32" s="22" t="s">
        <v>249</v>
      </c>
      <c r="C32" s="510" t="s">
        <v>479</v>
      </c>
      <c r="D32" s="18" t="s">
        <v>480</v>
      </c>
      <c r="E32" s="516" t="s">
        <v>481</v>
      </c>
      <c r="F32" s="24">
        <v>2000</v>
      </c>
      <c r="G32" s="24">
        <f t="shared" si="24"/>
        <v>2000</v>
      </c>
      <c r="H32" s="25">
        <f t="shared" ca="1" si="30"/>
        <v>2000</v>
      </c>
      <c r="I32" s="25">
        <f t="shared" si="31"/>
        <v>2000</v>
      </c>
      <c r="J32" s="25">
        <v>0</v>
      </c>
      <c r="K32" s="46">
        <f t="shared" ca="1" si="32"/>
        <v>2000</v>
      </c>
      <c r="L32" s="533">
        <f t="shared" ca="1" si="33"/>
        <v>1</v>
      </c>
      <c r="M32" s="534">
        <f t="shared" ca="1" si="34"/>
        <v>0</v>
      </c>
      <c r="N32" s="535"/>
      <c r="O32" s="18" t="s">
        <v>406</v>
      </c>
      <c r="P32" s="536"/>
      <c r="Q32" s="536"/>
    </row>
    <row r="33" spans="1:17" s="486" customFormat="1" ht="16.5" customHeight="1">
      <c r="A33" s="518" t="s">
        <v>252</v>
      </c>
      <c r="B33" s="22" t="s">
        <v>249</v>
      </c>
      <c r="C33" s="510" t="s">
        <v>428</v>
      </c>
      <c r="D33" s="18" t="s">
        <v>482</v>
      </c>
      <c r="E33" s="516" t="s">
        <v>483</v>
      </c>
      <c r="F33" s="24">
        <v>120</v>
      </c>
      <c r="G33" s="24">
        <f t="shared" si="24"/>
        <v>120</v>
      </c>
      <c r="H33" s="25">
        <f t="shared" ca="1" si="30"/>
        <v>120</v>
      </c>
      <c r="I33" s="25">
        <f t="shared" si="31"/>
        <v>120</v>
      </c>
      <c r="J33" s="25">
        <v>0</v>
      </c>
      <c r="K33" s="46">
        <f t="shared" ca="1" si="32"/>
        <v>120</v>
      </c>
      <c r="L33" s="533">
        <f t="shared" ca="1" si="33"/>
        <v>1</v>
      </c>
      <c r="M33" s="534">
        <f t="shared" ca="1" si="34"/>
        <v>0</v>
      </c>
      <c r="N33" s="535"/>
      <c r="O33" s="18" t="s">
        <v>406</v>
      </c>
      <c r="P33" s="536"/>
      <c r="Q33" s="536"/>
    </row>
    <row r="34" spans="1:17" s="486" customFormat="1" ht="26.25" customHeight="1">
      <c r="A34" s="517" t="s">
        <v>255</v>
      </c>
      <c r="B34" s="22" t="s">
        <v>484</v>
      </c>
      <c r="C34" s="510" t="s">
        <v>446</v>
      </c>
      <c r="D34" s="18" t="s">
        <v>485</v>
      </c>
      <c r="E34" s="516" t="s">
        <v>486</v>
      </c>
      <c r="F34" s="24">
        <v>0</v>
      </c>
      <c r="G34" s="24">
        <f t="shared" si="24"/>
        <v>0</v>
      </c>
      <c r="H34" s="25">
        <f t="shared" ca="1" si="30"/>
        <v>0</v>
      </c>
      <c r="I34" s="25">
        <f t="shared" si="31"/>
        <v>0</v>
      </c>
      <c r="J34" s="25">
        <v>0</v>
      </c>
      <c r="K34" s="46">
        <f t="shared" ca="1" si="32"/>
        <v>0</v>
      </c>
      <c r="L34" s="533" t="e">
        <f t="shared" ca="1" si="33"/>
        <v>#DIV/0!</v>
      </c>
      <c r="M34" s="534">
        <f t="shared" ca="1" si="34"/>
        <v>0</v>
      </c>
      <c r="N34" s="535" t="s">
        <v>487</v>
      </c>
      <c r="O34" s="18" t="s">
        <v>406</v>
      </c>
      <c r="P34" s="536"/>
      <c r="Q34" s="536"/>
    </row>
    <row r="35" spans="1:17" s="486" customFormat="1" ht="16.5" customHeight="1">
      <c r="A35" s="517" t="s">
        <v>256</v>
      </c>
      <c r="B35" s="22" t="s">
        <v>267</v>
      </c>
      <c r="C35" s="510" t="s">
        <v>446</v>
      </c>
      <c r="D35" s="18" t="s">
        <v>488</v>
      </c>
      <c r="E35" s="516" t="s">
        <v>489</v>
      </c>
      <c r="F35" s="24">
        <v>0</v>
      </c>
      <c r="G35" s="24">
        <f t="shared" si="24"/>
        <v>0</v>
      </c>
      <c r="H35" s="25">
        <f t="shared" ca="1" si="30"/>
        <v>0</v>
      </c>
      <c r="I35" s="25">
        <f t="shared" si="31"/>
        <v>0</v>
      </c>
      <c r="J35" s="25">
        <v>0</v>
      </c>
      <c r="K35" s="46">
        <f t="shared" ca="1" si="32"/>
        <v>0</v>
      </c>
      <c r="L35" s="533" t="e">
        <f t="shared" ca="1" si="33"/>
        <v>#DIV/0!</v>
      </c>
      <c r="M35" s="534">
        <f t="shared" ca="1" si="34"/>
        <v>0</v>
      </c>
      <c r="N35" s="535"/>
      <c r="O35" s="18" t="s">
        <v>406</v>
      </c>
      <c r="P35" s="536"/>
      <c r="Q35" s="536"/>
    </row>
    <row r="36" spans="1:17" s="486" customFormat="1" ht="16.5" customHeight="1">
      <c r="A36" s="518" t="s">
        <v>356</v>
      </c>
      <c r="B36" s="22" t="s">
        <v>490</v>
      </c>
      <c r="C36" s="510" t="s">
        <v>491</v>
      </c>
      <c r="D36" s="18" t="s">
        <v>492</v>
      </c>
      <c r="E36" s="516" t="s">
        <v>493</v>
      </c>
      <c r="F36" s="24">
        <v>100000</v>
      </c>
      <c r="G36" s="24">
        <f t="shared" ref="G36:G41" si="35">F36+J36</f>
        <v>100000</v>
      </c>
      <c r="H36" s="25">
        <f t="shared" ca="1" si="30"/>
        <v>100000</v>
      </c>
      <c r="I36" s="25">
        <f t="shared" ref="I36" si="36">IF(G36&lt;&gt;0,G36,F36)</f>
        <v>100000</v>
      </c>
      <c r="J36" s="25">
        <v>0</v>
      </c>
      <c r="K36" s="46">
        <f t="shared" ref="K36" ca="1" si="37">SUMIF(INDIRECT($K$216),A36,INDIRECT($K$217))</f>
        <v>100000</v>
      </c>
      <c r="L36" s="533">
        <f t="shared" ref="L36" ca="1" si="38">IF(G36&gt;0,K36/G36,K36/F36)</f>
        <v>1</v>
      </c>
      <c r="M36" s="534">
        <f t="shared" ref="M36" ca="1" si="39">IF(G36&gt;0,G36-K36,F36-K36)</f>
        <v>0</v>
      </c>
      <c r="N36" s="535"/>
      <c r="O36" s="18"/>
      <c r="P36" s="536"/>
      <c r="Q36" s="536"/>
    </row>
    <row r="37" spans="1:17" ht="16.5" customHeight="1">
      <c r="A37" s="21" t="s">
        <v>147</v>
      </c>
      <c r="B37" s="22" t="s">
        <v>148</v>
      </c>
      <c r="C37" s="510" t="s">
        <v>428</v>
      </c>
      <c r="D37" s="519" t="s">
        <v>429</v>
      </c>
      <c r="E37" s="520"/>
      <c r="F37" s="521">
        <v>3685</v>
      </c>
      <c r="G37" s="24">
        <f t="shared" si="35"/>
        <v>3685</v>
      </c>
      <c r="H37" s="25">
        <f t="shared" ref="H37:H38" ca="1" si="40">SUMIF(INDIRECT($K$213),A37,INDIRECT($K$214))</f>
        <v>3685</v>
      </c>
      <c r="I37" s="25">
        <f t="shared" ref="I37:I38" si="41">IF(G37&lt;&gt;0,G37,F37)</f>
        <v>3685</v>
      </c>
      <c r="J37" s="25">
        <v>0</v>
      </c>
      <c r="K37" s="46">
        <f t="shared" ref="K37" ca="1" si="42">SUMIF(INDIRECT($K$216),A37,INDIRECT($K$217))</f>
        <v>3685</v>
      </c>
      <c r="L37" s="533">
        <f t="shared" ref="L37" ca="1" si="43">IF(G37&gt;0,K37/G37,K37/F37)</f>
        <v>1</v>
      </c>
      <c r="M37" s="534">
        <f t="shared" ref="M37" ca="1" si="44">IF(G37&gt;0,G37-K37,F37-K37)</f>
        <v>0</v>
      </c>
      <c r="N37" s="535"/>
      <c r="O37" s="18"/>
    </row>
    <row r="38" spans="1:17" ht="16.5" customHeight="1">
      <c r="A38" s="21" t="s">
        <v>150</v>
      </c>
      <c r="B38" s="22" t="s">
        <v>494</v>
      </c>
      <c r="C38" s="510" t="s">
        <v>389</v>
      </c>
      <c r="D38" s="519" t="s">
        <v>495</v>
      </c>
      <c r="E38" s="520" t="s">
        <v>496</v>
      </c>
      <c r="F38" s="521">
        <v>1030000</v>
      </c>
      <c r="G38" s="24">
        <f t="shared" si="35"/>
        <v>1030000</v>
      </c>
      <c r="H38" s="25">
        <f t="shared" ca="1" si="40"/>
        <v>721000</v>
      </c>
      <c r="I38" s="25">
        <f t="shared" si="41"/>
        <v>1030000</v>
      </c>
      <c r="J38" s="25">
        <v>0</v>
      </c>
      <c r="K38" s="46">
        <f t="shared" ref="K38" ca="1" si="45">SUMIF(INDIRECT($K$216),A38,INDIRECT($K$217))</f>
        <v>721000</v>
      </c>
      <c r="L38" s="533">
        <f t="shared" ref="L38" ca="1" si="46">IF(G38&gt;0,K38/G38,K38/F38)</f>
        <v>0.7</v>
      </c>
      <c r="M38" s="534">
        <f t="shared" ref="M38" ca="1" si="47">IF(G38&gt;0,G38-K38,F38-K38)</f>
        <v>309000</v>
      </c>
      <c r="N38" s="535" t="s">
        <v>401</v>
      </c>
      <c r="O38" s="18" t="s">
        <v>497</v>
      </c>
    </row>
    <row r="39" spans="1:17" ht="16.5" customHeight="1">
      <c r="A39" s="21" t="s">
        <v>184</v>
      </c>
      <c r="B39" s="22" t="s">
        <v>498</v>
      </c>
      <c r="C39" s="510" t="s">
        <v>499</v>
      </c>
      <c r="D39" s="519" t="s">
        <v>500</v>
      </c>
      <c r="E39" s="520" t="s">
        <v>440</v>
      </c>
      <c r="F39" s="521">
        <v>3098815</v>
      </c>
      <c r="G39" s="514">
        <f t="shared" si="35"/>
        <v>1243479</v>
      </c>
      <c r="H39" s="25">
        <f t="shared" ref="H39" ca="1" si="48">SUMIF(INDIRECT($K$213),A39,INDIRECT($K$214))</f>
        <v>1243479</v>
      </c>
      <c r="I39" s="25">
        <f t="shared" ref="I39" si="49">IF(G39&lt;&gt;0,G39,F39)</f>
        <v>1243479</v>
      </c>
      <c r="J39" s="25">
        <v>-1855336</v>
      </c>
      <c r="K39" s="46">
        <f t="shared" ref="K39" ca="1" si="50">SUMIF(INDIRECT($K$216),A39,INDIRECT($K$217))</f>
        <v>1243479</v>
      </c>
      <c r="L39" s="533">
        <f t="shared" ref="L39" ca="1" si="51">IF(G39&gt;0,K39/G39,K39/F39)</f>
        <v>1</v>
      </c>
      <c r="M39" s="534">
        <f t="shared" ref="M39" ca="1" si="52">IF(G39&gt;0,G39-K39,F39-K39)</f>
        <v>0</v>
      </c>
      <c r="N39" s="535" t="s">
        <v>383</v>
      </c>
      <c r="O39" s="18" t="s">
        <v>501</v>
      </c>
    </row>
    <row r="40" spans="1:17" s="487" customFormat="1" ht="22.5" customHeight="1">
      <c r="A40" s="21" t="s">
        <v>159</v>
      </c>
      <c r="B40" s="26" t="s">
        <v>502</v>
      </c>
      <c r="C40" s="522" t="s">
        <v>503</v>
      </c>
      <c r="D40" s="27" t="s">
        <v>504</v>
      </c>
      <c r="E40" s="523" t="s">
        <v>505</v>
      </c>
      <c r="F40" s="524">
        <v>449680</v>
      </c>
      <c r="G40" s="514">
        <f t="shared" si="35"/>
        <v>449680</v>
      </c>
      <c r="H40" s="525">
        <f t="shared" ref="H40" ca="1" si="53">SUMIF(INDIRECT($K$213),A40,INDIRECT($K$214))</f>
        <v>338650</v>
      </c>
      <c r="I40" s="525">
        <f t="shared" ref="I40" si="54">IF(G40&lt;&gt;0,G40,F40)</f>
        <v>449680</v>
      </c>
      <c r="J40" s="525"/>
      <c r="K40" s="537">
        <f t="shared" ref="K40" ca="1" si="55">SUMIF(INDIRECT($K$216),A40,INDIRECT($K$217))</f>
        <v>338650</v>
      </c>
      <c r="L40" s="538">
        <f t="shared" ref="L40" ca="1" si="56">IF(G40&gt;0,K40/G40,K40/F40)</f>
        <v>0.75309108699519656</v>
      </c>
      <c r="M40" s="539">
        <f t="shared" ref="M40" ca="1" si="57">IF(G40&gt;0,G40-K40,F40-K40)</f>
        <v>111030</v>
      </c>
      <c r="N40" s="540" t="s">
        <v>383</v>
      </c>
      <c r="O40" s="27" t="s">
        <v>506</v>
      </c>
      <c r="P40" s="541"/>
      <c r="Q40" s="541"/>
    </row>
    <row r="41" spans="1:17" s="487" customFormat="1" ht="21" customHeight="1">
      <c r="A41" s="21" t="s">
        <v>155</v>
      </c>
      <c r="B41" s="26" t="s">
        <v>507</v>
      </c>
      <c r="C41" s="522" t="s">
        <v>508</v>
      </c>
      <c r="D41" s="27" t="s">
        <v>509</v>
      </c>
      <c r="E41" s="526" t="s">
        <v>510</v>
      </c>
      <c r="F41" s="524">
        <v>2683575</v>
      </c>
      <c r="G41" s="524">
        <f t="shared" si="35"/>
        <v>2683575</v>
      </c>
      <c r="H41" s="525">
        <f t="shared" ref="H41" ca="1" si="58">SUMIF(INDIRECT($K$213),A41,INDIRECT($K$214))</f>
        <v>1744323.75</v>
      </c>
      <c r="I41" s="525">
        <f t="shared" ref="I41" si="59">IF(G41&lt;&gt;0,G41,F41)</f>
        <v>2683575</v>
      </c>
      <c r="J41" s="525">
        <v>0</v>
      </c>
      <c r="K41" s="537">
        <f t="shared" ref="K41:K42" ca="1" si="60">SUMIF(INDIRECT($K$216),A41,INDIRECT($K$217))</f>
        <v>1744323.75</v>
      </c>
      <c r="L41" s="538">
        <f t="shared" ref="L41" ca="1" si="61">IF(G41&gt;0,K41/G41,K41/F41)</f>
        <v>0.65</v>
      </c>
      <c r="M41" s="539">
        <f t="shared" ref="M41" ca="1" si="62">IF(G41&gt;0,G41-K41,F41-K41)</f>
        <v>939251.25</v>
      </c>
      <c r="N41" s="540" t="s">
        <v>449</v>
      </c>
      <c r="O41" s="27" t="s">
        <v>511</v>
      </c>
      <c r="P41" s="541"/>
      <c r="Q41" s="541"/>
    </row>
    <row r="42" spans="1:17" s="487" customFormat="1" ht="16.5" customHeight="1">
      <c r="A42" s="21" t="s">
        <v>168</v>
      </c>
      <c r="B42" s="26" t="s">
        <v>512</v>
      </c>
      <c r="C42" s="510" t="s">
        <v>479</v>
      </c>
      <c r="D42" s="27" t="s">
        <v>513</v>
      </c>
      <c r="E42" s="526" t="s">
        <v>418</v>
      </c>
      <c r="F42" s="524">
        <v>16200</v>
      </c>
      <c r="G42" s="524">
        <f t="shared" ref="G42:G43" si="63">F42+J42</f>
        <v>16200</v>
      </c>
      <c r="H42" s="525">
        <f t="shared" ref="H42:H43" ca="1" si="64">SUMIF(INDIRECT($K$213),A42,INDIRECT($K$214))</f>
        <v>16200</v>
      </c>
      <c r="I42" s="525">
        <f t="shared" ref="I42:I43" si="65">IF(G42&lt;&gt;0,G42,F42)</f>
        <v>16200</v>
      </c>
      <c r="J42" s="525">
        <v>0</v>
      </c>
      <c r="K42" s="537">
        <f t="shared" ca="1" si="60"/>
        <v>16200</v>
      </c>
      <c r="L42" s="538">
        <f t="shared" ref="L42:L43" ca="1" si="66">IF(G42&gt;0,K42/G42,K42/F42)</f>
        <v>1</v>
      </c>
      <c r="M42" s="539">
        <f t="shared" ref="M42:M43" ca="1" si="67">IF(G42&gt;0,G42-K42,F42-K42)</f>
        <v>0</v>
      </c>
      <c r="N42" s="540" t="s">
        <v>514</v>
      </c>
      <c r="O42" s="27"/>
      <c r="P42" s="541"/>
      <c r="Q42" s="541"/>
    </row>
    <row r="43" spans="1:17" s="487" customFormat="1" ht="21" customHeight="1">
      <c r="A43" s="21" t="s">
        <v>315</v>
      </c>
      <c r="B43" s="26" t="s">
        <v>515</v>
      </c>
      <c r="C43" s="522" t="s">
        <v>516</v>
      </c>
      <c r="D43" s="27" t="s">
        <v>517</v>
      </c>
      <c r="E43" s="526" t="s">
        <v>518</v>
      </c>
      <c r="F43" s="524">
        <v>200000</v>
      </c>
      <c r="G43" s="524">
        <f t="shared" si="63"/>
        <v>200000</v>
      </c>
      <c r="H43" s="525">
        <f t="shared" ca="1" si="64"/>
        <v>200000</v>
      </c>
      <c r="I43" s="525">
        <f t="shared" si="65"/>
        <v>200000</v>
      </c>
      <c r="J43" s="525">
        <v>0</v>
      </c>
      <c r="K43" s="537">
        <f t="shared" ref="K43" ca="1" si="68">SUMIF(INDIRECT($K$216),A43,INDIRECT($K$217))</f>
        <v>200000</v>
      </c>
      <c r="L43" s="538">
        <f t="shared" ca="1" si="66"/>
        <v>1</v>
      </c>
      <c r="M43" s="539">
        <f t="shared" ca="1" si="67"/>
        <v>0</v>
      </c>
      <c r="N43" s="540" t="s">
        <v>383</v>
      </c>
      <c r="O43" s="27" t="s">
        <v>519</v>
      </c>
      <c r="P43" s="541"/>
      <c r="Q43" s="541"/>
    </row>
    <row r="44" spans="1:17" s="487" customFormat="1" ht="16.5" customHeight="1">
      <c r="A44" s="21" t="s">
        <v>152</v>
      </c>
      <c r="B44" s="26" t="s">
        <v>520</v>
      </c>
      <c r="C44" s="522" t="s">
        <v>521</v>
      </c>
      <c r="D44" s="27" t="s">
        <v>522</v>
      </c>
      <c r="E44" s="526" t="s">
        <v>523</v>
      </c>
      <c r="F44" s="524">
        <v>6013035</v>
      </c>
      <c r="G44" s="524">
        <f t="shared" ref="G44:G45" si="69">F44+J44</f>
        <v>6013035</v>
      </c>
      <c r="H44" s="525">
        <f t="shared" ref="H44" ca="1" si="70">SUMIF(INDIRECT($K$213),A44,INDIRECT($K$214))</f>
        <v>5411731.5</v>
      </c>
      <c r="I44" s="525">
        <f t="shared" ref="I44:I45" si="71">IF(G44&lt;&gt;0,G44,F44)</f>
        <v>6013035</v>
      </c>
      <c r="J44" s="525">
        <v>0</v>
      </c>
      <c r="K44" s="537">
        <f t="shared" ref="K44:K50" ca="1" si="72">SUMIF(INDIRECT($K$216),A44,INDIRECT($K$217))</f>
        <v>5411731.5</v>
      </c>
      <c r="L44" s="538">
        <f t="shared" ref="L44:L45" ca="1" si="73">IF(G44&gt;0,K44/G44,K44/F44)</f>
        <v>0.9</v>
      </c>
      <c r="M44" s="539">
        <f t="shared" ref="M44:M45" ca="1" si="74">IF(G44&gt;0,G44-K44,F44-K44)</f>
        <v>601303.5</v>
      </c>
      <c r="N44" s="540" t="s">
        <v>514</v>
      </c>
      <c r="O44" s="27"/>
      <c r="P44" s="541"/>
      <c r="Q44" s="541"/>
    </row>
    <row r="45" spans="1:17" s="488" customFormat="1" ht="22.5" customHeight="1">
      <c r="A45" s="21" t="s">
        <v>226</v>
      </c>
      <c r="B45" s="22" t="s">
        <v>524</v>
      </c>
      <c r="C45" s="510" t="s">
        <v>525</v>
      </c>
      <c r="D45" s="18" t="s">
        <v>526</v>
      </c>
      <c r="E45" s="516" t="s">
        <v>527</v>
      </c>
      <c r="F45" s="24">
        <v>150733</v>
      </c>
      <c r="G45" s="24">
        <f t="shared" si="69"/>
        <v>150733</v>
      </c>
      <c r="H45" s="25">
        <f t="shared" ref="H45:H58" ca="1" si="75">SUMIF(INDIRECT($K$213),A45,INDIRECT($K$214))</f>
        <v>150733</v>
      </c>
      <c r="I45" s="25">
        <f t="shared" si="71"/>
        <v>150733</v>
      </c>
      <c r="J45" s="25">
        <v>0</v>
      </c>
      <c r="K45" s="46">
        <f t="shared" ca="1" si="72"/>
        <v>150733</v>
      </c>
      <c r="L45" s="533">
        <f t="shared" ca="1" si="73"/>
        <v>1</v>
      </c>
      <c r="M45" s="534">
        <f t="shared" ca="1" si="74"/>
        <v>0</v>
      </c>
      <c r="N45" s="535" t="s">
        <v>514</v>
      </c>
      <c r="O45" s="542" t="s">
        <v>528</v>
      </c>
      <c r="P45" s="543"/>
      <c r="Q45" s="543"/>
    </row>
    <row r="46" spans="1:17" s="10" customFormat="1" ht="16.5" customHeight="1">
      <c r="A46" s="21" t="s">
        <v>175</v>
      </c>
      <c r="B46" s="26" t="s">
        <v>502</v>
      </c>
      <c r="C46" s="522" t="s">
        <v>529</v>
      </c>
      <c r="D46" s="27" t="s">
        <v>530</v>
      </c>
      <c r="E46" s="28" t="s">
        <v>531</v>
      </c>
      <c r="F46" s="524">
        <v>105000</v>
      </c>
      <c r="G46" s="524">
        <f t="shared" ref="G46" si="76">F46+J46</f>
        <v>105000</v>
      </c>
      <c r="H46" s="525">
        <f t="shared" ca="1" si="75"/>
        <v>105000</v>
      </c>
      <c r="I46" s="525">
        <f t="shared" ref="I46" si="77">IF(G46&lt;&gt;0,G46,F46)</f>
        <v>105000</v>
      </c>
      <c r="J46" s="525">
        <v>0</v>
      </c>
      <c r="K46" s="537">
        <f t="shared" ca="1" si="72"/>
        <v>105000</v>
      </c>
      <c r="L46" s="538">
        <f t="shared" ref="L46" ca="1" si="78">IF(G46&gt;0,K46/G46,K46/F46)</f>
        <v>1</v>
      </c>
      <c r="M46" s="539">
        <f t="shared" ref="M46" ca="1" si="79">IF(G46&gt;0,G46-K46,F46-K46)</f>
        <v>0</v>
      </c>
      <c r="N46" s="540" t="s">
        <v>514</v>
      </c>
      <c r="O46" s="544" t="s">
        <v>532</v>
      </c>
      <c r="P46" s="48"/>
      <c r="Q46" s="48"/>
    </row>
    <row r="47" spans="1:17" s="10" customFormat="1" ht="16.5" customHeight="1">
      <c r="A47" s="21" t="s">
        <v>172</v>
      </c>
      <c r="B47" s="26" t="s">
        <v>502</v>
      </c>
      <c r="C47" s="522" t="s">
        <v>533</v>
      </c>
      <c r="D47" s="27" t="s">
        <v>534</v>
      </c>
      <c r="E47" s="28" t="s">
        <v>535</v>
      </c>
      <c r="F47" s="524">
        <v>165000</v>
      </c>
      <c r="G47" s="524">
        <f t="shared" ref="G47:G50" si="80">F47+J47</f>
        <v>165000</v>
      </c>
      <c r="H47" s="525">
        <f t="shared" ca="1" si="75"/>
        <v>165000</v>
      </c>
      <c r="I47" s="525">
        <f t="shared" ref="I47:I50" si="81">IF(G47&lt;&gt;0,G47,F47)</f>
        <v>165000</v>
      </c>
      <c r="J47" s="525">
        <v>0</v>
      </c>
      <c r="K47" s="537">
        <f t="shared" ca="1" si="72"/>
        <v>165000</v>
      </c>
      <c r="L47" s="538">
        <f t="shared" ref="L47:L50" ca="1" si="82">IF(G47&gt;0,K47/G47,K47/F47)</f>
        <v>1</v>
      </c>
      <c r="M47" s="539">
        <f t="shared" ref="M47:M50" ca="1" si="83">IF(G47&gt;0,G47-K47,F47-K47)</f>
        <v>0</v>
      </c>
      <c r="N47" s="540" t="s">
        <v>514</v>
      </c>
      <c r="O47" s="27" t="s">
        <v>536</v>
      </c>
      <c r="P47" s="48"/>
      <c r="Q47" s="48"/>
    </row>
    <row r="48" spans="1:17" s="488" customFormat="1" ht="16.5" customHeight="1">
      <c r="A48" s="21" t="s">
        <v>162</v>
      </c>
      <c r="B48" s="22" t="s">
        <v>537</v>
      </c>
      <c r="C48" s="510" t="s">
        <v>385</v>
      </c>
      <c r="D48" s="18" t="s">
        <v>538</v>
      </c>
      <c r="E48" s="23" t="s">
        <v>382</v>
      </c>
      <c r="F48" s="24">
        <v>40165</v>
      </c>
      <c r="G48" s="24">
        <f t="shared" si="80"/>
        <v>40165</v>
      </c>
      <c r="H48" s="25">
        <f t="shared" ca="1" si="75"/>
        <v>40165</v>
      </c>
      <c r="I48" s="25">
        <f t="shared" si="81"/>
        <v>40165</v>
      </c>
      <c r="J48" s="25">
        <v>0</v>
      </c>
      <c r="K48" s="46">
        <f t="shared" ca="1" si="72"/>
        <v>40165</v>
      </c>
      <c r="L48" s="533">
        <f t="shared" ca="1" si="82"/>
        <v>1</v>
      </c>
      <c r="M48" s="534">
        <f t="shared" ca="1" si="83"/>
        <v>0</v>
      </c>
      <c r="N48" s="535" t="s">
        <v>514</v>
      </c>
      <c r="O48" s="18"/>
      <c r="P48" s="543"/>
      <c r="Q48" s="543"/>
    </row>
    <row r="49" spans="1:17" s="488" customFormat="1" ht="21" customHeight="1">
      <c r="A49" s="518" t="s">
        <v>283</v>
      </c>
      <c r="B49" s="22" t="s">
        <v>282</v>
      </c>
      <c r="C49" s="510" t="s">
        <v>521</v>
      </c>
      <c r="D49" s="18" t="s">
        <v>539</v>
      </c>
      <c r="E49" s="23" t="s">
        <v>523</v>
      </c>
      <c r="F49" s="24">
        <v>647955</v>
      </c>
      <c r="G49" s="24">
        <f t="shared" si="80"/>
        <v>647955</v>
      </c>
      <c r="H49" s="25">
        <f t="shared" ca="1" si="75"/>
        <v>583159.5</v>
      </c>
      <c r="I49" s="25">
        <f t="shared" si="81"/>
        <v>647955</v>
      </c>
      <c r="J49" s="25">
        <v>0</v>
      </c>
      <c r="K49" s="46">
        <f t="shared" ca="1" si="72"/>
        <v>583159.5</v>
      </c>
      <c r="L49" s="533">
        <f t="shared" ca="1" si="82"/>
        <v>0.9</v>
      </c>
      <c r="M49" s="534">
        <f t="shared" ca="1" si="83"/>
        <v>64795.5</v>
      </c>
      <c r="N49" s="535"/>
      <c r="O49" s="18"/>
      <c r="P49" s="543"/>
      <c r="Q49" s="543"/>
    </row>
    <row r="50" spans="1:17" s="10" customFormat="1" ht="16.5" customHeight="1">
      <c r="A50" s="21" t="s">
        <v>160</v>
      </c>
      <c r="B50" s="26" t="s">
        <v>540</v>
      </c>
      <c r="C50" s="522" t="s">
        <v>541</v>
      </c>
      <c r="D50" s="27" t="s">
        <v>542</v>
      </c>
      <c r="E50" s="28" t="s">
        <v>543</v>
      </c>
      <c r="F50" s="524">
        <v>20285</v>
      </c>
      <c r="G50" s="524">
        <f t="shared" si="80"/>
        <v>20285</v>
      </c>
      <c r="H50" s="525">
        <f t="shared" ca="1" si="75"/>
        <v>20285</v>
      </c>
      <c r="I50" s="525">
        <f t="shared" si="81"/>
        <v>20285</v>
      </c>
      <c r="J50" s="525">
        <v>0</v>
      </c>
      <c r="K50" s="537">
        <f t="shared" ca="1" si="72"/>
        <v>20285</v>
      </c>
      <c r="L50" s="538">
        <f t="shared" ca="1" si="82"/>
        <v>1</v>
      </c>
      <c r="M50" s="539">
        <f t="shared" ca="1" si="83"/>
        <v>0</v>
      </c>
      <c r="N50" s="540" t="s">
        <v>514</v>
      </c>
      <c r="O50" s="27" t="s">
        <v>544</v>
      </c>
      <c r="P50" s="48"/>
      <c r="Q50" s="48"/>
    </row>
    <row r="51" spans="1:17" s="488" customFormat="1" ht="19.5" customHeight="1">
      <c r="A51" s="21" t="s">
        <v>246</v>
      </c>
      <c r="B51" s="22" t="s">
        <v>545</v>
      </c>
      <c r="C51" s="510" t="s">
        <v>546</v>
      </c>
      <c r="D51" s="18" t="s">
        <v>547</v>
      </c>
      <c r="E51" s="23" t="s">
        <v>548</v>
      </c>
      <c r="F51" s="24">
        <v>2571257</v>
      </c>
      <c r="G51" s="24">
        <f t="shared" ref="G51" si="84">F51+J51</f>
        <v>2571257</v>
      </c>
      <c r="H51" s="25">
        <f t="shared" ca="1" si="75"/>
        <v>385687.7</v>
      </c>
      <c r="I51" s="25">
        <f t="shared" ref="I51:I56" si="85">IF(G51&lt;&gt;0,G51,F51)</f>
        <v>2571257</v>
      </c>
      <c r="J51" s="25">
        <v>0</v>
      </c>
      <c r="K51" s="46">
        <f t="shared" ref="K51:K56" ca="1" si="86">SUMIF(INDIRECT($K$216),A51,INDIRECT($K$217))</f>
        <v>385687.7</v>
      </c>
      <c r="L51" s="533">
        <f t="shared" ref="L51:L56" ca="1" si="87">IF(G51&gt;0,K51/G51,K51/F51)</f>
        <v>0.14999966942238757</v>
      </c>
      <c r="M51" s="534">
        <f t="shared" ref="M51:M56" ca="1" si="88">IF(G51&gt;0,G51-K51,F51-K51)</f>
        <v>2185569.2999999998</v>
      </c>
      <c r="N51" s="535" t="s">
        <v>514</v>
      </c>
      <c r="O51" s="18" t="s">
        <v>549</v>
      </c>
      <c r="P51" s="543"/>
      <c r="Q51" s="543"/>
    </row>
    <row r="52" spans="1:17" s="488" customFormat="1" ht="16.5" customHeight="1">
      <c r="A52" s="21" t="s">
        <v>174</v>
      </c>
      <c r="B52" s="22" t="s">
        <v>165</v>
      </c>
      <c r="C52" s="510" t="s">
        <v>516</v>
      </c>
      <c r="D52" s="18" t="s">
        <v>550</v>
      </c>
      <c r="E52" s="435" t="s">
        <v>518</v>
      </c>
      <c r="F52" s="24">
        <v>138000</v>
      </c>
      <c r="G52" s="24">
        <f t="shared" ref="G52:G58" si="89">F52+J52</f>
        <v>138000</v>
      </c>
      <c r="H52" s="25">
        <f t="shared" ca="1" si="75"/>
        <v>138000</v>
      </c>
      <c r="I52" s="25">
        <f t="shared" si="85"/>
        <v>138000</v>
      </c>
      <c r="J52" s="25">
        <v>0</v>
      </c>
      <c r="K52" s="46">
        <f t="shared" ca="1" si="86"/>
        <v>138000</v>
      </c>
      <c r="L52" s="533">
        <f t="shared" ca="1" si="87"/>
        <v>1</v>
      </c>
      <c r="M52" s="534">
        <f t="shared" ca="1" si="88"/>
        <v>0</v>
      </c>
      <c r="N52" s="535" t="s">
        <v>383</v>
      </c>
      <c r="O52" s="545" t="s">
        <v>551</v>
      </c>
      <c r="P52" s="543"/>
      <c r="Q52" s="543"/>
    </row>
    <row r="53" spans="1:17" s="488" customFormat="1" ht="16.5" customHeight="1">
      <c r="A53" s="21" t="s">
        <v>186</v>
      </c>
      <c r="B53" s="22" t="s">
        <v>545</v>
      </c>
      <c r="C53" s="510" t="s">
        <v>464</v>
      </c>
      <c r="D53" s="18" t="s">
        <v>552</v>
      </c>
      <c r="E53" s="23" t="s">
        <v>553</v>
      </c>
      <c r="F53" s="24">
        <v>120000</v>
      </c>
      <c r="G53" s="24">
        <f t="shared" si="89"/>
        <v>120000</v>
      </c>
      <c r="H53" s="25">
        <f t="shared" ca="1" si="75"/>
        <v>120000</v>
      </c>
      <c r="I53" s="25">
        <f t="shared" si="85"/>
        <v>120000</v>
      </c>
      <c r="J53" s="25">
        <v>0</v>
      </c>
      <c r="K53" s="46">
        <f t="shared" ca="1" si="86"/>
        <v>120000</v>
      </c>
      <c r="L53" s="533">
        <f t="shared" ca="1" si="87"/>
        <v>1</v>
      </c>
      <c r="M53" s="534">
        <f t="shared" ca="1" si="88"/>
        <v>0</v>
      </c>
      <c r="N53" s="535" t="s">
        <v>383</v>
      </c>
      <c r="O53" s="18" t="s">
        <v>554</v>
      </c>
      <c r="P53" s="543"/>
      <c r="Q53" s="543"/>
    </row>
    <row r="54" spans="1:17" s="488" customFormat="1" ht="16.5" customHeight="1">
      <c r="A54" s="21" t="s">
        <v>166</v>
      </c>
      <c r="B54" s="22" t="s">
        <v>555</v>
      </c>
      <c r="C54" s="510" t="s">
        <v>541</v>
      </c>
      <c r="D54" s="18" t="s">
        <v>556</v>
      </c>
      <c r="E54" s="23" t="s">
        <v>557</v>
      </c>
      <c r="F54" s="24">
        <v>430000</v>
      </c>
      <c r="G54" s="24">
        <f t="shared" si="89"/>
        <v>430000</v>
      </c>
      <c r="H54" s="25">
        <f t="shared" ca="1" si="75"/>
        <v>430000</v>
      </c>
      <c r="I54" s="25">
        <f t="shared" si="85"/>
        <v>430000</v>
      </c>
      <c r="J54" s="25">
        <v>0</v>
      </c>
      <c r="K54" s="46">
        <f t="shared" ca="1" si="86"/>
        <v>430000</v>
      </c>
      <c r="L54" s="533">
        <f t="shared" ca="1" si="87"/>
        <v>1</v>
      </c>
      <c r="M54" s="534">
        <f t="shared" ca="1" si="88"/>
        <v>0</v>
      </c>
      <c r="N54" s="535" t="s">
        <v>514</v>
      </c>
      <c r="O54" s="18" t="s">
        <v>558</v>
      </c>
      <c r="P54" s="543"/>
      <c r="Q54" s="543"/>
    </row>
    <row r="55" spans="1:17" s="488" customFormat="1" ht="28.5" customHeight="1">
      <c r="A55" s="21" t="s">
        <v>164</v>
      </c>
      <c r="B55" s="22" t="s">
        <v>555</v>
      </c>
      <c r="C55" s="510" t="s">
        <v>559</v>
      </c>
      <c r="D55" s="18" t="s">
        <v>560</v>
      </c>
      <c r="E55" s="23" t="s">
        <v>561</v>
      </c>
      <c r="F55" s="24">
        <v>43800</v>
      </c>
      <c r="G55" s="24">
        <f t="shared" si="89"/>
        <v>43800</v>
      </c>
      <c r="H55" s="25">
        <f t="shared" ca="1" si="75"/>
        <v>43800</v>
      </c>
      <c r="I55" s="25">
        <f t="shared" si="85"/>
        <v>43800</v>
      </c>
      <c r="J55" s="25">
        <v>0</v>
      </c>
      <c r="K55" s="46">
        <f t="shared" ca="1" si="86"/>
        <v>43800</v>
      </c>
      <c r="L55" s="533">
        <f t="shared" ca="1" si="87"/>
        <v>1</v>
      </c>
      <c r="M55" s="534">
        <f t="shared" ca="1" si="88"/>
        <v>0</v>
      </c>
      <c r="N55" s="535"/>
      <c r="O55" s="18"/>
      <c r="P55" s="543"/>
      <c r="Q55" s="543"/>
    </row>
    <row r="56" spans="1:17" s="486" customFormat="1" ht="15.75" customHeight="1">
      <c r="A56" s="21" t="s">
        <v>261</v>
      </c>
      <c r="B56" s="22" t="s">
        <v>467</v>
      </c>
      <c r="C56" s="510" t="s">
        <v>499</v>
      </c>
      <c r="D56" s="18" t="s">
        <v>562</v>
      </c>
      <c r="E56" s="516" t="s">
        <v>563</v>
      </c>
      <c r="F56" s="24">
        <v>3138486</v>
      </c>
      <c r="G56" s="24">
        <f t="shared" si="89"/>
        <v>3138486</v>
      </c>
      <c r="H56" s="25">
        <f t="shared" ca="1" si="75"/>
        <v>2033890</v>
      </c>
      <c r="I56" s="25">
        <f t="shared" si="85"/>
        <v>3138486</v>
      </c>
      <c r="J56" s="25">
        <v>0</v>
      </c>
      <c r="K56" s="46">
        <f t="shared" ca="1" si="86"/>
        <v>2033890</v>
      </c>
      <c r="L56" s="533">
        <f t="shared" ca="1" si="87"/>
        <v>0.64804813531110228</v>
      </c>
      <c r="M56" s="534">
        <f t="shared" ca="1" si="88"/>
        <v>1104596</v>
      </c>
      <c r="N56" s="535"/>
      <c r="O56" s="18" t="s">
        <v>564</v>
      </c>
      <c r="P56" s="536"/>
      <c r="Q56" s="536"/>
    </row>
    <row r="57" spans="1:17" s="488" customFormat="1" ht="16.5" customHeight="1">
      <c r="A57" s="21" t="s">
        <v>170</v>
      </c>
      <c r="B57" s="22" t="s">
        <v>565</v>
      </c>
      <c r="C57" s="510" t="s">
        <v>541</v>
      </c>
      <c r="D57" s="18" t="s">
        <v>566</v>
      </c>
      <c r="E57" s="23" t="s">
        <v>567</v>
      </c>
      <c r="F57" s="24">
        <v>40682</v>
      </c>
      <c r="G57" s="24">
        <f t="shared" si="89"/>
        <v>40682</v>
      </c>
      <c r="H57" s="25">
        <f t="shared" ca="1" si="75"/>
        <v>40682</v>
      </c>
      <c r="I57" s="25">
        <f t="shared" ref="I57:I58" si="90">IF(G57&lt;&gt;0,G57,F57)</f>
        <v>40682</v>
      </c>
      <c r="J57" s="25">
        <v>0</v>
      </c>
      <c r="K57" s="46">
        <f t="shared" ref="K57:K58" ca="1" si="91">SUMIF(INDIRECT($K$216),A57,INDIRECT($K$217))</f>
        <v>40682</v>
      </c>
      <c r="L57" s="533">
        <f t="shared" ref="L57:L58" ca="1" si="92">IF(G57&gt;0,K57/G57,K57/F57)</f>
        <v>1</v>
      </c>
      <c r="M57" s="534">
        <f t="shared" ref="M57:M58" ca="1" si="93">IF(G57&gt;0,G57-K57,F57-K57)</f>
        <v>0</v>
      </c>
      <c r="N57" s="535" t="s">
        <v>514</v>
      </c>
      <c r="O57" s="18"/>
      <c r="P57" s="543"/>
      <c r="Q57" s="543"/>
    </row>
    <row r="58" spans="1:17" s="488" customFormat="1" ht="16.5" customHeight="1">
      <c r="A58" s="21" t="s">
        <v>171</v>
      </c>
      <c r="B58" s="22" t="s">
        <v>565</v>
      </c>
      <c r="C58" s="510" t="s">
        <v>541</v>
      </c>
      <c r="D58" s="18" t="s">
        <v>568</v>
      </c>
      <c r="E58" s="23" t="s">
        <v>569</v>
      </c>
      <c r="F58" s="24">
        <v>15210</v>
      </c>
      <c r="G58" s="24">
        <f t="shared" si="89"/>
        <v>15210</v>
      </c>
      <c r="H58" s="25">
        <f t="shared" ca="1" si="75"/>
        <v>15210</v>
      </c>
      <c r="I58" s="25">
        <f t="shared" si="90"/>
        <v>15210</v>
      </c>
      <c r="J58" s="25">
        <v>0</v>
      </c>
      <c r="K58" s="46">
        <f t="shared" ca="1" si="91"/>
        <v>15210</v>
      </c>
      <c r="L58" s="533">
        <f t="shared" ca="1" si="92"/>
        <v>1</v>
      </c>
      <c r="M58" s="534">
        <f t="shared" ca="1" si="93"/>
        <v>0</v>
      </c>
      <c r="N58" s="535" t="s">
        <v>514</v>
      </c>
      <c r="O58" s="18"/>
      <c r="P58" s="543"/>
      <c r="Q58" s="543"/>
    </row>
    <row r="59" spans="1:17" s="488" customFormat="1" ht="16.5" customHeight="1">
      <c r="A59" s="518" t="s">
        <v>570</v>
      </c>
      <c r="B59" s="22" t="s">
        <v>571</v>
      </c>
      <c r="C59" s="510" t="s">
        <v>541</v>
      </c>
      <c r="D59" s="18" t="s">
        <v>572</v>
      </c>
      <c r="E59" s="28" t="s">
        <v>573</v>
      </c>
      <c r="F59" s="24">
        <v>150000</v>
      </c>
      <c r="G59" s="24">
        <f t="shared" ref="G59:G60" si="94">F59+J59</f>
        <v>150000</v>
      </c>
      <c r="H59" s="25">
        <f t="shared" ref="H59" ca="1" si="95">SUMIF(INDIRECT($K$213),A59,INDIRECT($K$214))</f>
        <v>0</v>
      </c>
      <c r="I59" s="25">
        <f t="shared" ref="I59" si="96">IF(G59&lt;&gt;0,G59,F59)</f>
        <v>150000</v>
      </c>
      <c r="J59" s="25">
        <v>0</v>
      </c>
      <c r="K59" s="46">
        <f t="shared" ref="K59" ca="1" si="97">SUMIF(INDIRECT($K$216),A59,INDIRECT($K$217))</f>
        <v>0</v>
      </c>
      <c r="L59" s="533">
        <f t="shared" ref="L59" ca="1" si="98">IF(G59&gt;0,K59/G59,K59/F59)</f>
        <v>0</v>
      </c>
      <c r="M59" s="534">
        <f t="shared" ref="M59" ca="1" si="99">IF(G59&gt;0,G59-K59,F59-K59)</f>
        <v>150000</v>
      </c>
      <c r="N59" s="535"/>
      <c r="O59" s="18" t="s">
        <v>574</v>
      </c>
      <c r="P59" s="543"/>
      <c r="Q59" s="543"/>
    </row>
    <row r="60" spans="1:17" s="488" customFormat="1" ht="16.5" customHeight="1">
      <c r="A60" s="518" t="s">
        <v>355</v>
      </c>
      <c r="B60" s="22" t="s">
        <v>575</v>
      </c>
      <c r="C60" s="510" t="s">
        <v>576</v>
      </c>
      <c r="D60" s="18" t="s">
        <v>577</v>
      </c>
      <c r="E60" s="28" t="s">
        <v>563</v>
      </c>
      <c r="F60" s="24">
        <v>135990</v>
      </c>
      <c r="G60" s="24">
        <f t="shared" si="94"/>
        <v>135990</v>
      </c>
      <c r="H60" s="25">
        <f t="shared" ref="H60" ca="1" si="100">SUMIF(INDIRECT($K$213),A60,INDIRECT($K$214))</f>
        <v>95000</v>
      </c>
      <c r="I60" s="25">
        <f t="shared" ref="I60" si="101">IF(G60&lt;&gt;0,G60,F60)</f>
        <v>135990</v>
      </c>
      <c r="J60" s="25">
        <v>0</v>
      </c>
      <c r="K60" s="46">
        <f t="shared" ref="K60" ca="1" si="102">SUMIF(INDIRECT($K$216),A60,INDIRECT($K$217))</f>
        <v>95000</v>
      </c>
      <c r="L60" s="533">
        <f t="shared" ref="L60" ca="1" si="103">IF(G60&gt;0,K60/G60,K60/F60)</f>
        <v>0.69858077799838225</v>
      </c>
      <c r="M60" s="534">
        <f t="shared" ref="M60" ca="1" si="104">IF(G60&gt;0,G60-K60,F60-K60)</f>
        <v>40990</v>
      </c>
      <c r="N60" s="535"/>
      <c r="O60" s="546" t="s">
        <v>578</v>
      </c>
      <c r="P60" s="543"/>
      <c r="Q60" s="543"/>
    </row>
    <row r="61" spans="1:17" s="488" customFormat="1" ht="16.5" customHeight="1">
      <c r="A61" s="517" t="s">
        <v>176</v>
      </c>
      <c r="B61" s="22" t="s">
        <v>177</v>
      </c>
      <c r="C61" s="510" t="s">
        <v>446</v>
      </c>
      <c r="D61" s="18" t="s">
        <v>579</v>
      </c>
      <c r="E61" s="23" t="s">
        <v>476</v>
      </c>
      <c r="F61" s="24">
        <v>0</v>
      </c>
      <c r="G61" s="24">
        <f t="shared" ref="G61" si="105">F61+J61</f>
        <v>0</v>
      </c>
      <c r="H61" s="25">
        <f t="shared" ref="H61" ca="1" si="106">SUMIF(INDIRECT($K$213),A61,INDIRECT($K$214))</f>
        <v>0</v>
      </c>
      <c r="I61" s="25">
        <f t="shared" ref="I61" si="107">IF(G61&lt;&gt;0,G61,F61)</f>
        <v>0</v>
      </c>
      <c r="J61" s="25">
        <v>0</v>
      </c>
      <c r="K61" s="46">
        <f t="shared" ref="K61" ca="1" si="108">SUMIF(INDIRECT($K$216),A61,INDIRECT($K$217))</f>
        <v>0</v>
      </c>
      <c r="L61" s="533" t="e">
        <f t="shared" ref="L61" ca="1" si="109">IF(G61&gt;0,K61/G61,K61/F61)</f>
        <v>#DIV/0!</v>
      </c>
      <c r="M61" s="534">
        <f t="shared" ref="M61" ca="1" si="110">IF(G61&gt;0,G61-K61,F61-K61)</f>
        <v>0</v>
      </c>
      <c r="N61" s="535" t="s">
        <v>514</v>
      </c>
      <c r="O61" s="18" t="s">
        <v>580</v>
      </c>
      <c r="P61" s="543"/>
      <c r="Q61" s="543"/>
    </row>
    <row r="62" spans="1:17" s="489" customFormat="1" ht="16.5" customHeight="1">
      <c r="A62" s="21" t="s">
        <v>581</v>
      </c>
      <c r="B62" s="30" t="s">
        <v>221</v>
      </c>
      <c r="C62" s="527" t="s">
        <v>541</v>
      </c>
      <c r="D62" s="31" t="s">
        <v>582</v>
      </c>
      <c r="E62" s="32" t="s">
        <v>583</v>
      </c>
      <c r="F62" s="33">
        <v>0</v>
      </c>
      <c r="G62" s="33">
        <f t="shared" ref="G62:G64" si="111">F62+J62</f>
        <v>0</v>
      </c>
      <c r="H62" s="528">
        <f t="shared" ref="H62:H64" ca="1" si="112">SUMIF(INDIRECT($K$213),A62,INDIRECT($K$214))</f>
        <v>0</v>
      </c>
      <c r="I62" s="528">
        <f t="shared" ref="I62:I64" si="113">IF(G62&lt;&gt;0,G62,F62)</f>
        <v>0</v>
      </c>
      <c r="J62" s="528">
        <v>0</v>
      </c>
      <c r="K62" s="547">
        <f t="shared" ref="K62:K64" ca="1" si="114">SUMIF(INDIRECT($K$216),A62,INDIRECT($K$217))</f>
        <v>0</v>
      </c>
      <c r="L62" s="548" t="e">
        <f t="shared" ref="L62:L64" ca="1" si="115">IF(G62&gt;0,K62/G62,K62/F62)</f>
        <v>#DIV/0!</v>
      </c>
      <c r="M62" s="549">
        <f t="shared" ref="M62:M64" ca="1" si="116">IF(G62&gt;0,G62-K62,F62-K62)</f>
        <v>0</v>
      </c>
      <c r="N62" s="550" t="s">
        <v>514</v>
      </c>
      <c r="O62" s="31" t="s">
        <v>584</v>
      </c>
      <c r="P62" s="551"/>
      <c r="Q62" s="551"/>
    </row>
    <row r="63" spans="1:17" s="10" customFormat="1" ht="16.5" customHeight="1">
      <c r="A63" s="21" t="s">
        <v>178</v>
      </c>
      <c r="B63" s="26" t="s">
        <v>179</v>
      </c>
      <c r="C63" s="510" t="s">
        <v>585</v>
      </c>
      <c r="D63" s="27" t="s">
        <v>586</v>
      </c>
      <c r="E63" s="28" t="s">
        <v>382</v>
      </c>
      <c r="F63" s="524">
        <v>137711</v>
      </c>
      <c r="G63" s="24">
        <f t="shared" si="111"/>
        <v>137711</v>
      </c>
      <c r="H63" s="25">
        <f t="shared" ca="1" si="112"/>
        <v>137711</v>
      </c>
      <c r="I63" s="25">
        <f t="shared" si="113"/>
        <v>137711</v>
      </c>
      <c r="J63" s="25">
        <v>0</v>
      </c>
      <c r="K63" s="46">
        <f t="shared" ca="1" si="114"/>
        <v>137711</v>
      </c>
      <c r="L63" s="533">
        <f t="shared" ca="1" si="115"/>
        <v>1</v>
      </c>
      <c r="M63" s="534">
        <f t="shared" ca="1" si="116"/>
        <v>0</v>
      </c>
      <c r="N63" s="540" t="s">
        <v>383</v>
      </c>
      <c r="O63" s="27" t="s">
        <v>580</v>
      </c>
      <c r="P63" s="48"/>
      <c r="Q63" s="48"/>
    </row>
    <row r="64" spans="1:17" s="488" customFormat="1" ht="16.5" customHeight="1">
      <c r="A64" s="518" t="s">
        <v>272</v>
      </c>
      <c r="B64" s="22" t="s">
        <v>269</v>
      </c>
      <c r="C64" s="510" t="s">
        <v>587</v>
      </c>
      <c r="D64" s="18" t="s">
        <v>588</v>
      </c>
      <c r="E64" s="23" t="s">
        <v>589</v>
      </c>
      <c r="F64" s="24">
        <v>20000</v>
      </c>
      <c r="G64" s="24">
        <f t="shared" si="111"/>
        <v>20000</v>
      </c>
      <c r="H64" s="25">
        <f t="shared" ca="1" si="112"/>
        <v>20000</v>
      </c>
      <c r="I64" s="25">
        <f t="shared" si="113"/>
        <v>20000</v>
      </c>
      <c r="J64" s="25">
        <v>0</v>
      </c>
      <c r="K64" s="46">
        <f t="shared" ca="1" si="114"/>
        <v>20000</v>
      </c>
      <c r="L64" s="533">
        <f t="shared" ca="1" si="115"/>
        <v>1</v>
      </c>
      <c r="M64" s="534">
        <f t="shared" ca="1" si="116"/>
        <v>0</v>
      </c>
      <c r="N64" s="535"/>
      <c r="O64" s="18" t="s">
        <v>580</v>
      </c>
      <c r="P64" s="543"/>
      <c r="Q64" s="543"/>
    </row>
    <row r="65" spans="1:17" s="10" customFormat="1" ht="16.5" customHeight="1">
      <c r="A65" s="21" t="s">
        <v>180</v>
      </c>
      <c r="B65" s="26" t="s">
        <v>179</v>
      </c>
      <c r="C65" s="510" t="s">
        <v>590</v>
      </c>
      <c r="D65" s="27" t="s">
        <v>591</v>
      </c>
      <c r="E65" s="28" t="s">
        <v>592</v>
      </c>
      <c r="F65" s="524">
        <v>3907038.37</v>
      </c>
      <c r="G65" s="24">
        <f t="shared" ref="G65:G67" si="117">F65+J65</f>
        <v>3907038.37</v>
      </c>
      <c r="H65" s="25">
        <f t="shared" ref="H65:H67" ca="1" si="118">SUMIF(INDIRECT($K$213),A65,INDIRECT($K$214))</f>
        <v>3907038.37</v>
      </c>
      <c r="I65" s="25">
        <f t="shared" ref="I65:I67" si="119">IF(G65&lt;&gt;0,G65,F65)</f>
        <v>3907038.37</v>
      </c>
      <c r="J65" s="25">
        <v>0</v>
      </c>
      <c r="K65" s="46">
        <f t="shared" ref="K65:K67" ca="1" si="120">SUMIF(INDIRECT($K$216),A65,INDIRECT($K$217))</f>
        <v>3907038.37</v>
      </c>
      <c r="L65" s="533">
        <f t="shared" ref="L65:L67" ca="1" si="121">IF(G65&gt;0,K65/G65,K65/F65)</f>
        <v>1</v>
      </c>
      <c r="M65" s="534">
        <f t="shared" ref="M65:M67" ca="1" si="122">IF(G65&gt;0,G65-K65,F65-K65)</f>
        <v>0</v>
      </c>
      <c r="N65" s="540" t="s">
        <v>514</v>
      </c>
      <c r="O65" s="27" t="s">
        <v>580</v>
      </c>
      <c r="P65" s="48"/>
      <c r="Q65" s="48"/>
    </row>
    <row r="66" spans="1:17" s="10" customFormat="1" ht="16.5" customHeight="1">
      <c r="A66" s="21" t="s">
        <v>181</v>
      </c>
      <c r="B66" s="26" t="s">
        <v>179</v>
      </c>
      <c r="C66" s="510" t="s">
        <v>593</v>
      </c>
      <c r="D66" s="27" t="s">
        <v>594</v>
      </c>
      <c r="E66" s="28" t="s">
        <v>592</v>
      </c>
      <c r="F66" s="524">
        <v>137377.49</v>
      </c>
      <c r="G66" s="24">
        <f t="shared" si="117"/>
        <v>137377.49</v>
      </c>
      <c r="H66" s="25">
        <f t="shared" ca="1" si="118"/>
        <v>137377.49</v>
      </c>
      <c r="I66" s="25">
        <f t="shared" si="119"/>
        <v>137377.49</v>
      </c>
      <c r="J66" s="25">
        <v>0</v>
      </c>
      <c r="K66" s="46">
        <f t="shared" ca="1" si="120"/>
        <v>137377.49</v>
      </c>
      <c r="L66" s="533">
        <f t="shared" ca="1" si="121"/>
        <v>1</v>
      </c>
      <c r="M66" s="534">
        <f t="shared" ca="1" si="122"/>
        <v>0</v>
      </c>
      <c r="N66" s="540" t="s">
        <v>514</v>
      </c>
      <c r="O66" s="27" t="s">
        <v>580</v>
      </c>
      <c r="P66" s="48"/>
      <c r="Q66" s="48"/>
    </row>
    <row r="67" spans="1:17" s="488" customFormat="1" ht="16.5" customHeight="1">
      <c r="A67" s="21" t="s">
        <v>262</v>
      </c>
      <c r="B67" s="22" t="s">
        <v>595</v>
      </c>
      <c r="C67" s="510" t="s">
        <v>585</v>
      </c>
      <c r="D67" s="18" t="s">
        <v>596</v>
      </c>
      <c r="E67" s="23" t="s">
        <v>382</v>
      </c>
      <c r="F67" s="24">
        <v>37738</v>
      </c>
      <c r="G67" s="24">
        <f t="shared" si="117"/>
        <v>37738</v>
      </c>
      <c r="H67" s="25">
        <f t="shared" ca="1" si="118"/>
        <v>37738</v>
      </c>
      <c r="I67" s="25">
        <f t="shared" si="119"/>
        <v>37738</v>
      </c>
      <c r="J67" s="25">
        <v>0</v>
      </c>
      <c r="K67" s="46">
        <f t="shared" ca="1" si="120"/>
        <v>37738</v>
      </c>
      <c r="L67" s="533">
        <f t="shared" ca="1" si="121"/>
        <v>1</v>
      </c>
      <c r="M67" s="534">
        <f t="shared" ca="1" si="122"/>
        <v>0</v>
      </c>
      <c r="N67" s="535"/>
      <c r="O67" s="18"/>
      <c r="P67" s="543"/>
      <c r="Q67" s="543"/>
    </row>
    <row r="68" spans="1:17" s="10" customFormat="1" ht="16.5" customHeight="1">
      <c r="A68" s="21" t="s">
        <v>182</v>
      </c>
      <c r="B68" s="26" t="s">
        <v>183</v>
      </c>
      <c r="C68" s="510" t="s">
        <v>597</v>
      </c>
      <c r="D68" s="27" t="s">
        <v>598</v>
      </c>
      <c r="E68" s="28" t="s">
        <v>599</v>
      </c>
      <c r="F68" s="524">
        <v>339000</v>
      </c>
      <c r="G68" s="24">
        <f t="shared" ref="G68" si="123">F68+J68</f>
        <v>339000</v>
      </c>
      <c r="H68" s="25">
        <f t="shared" ref="H68" ca="1" si="124">SUMIF(INDIRECT($K$213),A68,INDIRECT($K$214))</f>
        <v>339000</v>
      </c>
      <c r="I68" s="25">
        <f t="shared" ref="I68" si="125">IF(G68&lt;&gt;0,G68,F68)</f>
        <v>339000</v>
      </c>
      <c r="J68" s="25">
        <v>0</v>
      </c>
      <c r="K68" s="46">
        <f t="shared" ref="K68" ca="1" si="126">SUMIF(INDIRECT($K$216),A68,INDIRECT($K$217))</f>
        <v>339000</v>
      </c>
      <c r="L68" s="533">
        <f t="shared" ref="L68" ca="1" si="127">IF(G68&gt;0,K68/G68,K68/F68)</f>
        <v>1</v>
      </c>
      <c r="M68" s="534">
        <f t="shared" ref="M68" ca="1" si="128">IF(G68&gt;0,G68-K68,F68-K68)</f>
        <v>0</v>
      </c>
      <c r="N68" s="540" t="s">
        <v>514</v>
      </c>
      <c r="O68" s="27" t="s">
        <v>580</v>
      </c>
      <c r="P68" s="48"/>
      <c r="Q68" s="48"/>
    </row>
    <row r="69" spans="1:17" s="10" customFormat="1" ht="16.5" customHeight="1">
      <c r="A69" s="21" t="s">
        <v>189</v>
      </c>
      <c r="B69" s="26" t="s">
        <v>190</v>
      </c>
      <c r="C69" s="510" t="s">
        <v>600</v>
      </c>
      <c r="D69" s="27" t="s">
        <v>601</v>
      </c>
      <c r="E69" s="28" t="s">
        <v>602</v>
      </c>
      <c r="F69" s="524">
        <v>19645</v>
      </c>
      <c r="G69" s="24">
        <f t="shared" ref="G69:G82" si="129">F69+J69</f>
        <v>19645</v>
      </c>
      <c r="H69" s="25">
        <f t="shared" ref="H69:H71" ca="1" si="130">SUMIF(INDIRECT($K$213),A69,INDIRECT($K$214))</f>
        <v>19645</v>
      </c>
      <c r="I69" s="25">
        <f t="shared" ref="I69:I71" si="131">IF(G69&lt;&gt;0,G69,F69)</f>
        <v>19645</v>
      </c>
      <c r="J69" s="25">
        <v>0</v>
      </c>
      <c r="K69" s="46">
        <f t="shared" ref="K69:K71" ca="1" si="132">SUMIF(INDIRECT($K$216),A69,INDIRECT($K$217))</f>
        <v>19645</v>
      </c>
      <c r="L69" s="533">
        <f t="shared" ref="L69:L71" ca="1" si="133">IF(G69&gt;0,K69/G69,K69/F69)</f>
        <v>1</v>
      </c>
      <c r="M69" s="534">
        <f t="shared" ref="M69:M71" ca="1" si="134">IF(G69&gt;0,G69-K69,F69-K69)</f>
        <v>0</v>
      </c>
      <c r="N69" s="540" t="s">
        <v>514</v>
      </c>
      <c r="O69" s="27" t="s">
        <v>580</v>
      </c>
      <c r="P69" s="48"/>
      <c r="Q69" s="48"/>
    </row>
    <row r="70" spans="1:17" s="10" customFormat="1" ht="16.5" customHeight="1">
      <c r="A70" s="21" t="s">
        <v>187</v>
      </c>
      <c r="B70" s="26" t="s">
        <v>190</v>
      </c>
      <c r="C70" s="510" t="s">
        <v>603</v>
      </c>
      <c r="D70" s="27" t="s">
        <v>604</v>
      </c>
      <c r="E70" s="28" t="s">
        <v>605</v>
      </c>
      <c r="F70" s="524">
        <v>83164.149999999994</v>
      </c>
      <c r="G70" s="24">
        <f t="shared" si="129"/>
        <v>83164.149999999994</v>
      </c>
      <c r="H70" s="25">
        <f t="shared" ca="1" si="130"/>
        <v>83164.149999999994</v>
      </c>
      <c r="I70" s="25">
        <f t="shared" si="131"/>
        <v>83164.149999999994</v>
      </c>
      <c r="J70" s="25">
        <v>0</v>
      </c>
      <c r="K70" s="46">
        <f t="shared" ca="1" si="132"/>
        <v>83164.149999999994</v>
      </c>
      <c r="L70" s="533">
        <f t="shared" ca="1" si="133"/>
        <v>1</v>
      </c>
      <c r="M70" s="534">
        <f t="shared" ca="1" si="134"/>
        <v>0</v>
      </c>
      <c r="N70" s="540" t="s">
        <v>514</v>
      </c>
      <c r="O70" s="27" t="s">
        <v>580</v>
      </c>
      <c r="P70" s="48"/>
      <c r="Q70" s="48"/>
    </row>
    <row r="71" spans="1:17" s="10" customFormat="1" ht="16.5" customHeight="1">
      <c r="A71" s="21" t="s">
        <v>191</v>
      </c>
      <c r="B71" s="26" t="s">
        <v>190</v>
      </c>
      <c r="C71" s="510" t="s">
        <v>606</v>
      </c>
      <c r="D71" s="27" t="s">
        <v>607</v>
      </c>
      <c r="E71" s="28" t="s">
        <v>608</v>
      </c>
      <c r="F71" s="524">
        <v>65619</v>
      </c>
      <c r="G71" s="24">
        <f t="shared" si="129"/>
        <v>65619</v>
      </c>
      <c r="H71" s="25">
        <f t="shared" ca="1" si="130"/>
        <v>65619</v>
      </c>
      <c r="I71" s="25">
        <f t="shared" si="131"/>
        <v>65619</v>
      </c>
      <c r="J71" s="25">
        <v>0</v>
      </c>
      <c r="K71" s="46">
        <f t="shared" ca="1" si="132"/>
        <v>65619</v>
      </c>
      <c r="L71" s="533">
        <f t="shared" ca="1" si="133"/>
        <v>1</v>
      </c>
      <c r="M71" s="534">
        <f t="shared" ca="1" si="134"/>
        <v>0</v>
      </c>
      <c r="N71" s="540" t="s">
        <v>514</v>
      </c>
      <c r="O71" s="27" t="s">
        <v>580</v>
      </c>
      <c r="P71" s="48"/>
      <c r="Q71" s="48"/>
    </row>
    <row r="72" spans="1:17" s="486" customFormat="1" ht="16.5" customHeight="1">
      <c r="A72" s="518" t="s">
        <v>268</v>
      </c>
      <c r="B72" s="22" t="s">
        <v>609</v>
      </c>
      <c r="C72" s="510" t="s">
        <v>606</v>
      </c>
      <c r="D72" s="18" t="s">
        <v>610</v>
      </c>
      <c r="E72" s="516" t="s">
        <v>608</v>
      </c>
      <c r="F72" s="24">
        <v>9381</v>
      </c>
      <c r="G72" s="24">
        <f t="shared" si="129"/>
        <v>9381</v>
      </c>
      <c r="H72" s="25">
        <f t="shared" ref="H72:H73" ca="1" si="135">SUMIF(INDIRECT($K$213),A72,INDIRECT($K$214))</f>
        <v>9381</v>
      </c>
      <c r="I72" s="25">
        <f t="shared" ref="I72:I73" si="136">IF(G72&lt;&gt;0,G72,F72)</f>
        <v>9381</v>
      </c>
      <c r="J72" s="25">
        <v>0</v>
      </c>
      <c r="K72" s="46">
        <f t="shared" ref="K72:K73" ca="1" si="137">SUMIF(INDIRECT($K$216),A72,INDIRECT($K$217))</f>
        <v>9381</v>
      </c>
      <c r="L72" s="533">
        <f t="shared" ref="L72:L73" ca="1" si="138">IF(G72&gt;0,K72/G72,K72/F72)</f>
        <v>1</v>
      </c>
      <c r="M72" s="534">
        <f t="shared" ref="M72:M73" ca="1" si="139">IF(G72&gt;0,G72-K72,F72-K72)</f>
        <v>0</v>
      </c>
      <c r="N72" s="535"/>
      <c r="O72" s="27" t="s">
        <v>580</v>
      </c>
      <c r="P72" s="536"/>
      <c r="Q72" s="536"/>
    </row>
    <row r="73" spans="1:17" s="486" customFormat="1" ht="16.5" customHeight="1">
      <c r="A73" s="518" t="s">
        <v>297</v>
      </c>
      <c r="B73" s="22" t="s">
        <v>611</v>
      </c>
      <c r="C73" s="510" t="s">
        <v>606</v>
      </c>
      <c r="D73" s="18" t="s">
        <v>612</v>
      </c>
      <c r="E73" s="516" t="s">
        <v>608</v>
      </c>
      <c r="F73" s="24">
        <v>2100</v>
      </c>
      <c r="G73" s="24">
        <f t="shared" si="129"/>
        <v>2100</v>
      </c>
      <c r="H73" s="25">
        <f t="shared" ca="1" si="135"/>
        <v>2100</v>
      </c>
      <c r="I73" s="25">
        <f t="shared" si="136"/>
        <v>2100</v>
      </c>
      <c r="J73" s="25">
        <v>0</v>
      </c>
      <c r="K73" s="46">
        <f t="shared" ca="1" si="137"/>
        <v>2100</v>
      </c>
      <c r="L73" s="533">
        <f t="shared" ca="1" si="138"/>
        <v>1</v>
      </c>
      <c r="M73" s="534">
        <f t="shared" ca="1" si="139"/>
        <v>0</v>
      </c>
      <c r="N73" s="535"/>
      <c r="O73" s="27" t="s">
        <v>580</v>
      </c>
      <c r="P73" s="536"/>
      <c r="Q73" s="536"/>
    </row>
    <row r="74" spans="1:17" s="486" customFormat="1" ht="16.5" customHeight="1">
      <c r="A74" s="518" t="s">
        <v>319</v>
      </c>
      <c r="B74" s="22" t="s">
        <v>613</v>
      </c>
      <c r="C74" s="510" t="s">
        <v>606</v>
      </c>
      <c r="D74" s="18" t="s">
        <v>614</v>
      </c>
      <c r="E74" s="516" t="s">
        <v>608</v>
      </c>
      <c r="F74" s="24">
        <v>2326</v>
      </c>
      <c r="G74" s="24">
        <f t="shared" ref="G74" si="140">F74+J74</f>
        <v>2326</v>
      </c>
      <c r="H74" s="25">
        <f t="shared" ref="H74:H75" ca="1" si="141">SUMIF(INDIRECT($K$213),A74,INDIRECT($K$214))</f>
        <v>2326</v>
      </c>
      <c r="I74" s="25">
        <f t="shared" ref="I74:I75" si="142">IF(G74&lt;&gt;0,G74,F74)</f>
        <v>2326</v>
      </c>
      <c r="J74" s="25">
        <v>0</v>
      </c>
      <c r="K74" s="46">
        <f t="shared" ref="K74:K75" ca="1" si="143">SUMIF(INDIRECT($K$216),A74,INDIRECT($K$217))</f>
        <v>2326</v>
      </c>
      <c r="L74" s="533">
        <f t="shared" ref="L74:L75" ca="1" si="144">IF(G74&gt;0,K74/G74,K74/F74)</f>
        <v>1</v>
      </c>
      <c r="M74" s="534">
        <f t="shared" ref="M74:M75" ca="1" si="145">IF(G74&gt;0,G74-K74,F74-K74)</f>
        <v>0</v>
      </c>
      <c r="N74" s="535"/>
      <c r="O74" s="27" t="s">
        <v>580</v>
      </c>
      <c r="P74" s="536"/>
      <c r="Q74" s="536"/>
    </row>
    <row r="75" spans="1:17" s="10" customFormat="1" ht="16.5" customHeight="1">
      <c r="A75" s="21" t="s">
        <v>192</v>
      </c>
      <c r="B75" s="26" t="s">
        <v>190</v>
      </c>
      <c r="C75" s="510" t="s">
        <v>615</v>
      </c>
      <c r="D75" s="27" t="s">
        <v>616</v>
      </c>
      <c r="E75" s="28" t="s">
        <v>617</v>
      </c>
      <c r="F75" s="524">
        <v>13252746.24</v>
      </c>
      <c r="G75" s="24">
        <f t="shared" si="129"/>
        <v>13252746.24</v>
      </c>
      <c r="H75" s="25">
        <f t="shared" ca="1" si="141"/>
        <v>6771382</v>
      </c>
      <c r="I75" s="25">
        <f t="shared" si="142"/>
        <v>13252746.24</v>
      </c>
      <c r="J75" s="25">
        <v>0</v>
      </c>
      <c r="K75" s="46">
        <f t="shared" ca="1" si="143"/>
        <v>6771382</v>
      </c>
      <c r="L75" s="533">
        <f t="shared" ca="1" si="144"/>
        <v>0.51094179858075961</v>
      </c>
      <c r="M75" s="534">
        <f t="shared" ca="1" si="145"/>
        <v>6481364.2400000002</v>
      </c>
      <c r="N75" s="540" t="s">
        <v>514</v>
      </c>
      <c r="O75" s="27" t="s">
        <v>580</v>
      </c>
      <c r="P75" s="48"/>
      <c r="Q75" s="48"/>
    </row>
    <row r="76" spans="1:17" s="10" customFormat="1" ht="16.5" customHeight="1">
      <c r="A76" s="21" t="s">
        <v>618</v>
      </c>
      <c r="B76" s="26" t="s">
        <v>190</v>
      </c>
      <c r="C76" s="510" t="s">
        <v>619</v>
      </c>
      <c r="D76" s="27" t="s">
        <v>620</v>
      </c>
      <c r="E76" s="28" t="s">
        <v>617</v>
      </c>
      <c r="F76" s="524">
        <v>1149400</v>
      </c>
      <c r="G76" s="553">
        <f t="shared" si="129"/>
        <v>1149400</v>
      </c>
      <c r="H76" s="25">
        <f t="shared" ref="H76:H77" ca="1" si="146">SUMIF(INDIRECT($K$213),A76,INDIRECT($K$214))</f>
        <v>0</v>
      </c>
      <c r="I76" s="25">
        <f t="shared" ref="I76:I77" si="147">IF(G76&lt;&gt;0,G76,F76)</f>
        <v>1149400</v>
      </c>
      <c r="J76" s="25">
        <v>0</v>
      </c>
      <c r="K76" s="46">
        <f t="shared" ref="K76:K77" ca="1" si="148">SUMIF(INDIRECT($K$216),A76,INDIRECT($K$217))</f>
        <v>0</v>
      </c>
      <c r="L76" s="533">
        <f t="shared" ref="L76:L77" ca="1" si="149">IF(G76&gt;0,K76/G76,K76/F76)</f>
        <v>0</v>
      </c>
      <c r="M76" s="534">
        <f t="shared" ref="M76:M77" ca="1" si="150">IF(G76&gt;0,G76-K76,F76-K76)</f>
        <v>1149400</v>
      </c>
      <c r="N76" s="540" t="s">
        <v>514</v>
      </c>
      <c r="O76" s="27" t="s">
        <v>580</v>
      </c>
      <c r="P76" s="48"/>
      <c r="Q76" s="48"/>
    </row>
    <row r="77" spans="1:17" s="10" customFormat="1" ht="16.5" customHeight="1">
      <c r="A77" s="554" t="s">
        <v>274</v>
      </c>
      <c r="B77" s="555" t="s">
        <v>621</v>
      </c>
      <c r="C77" s="556" t="s">
        <v>622</v>
      </c>
      <c r="D77" s="557" t="s">
        <v>623</v>
      </c>
      <c r="E77" s="558" t="s">
        <v>624</v>
      </c>
      <c r="F77" s="559">
        <v>2673069.73</v>
      </c>
      <c r="G77" s="553">
        <f t="shared" si="129"/>
        <v>2673069.73</v>
      </c>
      <c r="H77" s="560">
        <f t="shared" ca="1" si="146"/>
        <v>1900000</v>
      </c>
      <c r="I77" s="560">
        <f t="shared" si="147"/>
        <v>2673069.73</v>
      </c>
      <c r="J77" s="25">
        <v>0</v>
      </c>
      <c r="K77" s="573">
        <f t="shared" ca="1" si="148"/>
        <v>1900000</v>
      </c>
      <c r="L77" s="574">
        <f t="shared" ca="1" si="149"/>
        <v>0.71079327960516769</v>
      </c>
      <c r="M77" s="575">
        <f t="shared" ca="1" si="150"/>
        <v>773069.73</v>
      </c>
      <c r="N77" s="540" t="s">
        <v>514</v>
      </c>
      <c r="O77" s="27" t="s">
        <v>580</v>
      </c>
      <c r="P77" s="48"/>
      <c r="Q77" s="48"/>
    </row>
    <row r="78" spans="1:17" s="490" customFormat="1" ht="16.5" customHeight="1">
      <c r="A78" s="21" t="s">
        <v>193</v>
      </c>
      <c r="B78" s="555" t="s">
        <v>625</v>
      </c>
      <c r="C78" s="510" t="s">
        <v>626</v>
      </c>
      <c r="D78" s="27" t="s">
        <v>627</v>
      </c>
      <c r="E78" s="28" t="s">
        <v>628</v>
      </c>
      <c r="F78" s="524">
        <v>380000</v>
      </c>
      <c r="G78" s="553">
        <f t="shared" si="129"/>
        <v>380000</v>
      </c>
      <c r="H78" s="560">
        <f t="shared" ref="H78" ca="1" si="151">SUMIF(INDIRECT($K$213),A78,INDIRECT($K$214))</f>
        <v>380000</v>
      </c>
      <c r="I78" s="560">
        <f t="shared" ref="I78" si="152">IF(G78&lt;&gt;0,G78,F78)</f>
        <v>380000</v>
      </c>
      <c r="J78" s="25">
        <v>0</v>
      </c>
      <c r="K78" s="573">
        <f t="shared" ref="K78" ca="1" si="153">SUMIF(INDIRECT($K$216),A78,INDIRECT($K$217))</f>
        <v>380000</v>
      </c>
      <c r="L78" s="574">
        <f t="shared" ref="L78" ca="1" si="154">IF(G78&gt;0,K78/G78,K78/F78)</f>
        <v>1</v>
      </c>
      <c r="M78" s="575">
        <f t="shared" ref="M78" ca="1" si="155">IF(G78&gt;0,G78-K78,F78-K78)</f>
        <v>0</v>
      </c>
      <c r="N78" s="540" t="s">
        <v>514</v>
      </c>
      <c r="O78" s="27" t="s">
        <v>580</v>
      </c>
      <c r="P78" s="576"/>
      <c r="Q78" s="576"/>
    </row>
    <row r="79" spans="1:17" s="490" customFormat="1" ht="16.5" customHeight="1">
      <c r="A79" s="21" t="s">
        <v>195</v>
      </c>
      <c r="B79" s="26" t="s">
        <v>621</v>
      </c>
      <c r="C79" s="510" t="s">
        <v>629</v>
      </c>
      <c r="D79" s="27" t="s">
        <v>630</v>
      </c>
      <c r="E79" s="28" t="s">
        <v>631</v>
      </c>
      <c r="F79" s="524">
        <v>660000</v>
      </c>
      <c r="G79" s="553">
        <f t="shared" si="129"/>
        <v>660000</v>
      </c>
      <c r="H79" s="560">
        <f t="shared" ref="H79:H84" ca="1" si="156">SUMIF(INDIRECT($K$213),A79,INDIRECT($K$214))</f>
        <v>660000</v>
      </c>
      <c r="I79" s="560">
        <f t="shared" ref="I79:I84" si="157">IF(G79&lt;&gt;0,G79,F79)</f>
        <v>660000</v>
      </c>
      <c r="J79" s="25">
        <v>0</v>
      </c>
      <c r="K79" s="573">
        <f t="shared" ref="K79:K84" ca="1" si="158">SUMIF(INDIRECT($K$216),A79,INDIRECT($K$217))</f>
        <v>660000</v>
      </c>
      <c r="L79" s="574">
        <f t="shared" ref="L79:L86" ca="1" si="159">IF(G79&gt;0,K79/G79,K79/F79)</f>
        <v>1</v>
      </c>
      <c r="M79" s="575">
        <f t="shared" ref="M79:M84" ca="1" si="160">IF(G79&gt;0,G79-K79,F79-K79)</f>
        <v>0</v>
      </c>
      <c r="N79" s="540" t="s">
        <v>514</v>
      </c>
      <c r="O79" s="27" t="s">
        <v>580</v>
      </c>
      <c r="P79" s="576"/>
      <c r="Q79" s="576"/>
    </row>
    <row r="80" spans="1:17" s="490" customFormat="1" ht="18.75" customHeight="1">
      <c r="A80" s="21" t="s">
        <v>254</v>
      </c>
      <c r="B80" s="26" t="s">
        <v>621</v>
      </c>
      <c r="C80" s="510" t="s">
        <v>632</v>
      </c>
      <c r="D80" s="27" t="s">
        <v>633</v>
      </c>
      <c r="E80" s="28" t="s">
        <v>634</v>
      </c>
      <c r="F80" s="524">
        <v>748148</v>
      </c>
      <c r="G80" s="553">
        <f t="shared" si="129"/>
        <v>748148</v>
      </c>
      <c r="H80" s="560">
        <f t="shared" ca="1" si="156"/>
        <v>678130</v>
      </c>
      <c r="I80" s="560">
        <f t="shared" si="157"/>
        <v>748148</v>
      </c>
      <c r="J80" s="25">
        <v>0</v>
      </c>
      <c r="K80" s="573">
        <f t="shared" ca="1" si="158"/>
        <v>678130</v>
      </c>
      <c r="L80" s="574">
        <f t="shared" ca="1" si="159"/>
        <v>0.90641156562605263</v>
      </c>
      <c r="M80" s="575">
        <f t="shared" ca="1" si="160"/>
        <v>70018</v>
      </c>
      <c r="N80" s="540" t="s">
        <v>383</v>
      </c>
      <c r="O80" s="27" t="s">
        <v>635</v>
      </c>
      <c r="P80" s="576"/>
      <c r="Q80" s="576"/>
    </row>
    <row r="81" spans="1:17" s="490" customFormat="1" ht="24.75" customHeight="1">
      <c r="A81" s="21" t="s">
        <v>265</v>
      </c>
      <c r="B81" s="26" t="s">
        <v>636</v>
      </c>
      <c r="C81" s="510" t="s">
        <v>632</v>
      </c>
      <c r="D81" s="27" t="s">
        <v>637</v>
      </c>
      <c r="E81" s="28" t="s">
        <v>634</v>
      </c>
      <c r="F81" s="524">
        <v>967950</v>
      </c>
      <c r="G81" s="553">
        <f t="shared" ref="G81" si="161">F81+J81</f>
        <v>967950</v>
      </c>
      <c r="H81" s="560">
        <f t="shared" ca="1" si="156"/>
        <v>807870</v>
      </c>
      <c r="I81" s="560">
        <f t="shared" si="157"/>
        <v>967950</v>
      </c>
      <c r="J81" s="25">
        <v>0</v>
      </c>
      <c r="K81" s="573">
        <f t="shared" ca="1" si="158"/>
        <v>807870</v>
      </c>
      <c r="L81" s="574">
        <f t="shared" ref="L81" ca="1" si="162">IF(G81&gt;0,K81/G81,K81/F81)</f>
        <v>0.83461955679528899</v>
      </c>
      <c r="M81" s="575">
        <f t="shared" ca="1" si="160"/>
        <v>160080</v>
      </c>
      <c r="N81" s="540" t="s">
        <v>383</v>
      </c>
      <c r="O81" s="27" t="s">
        <v>635</v>
      </c>
      <c r="P81" s="576"/>
      <c r="Q81" s="576"/>
    </row>
    <row r="82" spans="1:17" s="490" customFormat="1" ht="16.5" customHeight="1">
      <c r="A82" s="21" t="s">
        <v>196</v>
      </c>
      <c r="B82" s="26" t="s">
        <v>621</v>
      </c>
      <c r="C82" s="510" t="s">
        <v>638</v>
      </c>
      <c r="D82" s="27" t="s">
        <v>639</v>
      </c>
      <c r="E82" s="28" t="s">
        <v>640</v>
      </c>
      <c r="F82" s="524">
        <v>529783</v>
      </c>
      <c r="G82" s="553">
        <f t="shared" si="129"/>
        <v>529783</v>
      </c>
      <c r="H82" s="560">
        <f t="shared" ca="1" si="156"/>
        <v>529783</v>
      </c>
      <c r="I82" s="560">
        <f t="shared" si="157"/>
        <v>529783</v>
      </c>
      <c r="J82" s="25">
        <v>0</v>
      </c>
      <c r="K82" s="573">
        <f t="shared" ca="1" si="158"/>
        <v>529783</v>
      </c>
      <c r="L82" s="574">
        <f t="shared" ca="1" si="159"/>
        <v>1</v>
      </c>
      <c r="M82" s="575">
        <f t="shared" ca="1" si="160"/>
        <v>0</v>
      </c>
      <c r="N82" s="540" t="s">
        <v>514</v>
      </c>
      <c r="O82" s="27" t="s">
        <v>580</v>
      </c>
      <c r="P82" s="576"/>
      <c r="Q82" s="576"/>
    </row>
    <row r="83" spans="1:17" s="490" customFormat="1" ht="16.5" customHeight="1">
      <c r="A83" s="21" t="s">
        <v>197</v>
      </c>
      <c r="B83" s="26" t="s">
        <v>621</v>
      </c>
      <c r="C83" s="510" t="s">
        <v>641</v>
      </c>
      <c r="D83" s="27" t="s">
        <v>642</v>
      </c>
      <c r="E83" s="28" t="s">
        <v>643</v>
      </c>
      <c r="F83" s="524">
        <v>271230</v>
      </c>
      <c r="G83" s="553">
        <f t="shared" ref="G83:G84" si="163">F83+J83</f>
        <v>271230</v>
      </c>
      <c r="H83" s="560">
        <f t="shared" ca="1" si="156"/>
        <v>271230</v>
      </c>
      <c r="I83" s="560">
        <f t="shared" si="157"/>
        <v>271230</v>
      </c>
      <c r="J83" s="25">
        <v>0</v>
      </c>
      <c r="K83" s="573">
        <f t="shared" ca="1" si="158"/>
        <v>271230</v>
      </c>
      <c r="L83" s="574">
        <f t="shared" ca="1" si="159"/>
        <v>1</v>
      </c>
      <c r="M83" s="575">
        <f t="shared" ca="1" si="160"/>
        <v>0</v>
      </c>
      <c r="N83" s="540" t="s">
        <v>514</v>
      </c>
      <c r="O83" s="27" t="s">
        <v>580</v>
      </c>
      <c r="P83" s="576"/>
      <c r="Q83" s="576"/>
    </row>
    <row r="84" spans="1:17" s="490" customFormat="1" ht="16.5" customHeight="1">
      <c r="A84" s="21" t="s">
        <v>210</v>
      </c>
      <c r="B84" s="26" t="s">
        <v>644</v>
      </c>
      <c r="C84" s="510" t="s">
        <v>645</v>
      </c>
      <c r="D84" s="27" t="s">
        <v>646</v>
      </c>
      <c r="E84" s="28" t="s">
        <v>647</v>
      </c>
      <c r="F84" s="524">
        <v>67500</v>
      </c>
      <c r="G84" s="24">
        <f t="shared" si="163"/>
        <v>67500</v>
      </c>
      <c r="H84" s="25">
        <f t="shared" ca="1" si="156"/>
        <v>67500</v>
      </c>
      <c r="I84" s="25">
        <f t="shared" si="157"/>
        <v>67500</v>
      </c>
      <c r="J84" s="25">
        <v>0</v>
      </c>
      <c r="K84" s="46">
        <f t="shared" ca="1" si="158"/>
        <v>67500</v>
      </c>
      <c r="L84" s="533">
        <f t="shared" ca="1" si="159"/>
        <v>1</v>
      </c>
      <c r="M84" s="534">
        <f t="shared" ca="1" si="160"/>
        <v>0</v>
      </c>
      <c r="N84" s="540" t="s">
        <v>514</v>
      </c>
      <c r="O84" s="27" t="s">
        <v>580</v>
      </c>
      <c r="P84" s="576"/>
      <c r="Q84" s="576"/>
    </row>
    <row r="85" spans="1:17" s="490" customFormat="1" ht="16.5" customHeight="1">
      <c r="A85" s="21" t="s">
        <v>201</v>
      </c>
      <c r="B85" s="26" t="s">
        <v>203</v>
      </c>
      <c r="C85" s="510" t="s">
        <v>648</v>
      </c>
      <c r="D85" s="27" t="s">
        <v>649</v>
      </c>
      <c r="E85" s="28" t="s">
        <v>650</v>
      </c>
      <c r="F85" s="524">
        <v>40000</v>
      </c>
      <c r="G85" s="24">
        <f t="shared" ref="G85:G86" si="164">F85+J85</f>
        <v>40000</v>
      </c>
      <c r="H85" s="25">
        <f t="shared" ref="H85:H86" ca="1" si="165">SUMIF(INDIRECT($K$213),A85,INDIRECT($K$214))</f>
        <v>40000</v>
      </c>
      <c r="I85" s="25">
        <f t="shared" ref="I85:I86" si="166">IF(G85&lt;&gt;0,G85,F85)</f>
        <v>40000</v>
      </c>
      <c r="J85" s="25">
        <v>0</v>
      </c>
      <c r="K85" s="46">
        <f t="shared" ref="K85:K86" ca="1" si="167">SUMIF(INDIRECT($K$216),A85,INDIRECT($K$217))</f>
        <v>40000</v>
      </c>
      <c r="L85" s="533">
        <f t="shared" ca="1" si="159"/>
        <v>1</v>
      </c>
      <c r="M85" s="534">
        <f t="shared" ref="M85:M86" ca="1" si="168">IF(G85&gt;0,G85-K85,F85-K85)</f>
        <v>0</v>
      </c>
      <c r="N85" s="540" t="s">
        <v>514</v>
      </c>
      <c r="O85" s="27" t="s">
        <v>580</v>
      </c>
      <c r="P85" s="576"/>
      <c r="Q85" s="576"/>
    </row>
    <row r="86" spans="1:17" s="491" customFormat="1" ht="16.5" customHeight="1">
      <c r="A86" s="21" t="s">
        <v>205</v>
      </c>
      <c r="B86" s="26" t="s">
        <v>651</v>
      </c>
      <c r="C86" s="510" t="s">
        <v>652</v>
      </c>
      <c r="D86" s="27" t="s">
        <v>653</v>
      </c>
      <c r="E86" s="28" t="s">
        <v>592</v>
      </c>
      <c r="F86" s="524">
        <v>51516.56</v>
      </c>
      <c r="G86" s="24">
        <f t="shared" si="164"/>
        <v>51516.56</v>
      </c>
      <c r="H86" s="25">
        <f t="shared" ca="1" si="165"/>
        <v>51516.56</v>
      </c>
      <c r="I86" s="25">
        <f t="shared" si="166"/>
        <v>51516.56</v>
      </c>
      <c r="J86" s="25">
        <v>0</v>
      </c>
      <c r="K86" s="46">
        <f t="shared" ca="1" si="167"/>
        <v>51516.56</v>
      </c>
      <c r="L86" s="533">
        <f t="shared" ca="1" si="159"/>
        <v>1</v>
      </c>
      <c r="M86" s="534">
        <f t="shared" ca="1" si="168"/>
        <v>0</v>
      </c>
      <c r="N86" s="540" t="s">
        <v>514</v>
      </c>
      <c r="O86" s="27" t="s">
        <v>580</v>
      </c>
      <c r="P86" s="577"/>
      <c r="Q86" s="577"/>
    </row>
    <row r="87" spans="1:17" s="491" customFormat="1" ht="16.5" customHeight="1">
      <c r="A87" s="21" t="s">
        <v>204</v>
      </c>
      <c r="B87" s="26" t="s">
        <v>654</v>
      </c>
      <c r="C87" s="510" t="s">
        <v>655</v>
      </c>
      <c r="D87" s="27" t="s">
        <v>656</v>
      </c>
      <c r="E87" s="28" t="s">
        <v>592</v>
      </c>
      <c r="F87" s="524">
        <v>12515936.4</v>
      </c>
      <c r="G87" s="24">
        <f t="shared" ref="G87:G91" si="169">F87+J87</f>
        <v>12515936.4</v>
      </c>
      <c r="H87" s="25">
        <f t="shared" ref="H87:H91" ca="1" si="170">SUMIF(INDIRECT($K$213),A87,INDIRECT($K$214))</f>
        <v>12515936.4</v>
      </c>
      <c r="I87" s="25">
        <f t="shared" ref="I87:I91" si="171">IF(G87&lt;&gt;0,G87,F87)</f>
        <v>12515936.4</v>
      </c>
      <c r="J87" s="25">
        <v>0</v>
      </c>
      <c r="K87" s="46">
        <f t="shared" ref="K87:K91" ca="1" si="172">SUMIF(INDIRECT($K$216),A87,INDIRECT($K$217))</f>
        <v>12515936.4</v>
      </c>
      <c r="L87" s="533">
        <f t="shared" ref="L87:L91" ca="1" si="173">IF(G87&gt;0,K87/G87,K87/F87)</f>
        <v>1</v>
      </c>
      <c r="M87" s="534">
        <f t="shared" ref="M87:M91" ca="1" si="174">IF(G87&gt;0,G87-K87,F87-K87)</f>
        <v>0</v>
      </c>
      <c r="N87" s="540" t="s">
        <v>514</v>
      </c>
      <c r="O87" s="27" t="s">
        <v>580</v>
      </c>
      <c r="P87" s="577"/>
      <c r="Q87" s="577"/>
    </row>
    <row r="88" spans="1:17" s="491" customFormat="1" ht="16.5" customHeight="1">
      <c r="A88" s="21" t="s">
        <v>206</v>
      </c>
      <c r="B88" s="26" t="s">
        <v>657</v>
      </c>
      <c r="C88" s="510" t="s">
        <v>658</v>
      </c>
      <c r="D88" s="27" t="s">
        <v>659</v>
      </c>
      <c r="E88" s="28" t="s">
        <v>592</v>
      </c>
      <c r="F88" s="524">
        <v>1127572.3999999999</v>
      </c>
      <c r="G88" s="24">
        <f t="shared" si="169"/>
        <v>1127572.3999999999</v>
      </c>
      <c r="H88" s="25">
        <f t="shared" ca="1" si="170"/>
        <v>1127572.3999999999</v>
      </c>
      <c r="I88" s="25">
        <f t="shared" si="171"/>
        <v>1127572.3999999999</v>
      </c>
      <c r="J88" s="25">
        <v>0</v>
      </c>
      <c r="K88" s="46">
        <f t="shared" ca="1" si="172"/>
        <v>1127572.3999999999</v>
      </c>
      <c r="L88" s="533">
        <f t="shared" ca="1" si="173"/>
        <v>1</v>
      </c>
      <c r="M88" s="534">
        <f t="shared" ca="1" si="174"/>
        <v>0</v>
      </c>
      <c r="N88" s="540"/>
      <c r="O88" s="27"/>
      <c r="P88" s="577"/>
      <c r="Q88" s="577"/>
    </row>
    <row r="89" spans="1:17" s="491" customFormat="1" ht="16.5" customHeight="1">
      <c r="A89" s="21" t="s">
        <v>207</v>
      </c>
      <c r="B89" s="26" t="s">
        <v>651</v>
      </c>
      <c r="C89" s="510" t="s">
        <v>559</v>
      </c>
      <c r="D89" s="27" t="s">
        <v>660</v>
      </c>
      <c r="E89" s="28" t="s">
        <v>592</v>
      </c>
      <c r="F89" s="524">
        <v>45600</v>
      </c>
      <c r="G89" s="24">
        <f t="shared" si="169"/>
        <v>45600</v>
      </c>
      <c r="H89" s="25">
        <f t="shared" ca="1" si="170"/>
        <v>45600</v>
      </c>
      <c r="I89" s="25">
        <f t="shared" si="171"/>
        <v>45600</v>
      </c>
      <c r="J89" s="25">
        <v>0</v>
      </c>
      <c r="K89" s="46">
        <f t="shared" ca="1" si="172"/>
        <v>45600</v>
      </c>
      <c r="L89" s="533">
        <f t="shared" ca="1" si="173"/>
        <v>1</v>
      </c>
      <c r="M89" s="534">
        <f t="shared" ca="1" si="174"/>
        <v>0</v>
      </c>
      <c r="N89" s="540" t="s">
        <v>514</v>
      </c>
      <c r="O89" s="27" t="s">
        <v>580</v>
      </c>
      <c r="P89" s="577"/>
      <c r="Q89" s="577"/>
    </row>
    <row r="90" spans="1:17" s="491" customFormat="1" ht="16.5" customHeight="1">
      <c r="A90" s="21" t="s">
        <v>209</v>
      </c>
      <c r="B90" s="26" t="s">
        <v>651</v>
      </c>
      <c r="C90" s="510" t="s">
        <v>559</v>
      </c>
      <c r="D90" s="27" t="s">
        <v>661</v>
      </c>
      <c r="E90" s="28" t="s">
        <v>592</v>
      </c>
      <c r="F90" s="524">
        <v>21600</v>
      </c>
      <c r="G90" s="24">
        <f t="shared" si="169"/>
        <v>21600</v>
      </c>
      <c r="H90" s="25">
        <f t="shared" ca="1" si="170"/>
        <v>21600</v>
      </c>
      <c r="I90" s="25">
        <f t="shared" si="171"/>
        <v>21600</v>
      </c>
      <c r="J90" s="25">
        <v>0</v>
      </c>
      <c r="K90" s="46">
        <f t="shared" ca="1" si="172"/>
        <v>21600</v>
      </c>
      <c r="L90" s="533">
        <f t="shared" ca="1" si="173"/>
        <v>1</v>
      </c>
      <c r="M90" s="534">
        <f t="shared" ca="1" si="174"/>
        <v>0</v>
      </c>
      <c r="N90" s="540" t="s">
        <v>514</v>
      </c>
      <c r="O90" s="27" t="s">
        <v>580</v>
      </c>
      <c r="P90" s="577"/>
      <c r="Q90" s="577"/>
    </row>
    <row r="91" spans="1:17" s="492" customFormat="1" ht="16.5" customHeight="1">
      <c r="A91" s="21" t="s">
        <v>662</v>
      </c>
      <c r="B91" s="22" t="s">
        <v>242</v>
      </c>
      <c r="C91" s="510" t="s">
        <v>559</v>
      </c>
      <c r="D91" s="18" t="s">
        <v>663</v>
      </c>
      <c r="E91" s="23" t="s">
        <v>664</v>
      </c>
      <c r="F91" s="24">
        <v>39911.519999999997</v>
      </c>
      <c r="G91" s="24">
        <f t="shared" si="169"/>
        <v>39911.519999999997</v>
      </c>
      <c r="H91" s="25">
        <f t="shared" ca="1" si="170"/>
        <v>39911.519999999997</v>
      </c>
      <c r="I91" s="25">
        <f t="shared" si="171"/>
        <v>39911.519999999997</v>
      </c>
      <c r="J91" s="25">
        <v>0</v>
      </c>
      <c r="K91" s="46">
        <f t="shared" ca="1" si="172"/>
        <v>39911.519999999997</v>
      </c>
      <c r="L91" s="533">
        <f t="shared" ca="1" si="173"/>
        <v>1</v>
      </c>
      <c r="M91" s="534">
        <f t="shared" ca="1" si="174"/>
        <v>0</v>
      </c>
      <c r="N91" s="535"/>
      <c r="O91" s="18" t="s">
        <v>580</v>
      </c>
      <c r="P91" s="578"/>
      <c r="Q91" s="578"/>
    </row>
    <row r="92" spans="1:17" s="491" customFormat="1" ht="16.5" customHeight="1">
      <c r="A92" s="21" t="s">
        <v>219</v>
      </c>
      <c r="B92" s="26" t="s">
        <v>202</v>
      </c>
      <c r="C92" s="510" t="s">
        <v>665</v>
      </c>
      <c r="D92" s="27" t="s">
        <v>666</v>
      </c>
      <c r="E92" s="28" t="s">
        <v>667</v>
      </c>
      <c r="F92" s="524">
        <v>50000</v>
      </c>
      <c r="G92" s="24">
        <f t="shared" ref="G92" si="175">F92+J92</f>
        <v>50000</v>
      </c>
      <c r="H92" s="25">
        <f t="shared" ref="H92:H95" ca="1" si="176">SUMIF(INDIRECT($K$213),A92,INDIRECT($K$214))</f>
        <v>50000</v>
      </c>
      <c r="I92" s="25">
        <f t="shared" ref="I92:I95" si="177">IF(G92&lt;&gt;0,G92,F92)</f>
        <v>50000</v>
      </c>
      <c r="J92" s="25">
        <v>0</v>
      </c>
      <c r="K92" s="46">
        <f t="shared" ref="K92:K95" ca="1" si="178">SUMIF(INDIRECT($K$216),A92,INDIRECT($K$217))</f>
        <v>50000</v>
      </c>
      <c r="L92" s="533">
        <f t="shared" ref="L92:L95" ca="1" si="179">IF(G92&gt;0,K92/G92,K92/F92)</f>
        <v>1</v>
      </c>
      <c r="M92" s="534">
        <f t="shared" ref="M92:M95" ca="1" si="180">IF(G92&gt;0,G92-K92,F92-K92)</f>
        <v>0</v>
      </c>
      <c r="N92" s="540" t="s">
        <v>514</v>
      </c>
      <c r="O92" s="27" t="s">
        <v>580</v>
      </c>
      <c r="P92" s="577"/>
      <c r="Q92" s="577"/>
    </row>
    <row r="93" spans="1:17" s="491" customFormat="1" ht="16.5" customHeight="1">
      <c r="A93" s="21" t="s">
        <v>212</v>
      </c>
      <c r="B93" s="26" t="s">
        <v>216</v>
      </c>
      <c r="C93" s="510" t="s">
        <v>668</v>
      </c>
      <c r="D93" s="27" t="s">
        <v>669</v>
      </c>
      <c r="E93" s="28" t="s">
        <v>592</v>
      </c>
      <c r="F93" s="524">
        <v>300000</v>
      </c>
      <c r="G93" s="24">
        <f t="shared" ref="G93:G98" si="181">F93+J93</f>
        <v>300000</v>
      </c>
      <c r="H93" s="25">
        <f t="shared" ca="1" si="176"/>
        <v>300000</v>
      </c>
      <c r="I93" s="25">
        <f t="shared" si="177"/>
        <v>300000</v>
      </c>
      <c r="J93" s="25">
        <v>0</v>
      </c>
      <c r="K93" s="46">
        <f t="shared" ca="1" si="178"/>
        <v>300000</v>
      </c>
      <c r="L93" s="533">
        <f t="shared" ca="1" si="179"/>
        <v>1</v>
      </c>
      <c r="M93" s="534">
        <f t="shared" ca="1" si="180"/>
        <v>0</v>
      </c>
      <c r="N93" s="540" t="s">
        <v>514</v>
      </c>
      <c r="O93" s="27" t="s">
        <v>580</v>
      </c>
      <c r="P93" s="577"/>
      <c r="Q93" s="577"/>
    </row>
    <row r="94" spans="1:17" s="493" customFormat="1" ht="16.5" customHeight="1">
      <c r="A94" s="29" t="s">
        <v>220</v>
      </c>
      <c r="B94" s="30" t="s">
        <v>216</v>
      </c>
      <c r="C94" s="527" t="s">
        <v>670</v>
      </c>
      <c r="D94" s="31" t="s">
        <v>671</v>
      </c>
      <c r="E94" s="32" t="s">
        <v>592</v>
      </c>
      <c r="F94" s="33">
        <v>0</v>
      </c>
      <c r="G94" s="33">
        <f t="shared" si="181"/>
        <v>0</v>
      </c>
      <c r="H94" s="528">
        <f t="shared" ca="1" si="176"/>
        <v>0</v>
      </c>
      <c r="I94" s="528">
        <f t="shared" si="177"/>
        <v>0</v>
      </c>
      <c r="J94" s="528">
        <v>0</v>
      </c>
      <c r="K94" s="547">
        <f t="shared" ca="1" si="178"/>
        <v>0</v>
      </c>
      <c r="L94" s="548" t="e">
        <f t="shared" ca="1" si="179"/>
        <v>#DIV/0!</v>
      </c>
      <c r="M94" s="549">
        <f t="shared" ca="1" si="180"/>
        <v>0</v>
      </c>
      <c r="N94" s="550" t="s">
        <v>514</v>
      </c>
      <c r="O94" s="31" t="s">
        <v>580</v>
      </c>
      <c r="P94" s="579"/>
      <c r="Q94" s="579"/>
    </row>
    <row r="95" spans="1:17" s="493" customFormat="1" ht="16.5" customHeight="1">
      <c r="A95" s="29" t="s">
        <v>214</v>
      </c>
      <c r="B95" s="30" t="s">
        <v>216</v>
      </c>
      <c r="C95" s="527" t="s">
        <v>670</v>
      </c>
      <c r="D95" s="31" t="s">
        <v>672</v>
      </c>
      <c r="E95" s="32" t="s">
        <v>592</v>
      </c>
      <c r="F95" s="33">
        <v>0</v>
      </c>
      <c r="G95" s="33">
        <f t="shared" si="181"/>
        <v>0</v>
      </c>
      <c r="H95" s="528">
        <f t="shared" ca="1" si="176"/>
        <v>0</v>
      </c>
      <c r="I95" s="528">
        <f t="shared" si="177"/>
        <v>0</v>
      </c>
      <c r="J95" s="528">
        <v>0</v>
      </c>
      <c r="K95" s="547">
        <f t="shared" ca="1" si="178"/>
        <v>0</v>
      </c>
      <c r="L95" s="548" t="e">
        <f t="shared" ca="1" si="179"/>
        <v>#DIV/0!</v>
      </c>
      <c r="M95" s="549">
        <f t="shared" ca="1" si="180"/>
        <v>0</v>
      </c>
      <c r="N95" s="550" t="s">
        <v>514</v>
      </c>
      <c r="O95" s="31" t="s">
        <v>580</v>
      </c>
      <c r="P95" s="579"/>
      <c r="Q95" s="579"/>
    </row>
    <row r="96" spans="1:17" s="491" customFormat="1" ht="16.5" customHeight="1">
      <c r="A96" s="21" t="s">
        <v>238</v>
      </c>
      <c r="B96" s="26" t="s">
        <v>216</v>
      </c>
      <c r="C96" s="510" t="s">
        <v>673</v>
      </c>
      <c r="D96" s="27" t="s">
        <v>674</v>
      </c>
      <c r="E96" s="28" t="s">
        <v>675</v>
      </c>
      <c r="F96" s="524">
        <v>150000</v>
      </c>
      <c r="G96" s="24">
        <f t="shared" si="181"/>
        <v>150000</v>
      </c>
      <c r="H96" s="25">
        <f t="shared" ref="H96:H97" ca="1" si="182">SUMIF(INDIRECT($K$213),A96,INDIRECT($K$214))</f>
        <v>120000</v>
      </c>
      <c r="I96" s="25">
        <f t="shared" ref="I96:I97" si="183">IF(G96&lt;&gt;0,G96,F96)</f>
        <v>150000</v>
      </c>
      <c r="J96" s="25">
        <v>0</v>
      </c>
      <c r="K96" s="46">
        <f t="shared" ref="K96:K97" ca="1" si="184">SUMIF(INDIRECT($K$216),A96,INDIRECT($K$217))</f>
        <v>120000</v>
      </c>
      <c r="L96" s="533">
        <f t="shared" ref="L96:L97" ca="1" si="185">IF(G96&gt;0,K96/G96,K96/F96)</f>
        <v>0.8</v>
      </c>
      <c r="M96" s="534">
        <f t="shared" ref="M96:M97" ca="1" si="186">IF(G96&gt;0,G96-K96,F96-K96)</f>
        <v>30000</v>
      </c>
      <c r="N96" s="540" t="s">
        <v>514</v>
      </c>
      <c r="O96" s="27"/>
      <c r="P96" s="577"/>
      <c r="Q96" s="577"/>
    </row>
    <row r="97" spans="1:17" s="491" customFormat="1" ht="16.5" customHeight="1">
      <c r="A97" s="21" t="s">
        <v>215</v>
      </c>
      <c r="B97" s="26" t="s">
        <v>216</v>
      </c>
      <c r="C97" s="510" t="s">
        <v>559</v>
      </c>
      <c r="D97" s="27" t="s">
        <v>676</v>
      </c>
      <c r="E97" s="28" t="s">
        <v>592</v>
      </c>
      <c r="F97" s="524">
        <v>12400</v>
      </c>
      <c r="G97" s="24">
        <f t="shared" si="181"/>
        <v>12400</v>
      </c>
      <c r="H97" s="25">
        <f t="shared" ca="1" si="182"/>
        <v>12400</v>
      </c>
      <c r="I97" s="25">
        <f t="shared" si="183"/>
        <v>12400</v>
      </c>
      <c r="J97" s="25">
        <v>0</v>
      </c>
      <c r="K97" s="46">
        <f t="shared" ca="1" si="184"/>
        <v>12400</v>
      </c>
      <c r="L97" s="533">
        <f t="shared" ca="1" si="185"/>
        <v>1</v>
      </c>
      <c r="M97" s="534">
        <f t="shared" ca="1" si="186"/>
        <v>0</v>
      </c>
      <c r="N97" s="540" t="s">
        <v>514</v>
      </c>
      <c r="O97" s="27" t="s">
        <v>580</v>
      </c>
      <c r="P97" s="577"/>
      <c r="Q97" s="577"/>
    </row>
    <row r="98" spans="1:17" s="491" customFormat="1" ht="16.5" customHeight="1">
      <c r="A98" s="21" t="s">
        <v>257</v>
      </c>
      <c r="B98" s="26" t="s">
        <v>677</v>
      </c>
      <c r="C98" s="510" t="s">
        <v>503</v>
      </c>
      <c r="D98" s="27" t="s">
        <v>678</v>
      </c>
      <c r="E98" s="28" t="s">
        <v>496</v>
      </c>
      <c r="F98" s="524">
        <v>450000</v>
      </c>
      <c r="G98" s="24">
        <f t="shared" si="181"/>
        <v>450000</v>
      </c>
      <c r="H98" s="25">
        <f t="shared" ref="H98" ca="1" si="187">SUMIF(INDIRECT($K$213),A98,INDIRECT($K$214))</f>
        <v>135000</v>
      </c>
      <c r="I98" s="25">
        <f t="shared" ref="I98" si="188">IF(G98&lt;&gt;0,G98,F98)</f>
        <v>450000</v>
      </c>
      <c r="J98" s="25">
        <v>0</v>
      </c>
      <c r="K98" s="46">
        <f t="shared" ref="K98" ca="1" si="189">SUMIF(INDIRECT($K$216),A98,INDIRECT($K$217))</f>
        <v>135000</v>
      </c>
      <c r="L98" s="533">
        <f t="shared" ref="L98" ca="1" si="190">IF(G98&gt;0,K98/G98,K98/F98)</f>
        <v>0.3</v>
      </c>
      <c r="M98" s="534">
        <f t="shared" ref="M98" ca="1" si="191">IF(G98&gt;0,G98-K98,F98-K98)</f>
        <v>315000</v>
      </c>
      <c r="N98" s="540" t="s">
        <v>383</v>
      </c>
      <c r="O98" s="27"/>
      <c r="P98" s="577"/>
      <c r="Q98" s="577"/>
    </row>
    <row r="99" spans="1:17" s="492" customFormat="1" ht="16.5" customHeight="1">
      <c r="A99" s="21" t="s">
        <v>679</v>
      </c>
      <c r="B99" s="26" t="s">
        <v>680</v>
      </c>
      <c r="C99" s="510" t="s">
        <v>503</v>
      </c>
      <c r="D99" s="18" t="s">
        <v>681</v>
      </c>
      <c r="E99" s="23" t="s">
        <v>682</v>
      </c>
      <c r="F99" s="514">
        <v>0</v>
      </c>
      <c r="G99" s="24">
        <f t="shared" ref="G99" si="192">F99+J99</f>
        <v>0</v>
      </c>
      <c r="H99" s="25">
        <f t="shared" ref="H99:H101" ca="1" si="193">SUMIF(INDIRECT($K$213),A99,INDIRECT($K$214))</f>
        <v>0</v>
      </c>
      <c r="I99" s="25">
        <f t="shared" ref="I99:I101" si="194">IF(G99&lt;&gt;0,G99,F99)</f>
        <v>0</v>
      </c>
      <c r="J99" s="25">
        <v>0</v>
      </c>
      <c r="K99" s="46">
        <f t="shared" ref="K99:K101" ca="1" si="195">SUMIF(INDIRECT($K$216),A99,INDIRECT($K$217))</f>
        <v>0</v>
      </c>
      <c r="L99" s="533" t="e">
        <f t="shared" ref="L99:L101" ca="1" si="196">IF(G99&gt;0,K99/G99,K99/F99)</f>
        <v>#DIV/0!</v>
      </c>
      <c r="M99" s="534">
        <f t="shared" ref="M99:M101" ca="1" si="197">IF(G99&gt;0,G99-K99,F99-K99)</f>
        <v>0</v>
      </c>
      <c r="N99" s="535" t="s">
        <v>449</v>
      </c>
      <c r="O99" s="18" t="s">
        <v>683</v>
      </c>
      <c r="P99" s="578"/>
      <c r="Q99" s="578"/>
    </row>
    <row r="100" spans="1:17" s="491" customFormat="1" ht="16.5" customHeight="1">
      <c r="A100" s="21" t="s">
        <v>224</v>
      </c>
      <c r="B100" s="22" t="s">
        <v>684</v>
      </c>
      <c r="C100" s="510" t="s">
        <v>665</v>
      </c>
      <c r="D100" s="27" t="s">
        <v>685</v>
      </c>
      <c r="E100" s="28" t="s">
        <v>569</v>
      </c>
      <c r="F100" s="524">
        <v>9505</v>
      </c>
      <c r="G100" s="24">
        <f t="shared" ref="G100:G108" si="198">F100+J100</f>
        <v>9505</v>
      </c>
      <c r="H100" s="25">
        <f t="shared" ca="1" si="193"/>
        <v>9505</v>
      </c>
      <c r="I100" s="25">
        <f t="shared" si="194"/>
        <v>9505</v>
      </c>
      <c r="J100" s="25">
        <v>0</v>
      </c>
      <c r="K100" s="46">
        <f t="shared" ca="1" si="195"/>
        <v>9505</v>
      </c>
      <c r="L100" s="533">
        <f t="shared" ca="1" si="196"/>
        <v>1</v>
      </c>
      <c r="M100" s="534">
        <f t="shared" ca="1" si="197"/>
        <v>0</v>
      </c>
      <c r="N100" s="540" t="s">
        <v>514</v>
      </c>
      <c r="O100" s="27" t="s">
        <v>580</v>
      </c>
      <c r="P100" s="577"/>
      <c r="Q100" s="577"/>
    </row>
    <row r="101" spans="1:17" s="491" customFormat="1" ht="16.5" customHeight="1">
      <c r="A101" s="21" t="s">
        <v>686</v>
      </c>
      <c r="B101" s="26" t="s">
        <v>687</v>
      </c>
      <c r="C101" s="510" t="s">
        <v>632</v>
      </c>
      <c r="D101" s="27" t="s">
        <v>688</v>
      </c>
      <c r="E101" s="28" t="s">
        <v>689</v>
      </c>
      <c r="F101" s="524">
        <v>150000</v>
      </c>
      <c r="G101" s="24">
        <f t="shared" si="198"/>
        <v>150000</v>
      </c>
      <c r="H101" s="25">
        <f t="shared" ca="1" si="193"/>
        <v>0</v>
      </c>
      <c r="I101" s="25">
        <f t="shared" si="194"/>
        <v>150000</v>
      </c>
      <c r="J101" s="25">
        <v>0</v>
      </c>
      <c r="K101" s="46">
        <f t="shared" ca="1" si="195"/>
        <v>0</v>
      </c>
      <c r="L101" s="533">
        <f t="shared" ca="1" si="196"/>
        <v>0</v>
      </c>
      <c r="M101" s="534">
        <f t="shared" ca="1" si="197"/>
        <v>150000</v>
      </c>
      <c r="N101" s="540" t="s">
        <v>383</v>
      </c>
      <c r="O101" s="27" t="s">
        <v>690</v>
      </c>
      <c r="P101" s="577"/>
      <c r="Q101" s="577"/>
    </row>
    <row r="102" spans="1:17" s="493" customFormat="1" ht="16.5" customHeight="1">
      <c r="A102" s="29" t="s">
        <v>222</v>
      </c>
      <c r="B102" s="30" t="s">
        <v>687</v>
      </c>
      <c r="C102" s="527" t="s">
        <v>670</v>
      </c>
      <c r="D102" s="561" t="s">
        <v>691</v>
      </c>
      <c r="E102" s="32" t="s">
        <v>667</v>
      </c>
      <c r="F102" s="33">
        <v>0</v>
      </c>
      <c r="G102" s="33">
        <f t="shared" si="198"/>
        <v>0</v>
      </c>
      <c r="H102" s="528">
        <f t="shared" ref="H102" ca="1" si="199">SUMIF(INDIRECT($K$213),A102,INDIRECT($K$214))</f>
        <v>0</v>
      </c>
      <c r="I102" s="528">
        <f t="shared" ref="I102" si="200">IF(G102&lt;&gt;0,G102,F102)</f>
        <v>0</v>
      </c>
      <c r="J102" s="528">
        <v>0</v>
      </c>
      <c r="K102" s="547">
        <f t="shared" ref="K102" ca="1" si="201">SUMIF(INDIRECT($K$216),A102,INDIRECT($K$217))</f>
        <v>0</v>
      </c>
      <c r="L102" s="548" t="e">
        <f t="shared" ref="L102" ca="1" si="202">IF(G102&gt;0,K102/G102,K102/F102)</f>
        <v>#DIV/0!</v>
      </c>
      <c r="M102" s="549">
        <f t="shared" ref="M102" ca="1" si="203">IF(G102&gt;0,G102-K102,F102-K102)</f>
        <v>0</v>
      </c>
      <c r="N102" s="550" t="s">
        <v>514</v>
      </c>
      <c r="O102" s="31"/>
      <c r="P102" s="579"/>
      <c r="Q102" s="579"/>
    </row>
    <row r="103" spans="1:17" s="491" customFormat="1" ht="16.5" customHeight="1">
      <c r="A103" s="21" t="s">
        <v>230</v>
      </c>
      <c r="B103" s="26" t="s">
        <v>692</v>
      </c>
      <c r="C103" s="510" t="s">
        <v>693</v>
      </c>
      <c r="D103" s="27" t="s">
        <v>694</v>
      </c>
      <c r="E103" s="28" t="s">
        <v>695</v>
      </c>
      <c r="F103" s="524">
        <v>80518.990000000005</v>
      </c>
      <c r="G103" s="24">
        <f t="shared" si="198"/>
        <v>80518.990000000005</v>
      </c>
      <c r="H103" s="25">
        <f t="shared" ref="H103:H108" ca="1" si="204">SUMIF(INDIRECT($K$213),A103,INDIRECT($K$214))</f>
        <v>80518.990000000005</v>
      </c>
      <c r="I103" s="25">
        <f t="shared" ref="I103:I108" si="205">IF(G103&lt;&gt;0,G103,F103)</f>
        <v>80518.990000000005</v>
      </c>
      <c r="J103" s="25">
        <v>0</v>
      </c>
      <c r="K103" s="46">
        <f t="shared" ref="K103:K108" ca="1" si="206">SUMIF(INDIRECT($K$216),A103,INDIRECT($K$217))</f>
        <v>80518.990000000005</v>
      </c>
      <c r="L103" s="533">
        <f t="shared" ref="L103:L108" ca="1" si="207">IF(G103&gt;0,K103/G103,K103/F103)</f>
        <v>1</v>
      </c>
      <c r="M103" s="534">
        <f t="shared" ref="M103:M108" ca="1" si="208">IF(G103&gt;0,G103-K103,F103-K103)</f>
        <v>0</v>
      </c>
      <c r="N103" s="540"/>
      <c r="O103" s="27" t="s">
        <v>696</v>
      </c>
      <c r="P103" s="577"/>
      <c r="Q103" s="577"/>
    </row>
    <row r="104" spans="1:17" s="491" customFormat="1" ht="16.5" customHeight="1">
      <c r="A104" s="21" t="s">
        <v>232</v>
      </c>
      <c r="B104" s="26" t="s">
        <v>697</v>
      </c>
      <c r="C104" s="510" t="s">
        <v>698</v>
      </c>
      <c r="D104" s="27" t="s">
        <v>699</v>
      </c>
      <c r="E104" s="28" t="s">
        <v>700</v>
      </c>
      <c r="F104" s="524">
        <v>700000</v>
      </c>
      <c r="G104" s="562">
        <f t="shared" si="198"/>
        <v>737340</v>
      </c>
      <c r="H104" s="25">
        <f t="shared" ca="1" si="204"/>
        <v>737340</v>
      </c>
      <c r="I104" s="25">
        <f t="shared" si="205"/>
        <v>737340</v>
      </c>
      <c r="J104" s="25">
        <f>33290+4050</f>
        <v>37340</v>
      </c>
      <c r="K104" s="46">
        <f t="shared" ca="1" si="206"/>
        <v>737340</v>
      </c>
      <c r="L104" s="533">
        <f t="shared" ca="1" si="207"/>
        <v>1</v>
      </c>
      <c r="M104" s="534">
        <f t="shared" ca="1" si="208"/>
        <v>0</v>
      </c>
      <c r="N104" s="540" t="s">
        <v>449</v>
      </c>
      <c r="O104" s="27"/>
      <c r="P104" s="577"/>
      <c r="Q104" s="577"/>
    </row>
    <row r="105" spans="1:17" s="491" customFormat="1" ht="18" customHeight="1">
      <c r="A105" s="21" t="s">
        <v>263</v>
      </c>
      <c r="B105" s="26" t="s">
        <v>701</v>
      </c>
      <c r="C105" s="510" t="s">
        <v>698</v>
      </c>
      <c r="D105" s="27" t="s">
        <v>702</v>
      </c>
      <c r="E105" s="28" t="s">
        <v>703</v>
      </c>
      <c r="F105" s="524">
        <v>347800</v>
      </c>
      <c r="G105" s="24">
        <f t="shared" si="198"/>
        <v>347800</v>
      </c>
      <c r="H105" s="25">
        <f t="shared" ca="1" si="204"/>
        <v>137300</v>
      </c>
      <c r="I105" s="25">
        <f t="shared" si="205"/>
        <v>347800</v>
      </c>
      <c r="J105" s="25">
        <v>0</v>
      </c>
      <c r="K105" s="46">
        <f t="shared" ca="1" si="206"/>
        <v>137300</v>
      </c>
      <c r="L105" s="533">
        <f t="shared" ca="1" si="207"/>
        <v>0.39476710753306499</v>
      </c>
      <c r="M105" s="534">
        <f t="shared" ca="1" si="208"/>
        <v>210500</v>
      </c>
      <c r="N105" s="540"/>
      <c r="O105" s="27" t="s">
        <v>704</v>
      </c>
      <c r="P105" s="577"/>
      <c r="Q105" s="577"/>
    </row>
    <row r="106" spans="1:17" s="491" customFormat="1" ht="16.5" customHeight="1">
      <c r="A106" s="21" t="s">
        <v>287</v>
      </c>
      <c r="B106" s="26" t="s">
        <v>701</v>
      </c>
      <c r="C106" s="510" t="s">
        <v>705</v>
      </c>
      <c r="D106" s="27" t="s">
        <v>706</v>
      </c>
      <c r="E106" s="28" t="s">
        <v>707</v>
      </c>
      <c r="F106" s="524">
        <v>2050000</v>
      </c>
      <c r="G106" s="24">
        <f t="shared" si="198"/>
        <v>2050000</v>
      </c>
      <c r="H106" s="25">
        <f t="shared" ca="1" si="204"/>
        <v>400000</v>
      </c>
      <c r="I106" s="25">
        <f t="shared" si="205"/>
        <v>2050000</v>
      </c>
      <c r="J106" s="25">
        <v>0</v>
      </c>
      <c r="K106" s="46">
        <f t="shared" ca="1" si="206"/>
        <v>400000</v>
      </c>
      <c r="L106" s="533">
        <f t="shared" ca="1" si="207"/>
        <v>0.1951219512195122</v>
      </c>
      <c r="M106" s="534">
        <f t="shared" ca="1" si="208"/>
        <v>1650000</v>
      </c>
      <c r="N106" s="540"/>
      <c r="O106" s="27" t="s">
        <v>708</v>
      </c>
      <c r="P106" s="577"/>
      <c r="Q106" s="577"/>
    </row>
    <row r="107" spans="1:17" s="491" customFormat="1" ht="16.5" customHeight="1">
      <c r="A107" s="21" t="s">
        <v>709</v>
      </c>
      <c r="B107" s="26" t="s">
        <v>710</v>
      </c>
      <c r="C107" s="510" t="s">
        <v>711</v>
      </c>
      <c r="D107" s="27" t="s">
        <v>712</v>
      </c>
      <c r="E107" s="28" t="s">
        <v>713</v>
      </c>
      <c r="F107" s="524">
        <v>83103</v>
      </c>
      <c r="G107" s="24">
        <f t="shared" si="198"/>
        <v>83103</v>
      </c>
      <c r="H107" s="25">
        <f t="shared" ca="1" si="204"/>
        <v>0</v>
      </c>
      <c r="I107" s="25">
        <f t="shared" si="205"/>
        <v>83103</v>
      </c>
      <c r="J107" s="25">
        <v>0</v>
      </c>
      <c r="K107" s="46">
        <f t="shared" ca="1" si="206"/>
        <v>0</v>
      </c>
      <c r="L107" s="533">
        <f t="shared" ca="1" si="207"/>
        <v>0</v>
      </c>
      <c r="M107" s="534">
        <f t="shared" ca="1" si="208"/>
        <v>83103</v>
      </c>
      <c r="N107" s="540" t="s">
        <v>383</v>
      </c>
      <c r="O107" s="27" t="s">
        <v>714</v>
      </c>
      <c r="P107" s="577"/>
      <c r="Q107" s="577"/>
    </row>
    <row r="108" spans="1:17" s="491" customFormat="1" ht="16.5" customHeight="1">
      <c r="A108" s="21" t="s">
        <v>245</v>
      </c>
      <c r="B108" s="26" t="s">
        <v>710</v>
      </c>
      <c r="C108" s="510" t="s">
        <v>525</v>
      </c>
      <c r="D108" s="27" t="s">
        <v>715</v>
      </c>
      <c r="E108" s="28" t="s">
        <v>716</v>
      </c>
      <c r="F108" s="524">
        <v>140000</v>
      </c>
      <c r="G108" s="24">
        <f t="shared" si="198"/>
        <v>140000</v>
      </c>
      <c r="H108" s="25">
        <f t="shared" ca="1" si="204"/>
        <v>140000</v>
      </c>
      <c r="I108" s="25">
        <f t="shared" si="205"/>
        <v>140000</v>
      </c>
      <c r="J108" s="25">
        <v>0</v>
      </c>
      <c r="K108" s="46">
        <f t="shared" ca="1" si="206"/>
        <v>140000</v>
      </c>
      <c r="L108" s="533">
        <f t="shared" ca="1" si="207"/>
        <v>1</v>
      </c>
      <c r="M108" s="534">
        <f t="shared" ca="1" si="208"/>
        <v>0</v>
      </c>
      <c r="N108" s="540" t="s">
        <v>401</v>
      </c>
      <c r="O108" s="27" t="s">
        <v>717</v>
      </c>
      <c r="P108" s="577"/>
      <c r="Q108" s="577"/>
    </row>
    <row r="109" spans="1:17" s="491" customFormat="1" ht="16.5" customHeight="1">
      <c r="A109" s="21" t="s">
        <v>259</v>
      </c>
      <c r="B109" s="26" t="s">
        <v>718</v>
      </c>
      <c r="C109" s="510" t="s">
        <v>499</v>
      </c>
      <c r="D109" s="563" t="s">
        <v>719</v>
      </c>
      <c r="E109" s="564" t="s">
        <v>720</v>
      </c>
      <c r="F109" s="565">
        <v>3100000</v>
      </c>
      <c r="G109" s="24">
        <f t="shared" ref="G109" si="209">F109+J109</f>
        <v>3100000</v>
      </c>
      <c r="H109" s="25">
        <f t="shared" ref="H109" ca="1" si="210">SUMIF(INDIRECT($K$213),A109,INDIRECT($K$214))</f>
        <v>1950000</v>
      </c>
      <c r="I109" s="25">
        <f t="shared" ref="I109" si="211">IF(G109&lt;&gt;0,G109,F109)</f>
        <v>3100000</v>
      </c>
      <c r="J109" s="25">
        <v>0</v>
      </c>
      <c r="K109" s="46">
        <f t="shared" ref="K109" ca="1" si="212">SUMIF(INDIRECT($K$216),A109,INDIRECT($K$217))</f>
        <v>1950000</v>
      </c>
      <c r="L109" s="533">
        <f t="shared" ref="L109" ca="1" si="213">IF(G109&gt;0,K109/G109,K109/F109)</f>
        <v>0.62903225806451613</v>
      </c>
      <c r="M109" s="534">
        <f t="shared" ref="M109" ca="1" si="214">IF(G109&gt;0,G109-K109,F109-K109)</f>
        <v>1150000</v>
      </c>
      <c r="N109" s="540"/>
      <c r="O109" s="27" t="s">
        <v>721</v>
      </c>
      <c r="P109" s="577"/>
      <c r="Q109" s="577"/>
    </row>
    <row r="110" spans="1:17" s="491" customFormat="1" ht="16.5" customHeight="1">
      <c r="A110" s="566" t="s">
        <v>247</v>
      </c>
      <c r="B110" s="26"/>
      <c r="C110" s="510"/>
      <c r="D110" s="27" t="s">
        <v>722</v>
      </c>
      <c r="E110" s="28" t="s">
        <v>723</v>
      </c>
      <c r="F110" s="524">
        <v>110000000</v>
      </c>
      <c r="G110" s="24">
        <f t="shared" ref="G110" si="215">F110+J110</f>
        <v>110000000</v>
      </c>
      <c r="H110" s="25">
        <f t="shared" ref="H110" ca="1" si="216">SUMIF(INDIRECT($K$213),A110,INDIRECT($K$214))</f>
        <v>33863610</v>
      </c>
      <c r="I110" s="25">
        <f t="shared" ref="I110" si="217">IF(G110&lt;&gt;0,G110,F110)</f>
        <v>110000000</v>
      </c>
      <c r="J110" s="25">
        <v>0</v>
      </c>
      <c r="K110" s="46">
        <f t="shared" ref="K110" ca="1" si="218">SUMIF(INDIRECT($K$216),A110,INDIRECT($K$217))</f>
        <v>33863610</v>
      </c>
      <c r="L110" s="533">
        <f t="shared" ref="L110" ca="1" si="219">IF(G110&gt;0,K110/G110,K110/F110)</f>
        <v>0.30785099999999999</v>
      </c>
      <c r="M110" s="534">
        <f t="shared" ref="M110" ca="1" si="220">IF(G110&gt;0,G110-K110,F110-K110)</f>
        <v>76136390</v>
      </c>
      <c r="N110" s="540"/>
      <c r="O110" s="27"/>
      <c r="P110" s="577"/>
      <c r="Q110" s="577"/>
    </row>
    <row r="111" spans="1:17" s="491" customFormat="1" ht="20.25" customHeight="1">
      <c r="A111" s="518" t="s">
        <v>286</v>
      </c>
      <c r="B111" s="26" t="s">
        <v>269</v>
      </c>
      <c r="C111" s="510" t="s">
        <v>705</v>
      </c>
      <c r="D111" s="563" t="s">
        <v>724</v>
      </c>
      <c r="E111" s="564" t="s">
        <v>725</v>
      </c>
      <c r="F111" s="565">
        <v>6801387</v>
      </c>
      <c r="G111" s="24">
        <f t="shared" ref="G111:G114" si="221">F111+J111</f>
        <v>6801387</v>
      </c>
      <c r="H111" s="25">
        <f t="shared" ref="H111:H114" ca="1" si="222">SUMIF(INDIRECT($K$213),A111,INDIRECT($K$214))</f>
        <v>1232374</v>
      </c>
      <c r="I111" s="25">
        <f t="shared" ref="I111:I114" si="223">IF(G111&lt;&gt;0,G111,F111)</f>
        <v>6801387</v>
      </c>
      <c r="J111" s="25">
        <v>0</v>
      </c>
      <c r="K111" s="46">
        <f t="shared" ref="K111:K114" ca="1" si="224">SUMIF(INDIRECT($K$216),A111,INDIRECT($K$217))</f>
        <v>1232374</v>
      </c>
      <c r="L111" s="533">
        <f t="shared" ref="L111:L114" ca="1" si="225">IF(G111&gt;0,K111/G111,K111/F111)</f>
        <v>0.18119451223698932</v>
      </c>
      <c r="M111" s="534">
        <f t="shared" ref="M111:M114" ca="1" si="226">IF(G111&gt;0,G111-K111,F111-K111)</f>
        <v>5569013</v>
      </c>
      <c r="N111" s="540"/>
      <c r="O111" s="27" t="s">
        <v>726</v>
      </c>
      <c r="P111" s="577"/>
      <c r="Q111" s="577"/>
    </row>
    <row r="112" spans="1:17" s="491" customFormat="1" ht="17.25" customHeight="1">
      <c r="A112" s="518" t="s">
        <v>727</v>
      </c>
      <c r="B112" s="26" t="s">
        <v>611</v>
      </c>
      <c r="C112" s="510" t="s">
        <v>728</v>
      </c>
      <c r="D112" s="567" t="s">
        <v>729</v>
      </c>
      <c r="E112" s="568" t="s">
        <v>667</v>
      </c>
      <c r="F112" s="569">
        <v>0</v>
      </c>
      <c r="G112" s="24">
        <f t="shared" si="221"/>
        <v>0</v>
      </c>
      <c r="H112" s="25">
        <f t="shared" ca="1" si="222"/>
        <v>0</v>
      </c>
      <c r="I112" s="25">
        <f t="shared" si="223"/>
        <v>0</v>
      </c>
      <c r="J112" s="25">
        <v>0</v>
      </c>
      <c r="K112" s="46">
        <f t="shared" ca="1" si="224"/>
        <v>0</v>
      </c>
      <c r="L112" s="533" t="e">
        <f t="shared" ca="1" si="225"/>
        <v>#DIV/0!</v>
      </c>
      <c r="M112" s="534">
        <f t="shared" ca="1" si="226"/>
        <v>0</v>
      </c>
      <c r="N112" s="540"/>
      <c r="O112" s="27" t="s">
        <v>730</v>
      </c>
      <c r="P112" s="577"/>
      <c r="Q112" s="577"/>
    </row>
    <row r="113" spans="1:17" s="491" customFormat="1" ht="17.25" customHeight="1">
      <c r="A113" s="518" t="s">
        <v>277</v>
      </c>
      <c r="B113" s="26" t="s">
        <v>731</v>
      </c>
      <c r="C113" s="510" t="s">
        <v>732</v>
      </c>
      <c r="D113" s="567" t="s">
        <v>733</v>
      </c>
      <c r="E113" s="568" t="s">
        <v>640</v>
      </c>
      <c r="F113" s="569">
        <v>1888940.46</v>
      </c>
      <c r="G113" s="24">
        <f t="shared" si="221"/>
        <v>1888940.46</v>
      </c>
      <c r="H113" s="25">
        <f t="shared" ca="1" si="222"/>
        <v>650000</v>
      </c>
      <c r="I113" s="25">
        <f t="shared" si="223"/>
        <v>1888940.46</v>
      </c>
      <c r="J113" s="25">
        <v>0</v>
      </c>
      <c r="K113" s="46">
        <f t="shared" ca="1" si="224"/>
        <v>650000</v>
      </c>
      <c r="L113" s="533">
        <f t="shared" ca="1" si="225"/>
        <v>0.34410825209387491</v>
      </c>
      <c r="M113" s="534">
        <f t="shared" ca="1" si="226"/>
        <v>1238940.46</v>
      </c>
      <c r="N113" s="540"/>
      <c r="O113" s="27" t="s">
        <v>734</v>
      </c>
      <c r="P113" s="577"/>
      <c r="Q113" s="577"/>
    </row>
    <row r="114" spans="1:17" s="491" customFormat="1" ht="17.25" customHeight="1">
      <c r="A114" s="518" t="s">
        <v>735</v>
      </c>
      <c r="B114" s="26" t="s">
        <v>736</v>
      </c>
      <c r="C114" s="510" t="s">
        <v>737</v>
      </c>
      <c r="D114" s="567" t="s">
        <v>738</v>
      </c>
      <c r="E114" s="568" t="s">
        <v>739</v>
      </c>
      <c r="F114" s="569">
        <v>0</v>
      </c>
      <c r="G114" s="24">
        <f t="shared" si="221"/>
        <v>0</v>
      </c>
      <c r="H114" s="25">
        <f t="shared" ca="1" si="222"/>
        <v>0</v>
      </c>
      <c r="I114" s="25">
        <f t="shared" si="223"/>
        <v>0</v>
      </c>
      <c r="J114" s="25">
        <v>0</v>
      </c>
      <c r="K114" s="46">
        <f t="shared" ca="1" si="224"/>
        <v>0</v>
      </c>
      <c r="L114" s="533" t="e">
        <f t="shared" ca="1" si="225"/>
        <v>#DIV/0!</v>
      </c>
      <c r="M114" s="534">
        <f t="shared" ca="1" si="226"/>
        <v>0</v>
      </c>
      <c r="N114" s="540"/>
      <c r="O114" s="27"/>
      <c r="P114" s="577"/>
      <c r="Q114" s="577"/>
    </row>
    <row r="115" spans="1:17" s="491" customFormat="1" ht="23.25" customHeight="1">
      <c r="A115" s="518" t="s">
        <v>299</v>
      </c>
      <c r="B115" s="26" t="s">
        <v>736</v>
      </c>
      <c r="C115" s="510" t="s">
        <v>705</v>
      </c>
      <c r="D115" s="570" t="s">
        <v>740</v>
      </c>
      <c r="E115" s="571" t="s">
        <v>741</v>
      </c>
      <c r="F115" s="562">
        <v>450612</v>
      </c>
      <c r="G115" s="24">
        <f t="shared" ref="G115:G116" si="227">F115+J115</f>
        <v>450612</v>
      </c>
      <c r="H115" s="25">
        <f t="shared" ref="H115:H116" ca="1" si="228">SUMIF(INDIRECT($K$213),A115,INDIRECT($K$214))</f>
        <v>428081</v>
      </c>
      <c r="I115" s="25">
        <f t="shared" ref="I115:I116" si="229">IF(G115&lt;&gt;0,G115,F115)</f>
        <v>450612</v>
      </c>
      <c r="J115" s="25">
        <v>0</v>
      </c>
      <c r="K115" s="46">
        <f t="shared" ref="K115:K116" ca="1" si="230">SUMIF(INDIRECT($K$216),A115,INDIRECT($K$217))</f>
        <v>428081</v>
      </c>
      <c r="L115" s="533">
        <f t="shared" ref="L115:L116" ca="1" si="231">IF(G115&gt;0,K115/G115,K115/F115)</f>
        <v>0.9499991123183581</v>
      </c>
      <c r="M115" s="534">
        <f t="shared" ref="M115:M116" ca="1" si="232">IF(G115&gt;0,G115-K115,F115-K115)</f>
        <v>22531</v>
      </c>
      <c r="N115" s="540"/>
      <c r="O115" s="27" t="s">
        <v>742</v>
      </c>
      <c r="P115" s="577"/>
      <c r="Q115" s="577"/>
    </row>
    <row r="116" spans="1:17" s="491" customFormat="1" ht="12.75" customHeight="1">
      <c r="A116" s="518" t="s">
        <v>305</v>
      </c>
      <c r="B116" s="26" t="s">
        <v>743</v>
      </c>
      <c r="C116" s="510" t="s">
        <v>422</v>
      </c>
      <c r="D116" s="563" t="s">
        <v>744</v>
      </c>
      <c r="E116" s="564" t="s">
        <v>745</v>
      </c>
      <c r="F116" s="565">
        <v>9498614</v>
      </c>
      <c r="G116" s="24">
        <f t="shared" si="227"/>
        <v>9498614</v>
      </c>
      <c r="H116" s="25">
        <f t="shared" ca="1" si="228"/>
        <v>6000000</v>
      </c>
      <c r="I116" s="25">
        <f t="shared" si="229"/>
        <v>9498614</v>
      </c>
      <c r="J116" s="25">
        <v>0</v>
      </c>
      <c r="K116" s="46">
        <f t="shared" ca="1" si="230"/>
        <v>6000000</v>
      </c>
      <c r="L116" s="533">
        <f t="shared" ca="1" si="231"/>
        <v>0.63167110485803513</v>
      </c>
      <c r="M116" s="534">
        <f t="shared" ca="1" si="232"/>
        <v>3498614</v>
      </c>
      <c r="N116" s="540"/>
      <c r="O116" s="27" t="s">
        <v>746</v>
      </c>
      <c r="P116" s="577"/>
      <c r="Q116" s="577"/>
    </row>
    <row r="117" spans="1:17" s="491" customFormat="1" ht="12.75" customHeight="1">
      <c r="A117" s="518" t="s">
        <v>291</v>
      </c>
      <c r="B117" s="26" t="s">
        <v>294</v>
      </c>
      <c r="C117" s="510" t="s">
        <v>747</v>
      </c>
      <c r="D117" s="567" t="s">
        <v>748</v>
      </c>
      <c r="E117" s="568" t="s">
        <v>749</v>
      </c>
      <c r="F117" s="569">
        <v>2430392</v>
      </c>
      <c r="G117" s="24">
        <f t="shared" ref="G117:G118" si="233">F117+J117</f>
        <v>2430392</v>
      </c>
      <c r="H117" s="25">
        <f t="shared" ref="H117:H118" ca="1" si="234">SUMIF(INDIRECT($K$213),A117,INDIRECT($K$214))</f>
        <v>1701274.4</v>
      </c>
      <c r="I117" s="25">
        <f t="shared" ref="I117:I118" si="235">IF(G117&lt;&gt;0,G117,F117)</f>
        <v>2430392</v>
      </c>
      <c r="J117" s="25">
        <v>0</v>
      </c>
      <c r="K117" s="46">
        <f t="shared" ref="K117:K118" ca="1" si="236">SUMIF(INDIRECT($K$216),A117,INDIRECT($K$217))</f>
        <v>1701274.4</v>
      </c>
      <c r="L117" s="533">
        <f t="shared" ref="L117:L118" ca="1" si="237">IF(G117&gt;0,K117/G117,K117/F117)</f>
        <v>0.7</v>
      </c>
      <c r="M117" s="534">
        <f t="shared" ref="M117:M118" ca="1" si="238">IF(G117&gt;0,G117-K117,F117-K117)</f>
        <v>729117.60000000009</v>
      </c>
      <c r="N117" s="540"/>
      <c r="O117" s="27" t="s">
        <v>750</v>
      </c>
      <c r="P117" s="577"/>
      <c r="Q117" s="577"/>
    </row>
    <row r="118" spans="1:17" s="491" customFormat="1" ht="12.75" customHeight="1">
      <c r="A118" s="518" t="s">
        <v>284</v>
      </c>
      <c r="B118" s="26" t="s">
        <v>743</v>
      </c>
      <c r="C118" s="510" t="s">
        <v>705</v>
      </c>
      <c r="D118" s="563" t="s">
        <v>751</v>
      </c>
      <c r="E118" s="564" t="s">
        <v>752</v>
      </c>
      <c r="F118" s="565">
        <v>22594696</v>
      </c>
      <c r="G118" s="24">
        <f t="shared" si="233"/>
        <v>22594696</v>
      </c>
      <c r="H118" s="25">
        <f t="shared" ca="1" si="234"/>
        <v>5505504</v>
      </c>
      <c r="I118" s="25">
        <f t="shared" si="235"/>
        <v>22594696</v>
      </c>
      <c r="J118" s="25">
        <v>0</v>
      </c>
      <c r="K118" s="46">
        <f t="shared" ca="1" si="236"/>
        <v>5505504</v>
      </c>
      <c r="L118" s="533">
        <f t="shared" ca="1" si="237"/>
        <v>0.24366355714633203</v>
      </c>
      <c r="M118" s="534">
        <f t="shared" ca="1" si="238"/>
        <v>17089192</v>
      </c>
      <c r="N118" s="540"/>
      <c r="O118" s="27" t="s">
        <v>753</v>
      </c>
      <c r="P118" s="577"/>
      <c r="Q118" s="577"/>
    </row>
    <row r="119" spans="1:17" s="491" customFormat="1" ht="12.75" customHeight="1">
      <c r="A119" s="518" t="s">
        <v>311</v>
      </c>
      <c r="B119" s="26" t="s">
        <v>736</v>
      </c>
      <c r="C119" s="510" t="s">
        <v>705</v>
      </c>
      <c r="D119" s="570" t="s">
        <v>754</v>
      </c>
      <c r="E119" s="571" t="s">
        <v>741</v>
      </c>
      <c r="F119" s="562">
        <v>79584</v>
      </c>
      <c r="G119" s="24">
        <f t="shared" ref="G119:G120" si="239">F119+J119</f>
        <v>79584</v>
      </c>
      <c r="H119" s="25">
        <f t="shared" ref="H119:H120" ca="1" si="240">SUMIF(INDIRECT($K$213),A119,INDIRECT($K$214))</f>
        <v>31834</v>
      </c>
      <c r="I119" s="25">
        <f t="shared" ref="I119:I120" si="241">IF(G119&lt;&gt;0,G119,F119)</f>
        <v>79584</v>
      </c>
      <c r="J119" s="25">
        <v>0</v>
      </c>
      <c r="K119" s="46">
        <f t="shared" ref="K119:K120" ca="1" si="242">SUMIF(INDIRECT($K$216),A119,INDIRECT($K$217))</f>
        <v>31834</v>
      </c>
      <c r="L119" s="533">
        <f t="shared" ref="L119:L120" ca="1" si="243">IF(G119&gt;0,K119/G119,K119/F119)</f>
        <v>0.40000502613590672</v>
      </c>
      <c r="M119" s="534">
        <f t="shared" ref="M119:M120" ca="1" si="244">IF(G119&gt;0,G119-K119,F119-K119)</f>
        <v>47750</v>
      </c>
      <c r="N119" s="540"/>
      <c r="O119" s="27" t="s">
        <v>755</v>
      </c>
      <c r="P119" s="577"/>
      <c r="Q119" s="577"/>
    </row>
    <row r="120" spans="1:17" s="491" customFormat="1" ht="60" customHeight="1">
      <c r="A120" s="518" t="s">
        <v>279</v>
      </c>
      <c r="B120" s="572" t="s">
        <v>756</v>
      </c>
      <c r="C120" s="510" t="s">
        <v>757</v>
      </c>
      <c r="D120" s="567" t="s">
        <v>758</v>
      </c>
      <c r="E120" s="568" t="s">
        <v>640</v>
      </c>
      <c r="F120" s="569">
        <v>3139730</v>
      </c>
      <c r="G120" s="24">
        <f t="shared" si="239"/>
        <v>3139730</v>
      </c>
      <c r="H120" s="25">
        <f t="shared" ca="1" si="240"/>
        <v>2039730</v>
      </c>
      <c r="I120" s="25">
        <f t="shared" si="241"/>
        <v>3139730</v>
      </c>
      <c r="J120" s="25">
        <v>0</v>
      </c>
      <c r="K120" s="46">
        <f t="shared" ca="1" si="242"/>
        <v>2039730</v>
      </c>
      <c r="L120" s="533">
        <f t="shared" ca="1" si="243"/>
        <v>0.64965140314613035</v>
      </c>
      <c r="M120" s="534">
        <f t="shared" ca="1" si="244"/>
        <v>1100000</v>
      </c>
      <c r="N120" s="540"/>
      <c r="O120" s="27" t="s">
        <v>759</v>
      </c>
      <c r="P120" s="577"/>
      <c r="Q120" s="577"/>
    </row>
    <row r="121" spans="1:17" s="491" customFormat="1" ht="12.75" customHeight="1">
      <c r="A121" s="518" t="s">
        <v>281</v>
      </c>
      <c r="B121" s="26" t="s">
        <v>736</v>
      </c>
      <c r="C121" s="510" t="s">
        <v>606</v>
      </c>
      <c r="D121" s="27" t="s">
        <v>760</v>
      </c>
      <c r="E121" s="28" t="s">
        <v>608</v>
      </c>
      <c r="F121" s="524">
        <v>124163</v>
      </c>
      <c r="G121" s="24">
        <f t="shared" ref="G121:G122" si="245">F121+J121</f>
        <v>124163</v>
      </c>
      <c r="H121" s="25">
        <f t="shared" ref="H121:H122" ca="1" si="246">SUMIF(INDIRECT($K$213),A121,INDIRECT($K$214))</f>
        <v>124163</v>
      </c>
      <c r="I121" s="25">
        <f t="shared" ref="I121:I122" si="247">IF(G121&lt;&gt;0,G121,F121)</f>
        <v>124163</v>
      </c>
      <c r="J121" s="25">
        <v>0</v>
      </c>
      <c r="K121" s="46">
        <f t="shared" ref="K121:K122" ca="1" si="248">SUMIF(INDIRECT($K$216),A121,INDIRECT($K$217))</f>
        <v>124163</v>
      </c>
      <c r="L121" s="533">
        <f t="shared" ref="L121:L122" ca="1" si="249">IF(G121&gt;0,K121/G121,K121/F121)</f>
        <v>1</v>
      </c>
      <c r="M121" s="534">
        <f t="shared" ref="M121:M122" ca="1" si="250">IF(G121&gt;0,G121-K121,F121-K121)</f>
        <v>0</v>
      </c>
      <c r="N121" s="540"/>
      <c r="O121" s="27" t="s">
        <v>580</v>
      </c>
      <c r="P121" s="577"/>
      <c r="Q121" s="577"/>
    </row>
    <row r="122" spans="1:17" s="491" customFormat="1" ht="12.75" customHeight="1">
      <c r="A122" s="518" t="s">
        <v>288</v>
      </c>
      <c r="B122" s="26" t="s">
        <v>761</v>
      </c>
      <c r="C122" s="510" t="s">
        <v>757</v>
      </c>
      <c r="D122" s="567" t="s">
        <v>762</v>
      </c>
      <c r="E122" s="568" t="s">
        <v>763</v>
      </c>
      <c r="F122" s="569">
        <v>170000</v>
      </c>
      <c r="G122" s="24">
        <f t="shared" si="245"/>
        <v>170000</v>
      </c>
      <c r="H122" s="25">
        <f t="shared" ca="1" si="246"/>
        <v>70000</v>
      </c>
      <c r="I122" s="25">
        <f t="shared" si="247"/>
        <v>170000</v>
      </c>
      <c r="J122" s="25">
        <v>0</v>
      </c>
      <c r="K122" s="46">
        <f t="shared" ca="1" si="248"/>
        <v>70000</v>
      </c>
      <c r="L122" s="533">
        <f t="shared" ca="1" si="249"/>
        <v>0.41176470588235292</v>
      </c>
      <c r="M122" s="534">
        <f t="shared" ca="1" si="250"/>
        <v>100000</v>
      </c>
      <c r="N122" s="540"/>
      <c r="O122" s="27" t="s">
        <v>764</v>
      </c>
      <c r="P122" s="577"/>
      <c r="Q122" s="577"/>
    </row>
    <row r="123" spans="1:17" s="491" customFormat="1" ht="12.75" customHeight="1">
      <c r="A123" s="518" t="s">
        <v>334</v>
      </c>
      <c r="B123" s="26" t="s">
        <v>736</v>
      </c>
      <c r="C123" s="510" t="s">
        <v>737</v>
      </c>
      <c r="D123" s="567" t="s">
        <v>765</v>
      </c>
      <c r="E123" s="568" t="s">
        <v>766</v>
      </c>
      <c r="F123" s="569">
        <v>549900</v>
      </c>
      <c r="G123" s="24">
        <f t="shared" ref="G123" si="251">F123+J123</f>
        <v>549900</v>
      </c>
      <c r="H123" s="25">
        <f t="shared" ref="H123" ca="1" si="252">SUMIF(INDIRECT($K$213),A123,INDIRECT($K$214))</f>
        <v>100000</v>
      </c>
      <c r="I123" s="25">
        <f t="shared" ref="I123" si="253">IF(G123&lt;&gt;0,G123,F123)</f>
        <v>549900</v>
      </c>
      <c r="J123" s="25">
        <v>0</v>
      </c>
      <c r="K123" s="46">
        <f t="shared" ref="K123" ca="1" si="254">SUMIF(INDIRECT($K$216),A123,INDIRECT($K$217))</f>
        <v>100000</v>
      </c>
      <c r="L123" s="533">
        <f t="shared" ref="L123" ca="1" si="255">IF(G123&gt;0,K123/G123,K123/F123)</f>
        <v>0.18185124568103292</v>
      </c>
      <c r="M123" s="534">
        <f t="shared" ref="M123" ca="1" si="256">IF(G123&gt;0,G123-K123,F123-K123)</f>
        <v>449900</v>
      </c>
      <c r="N123" s="540"/>
      <c r="O123" s="27" t="s">
        <v>767</v>
      </c>
      <c r="P123" s="577"/>
      <c r="Q123" s="577"/>
    </row>
    <row r="124" spans="1:17" s="491" customFormat="1" ht="12.75" customHeight="1">
      <c r="A124" s="566" t="s">
        <v>340</v>
      </c>
      <c r="B124" s="26"/>
      <c r="C124" s="510"/>
      <c r="D124" s="563" t="s">
        <v>768</v>
      </c>
      <c r="E124" s="564" t="s">
        <v>769</v>
      </c>
      <c r="F124" s="565">
        <v>11284542</v>
      </c>
      <c r="G124" s="24">
        <f t="shared" ref="G124:G194" si="257">F124+J124</f>
        <v>11284542</v>
      </c>
      <c r="H124" s="25">
        <f t="shared" ref="H124:H194" ca="1" si="258">SUMIF(INDIRECT($K$213),A124,INDIRECT($K$214))</f>
        <v>3600000</v>
      </c>
      <c r="I124" s="25">
        <f t="shared" ref="I124:I194" si="259">IF(G124&lt;&gt;0,G124,F124)</f>
        <v>11284542</v>
      </c>
      <c r="J124" s="25">
        <v>0</v>
      </c>
      <c r="K124" s="46">
        <f t="shared" ref="K124:K194" ca="1" si="260">SUMIF(INDIRECT($K$216),A124,INDIRECT($K$217))</f>
        <v>3600000</v>
      </c>
      <c r="L124" s="533">
        <f t="shared" ref="L124:L194" ca="1" si="261">IF(G124&gt;0,K124/G124,K124/F124)</f>
        <v>0.31902047951968276</v>
      </c>
      <c r="M124" s="534">
        <f t="shared" ref="M124:M194" ca="1" si="262">IF(G124&gt;0,G124-K124,F124-K124)</f>
        <v>7684542</v>
      </c>
      <c r="N124" s="540"/>
      <c r="O124" s="27"/>
      <c r="P124" s="577"/>
      <c r="Q124" s="577"/>
    </row>
    <row r="125" spans="1:17" s="491" customFormat="1" ht="12.75" customHeight="1">
      <c r="A125" s="518" t="s">
        <v>293</v>
      </c>
      <c r="B125" s="26" t="s">
        <v>770</v>
      </c>
      <c r="C125" s="510" t="s">
        <v>693</v>
      </c>
      <c r="D125" s="27" t="s">
        <v>771</v>
      </c>
      <c r="E125" s="28" t="s">
        <v>695</v>
      </c>
      <c r="F125" s="524">
        <v>1000</v>
      </c>
      <c r="G125" s="24">
        <f t="shared" si="257"/>
        <v>1000</v>
      </c>
      <c r="H125" s="25">
        <f t="shared" ca="1" si="258"/>
        <v>1000</v>
      </c>
      <c r="I125" s="25">
        <f t="shared" si="259"/>
        <v>1000</v>
      </c>
      <c r="J125" s="25">
        <v>0</v>
      </c>
      <c r="K125" s="46">
        <f t="shared" ca="1" si="260"/>
        <v>1000</v>
      </c>
      <c r="L125" s="533">
        <f t="shared" ca="1" si="261"/>
        <v>1</v>
      </c>
      <c r="M125" s="534">
        <f t="shared" ca="1" si="262"/>
        <v>0</v>
      </c>
      <c r="N125" s="540"/>
      <c r="O125" s="27"/>
      <c r="P125" s="577"/>
      <c r="Q125" s="577"/>
    </row>
    <row r="126" spans="1:17" s="491" customFormat="1" ht="12.75" customHeight="1">
      <c r="A126" s="518" t="s">
        <v>308</v>
      </c>
      <c r="B126" s="26" t="s">
        <v>772</v>
      </c>
      <c r="C126" s="510" t="s">
        <v>705</v>
      </c>
      <c r="D126" s="563" t="s">
        <v>773</v>
      </c>
      <c r="E126" s="564" t="s">
        <v>774</v>
      </c>
      <c r="F126" s="565">
        <v>3760794</v>
      </c>
      <c r="G126" s="24">
        <f t="shared" si="257"/>
        <v>3760794</v>
      </c>
      <c r="H126" s="25">
        <f t="shared" ca="1" si="258"/>
        <v>2130397</v>
      </c>
      <c r="I126" s="25">
        <f t="shared" si="259"/>
        <v>3760794</v>
      </c>
      <c r="J126" s="25">
        <v>0</v>
      </c>
      <c r="K126" s="46">
        <f t="shared" ca="1" si="260"/>
        <v>2130397</v>
      </c>
      <c r="L126" s="533">
        <f t="shared" ca="1" si="261"/>
        <v>0.56647532409379509</v>
      </c>
      <c r="M126" s="534">
        <f t="shared" ca="1" si="262"/>
        <v>1630397</v>
      </c>
      <c r="N126" s="540"/>
      <c r="O126" s="27" t="s">
        <v>775</v>
      </c>
      <c r="P126" s="577"/>
      <c r="Q126" s="577"/>
    </row>
    <row r="127" spans="1:17" s="491" customFormat="1" ht="12.75" customHeight="1">
      <c r="A127" s="518" t="s">
        <v>290</v>
      </c>
      <c r="B127" s="26" t="s">
        <v>761</v>
      </c>
      <c r="C127" s="510" t="s">
        <v>622</v>
      </c>
      <c r="D127" s="567" t="s">
        <v>776</v>
      </c>
      <c r="E127" s="568" t="s">
        <v>763</v>
      </c>
      <c r="F127" s="569">
        <v>200000</v>
      </c>
      <c r="G127" s="24">
        <f t="shared" si="257"/>
        <v>200000</v>
      </c>
      <c r="H127" s="25">
        <f t="shared" ca="1" si="258"/>
        <v>200000</v>
      </c>
      <c r="I127" s="25">
        <f t="shared" si="259"/>
        <v>200000</v>
      </c>
      <c r="J127" s="25">
        <v>0</v>
      </c>
      <c r="K127" s="46">
        <f t="shared" ca="1" si="260"/>
        <v>200000</v>
      </c>
      <c r="L127" s="533">
        <f t="shared" ca="1" si="261"/>
        <v>1</v>
      </c>
      <c r="M127" s="534">
        <f t="shared" ca="1" si="262"/>
        <v>0</v>
      </c>
      <c r="N127" s="540"/>
      <c r="O127" s="27" t="s">
        <v>777</v>
      </c>
      <c r="P127" s="577"/>
      <c r="Q127" s="577"/>
    </row>
    <row r="128" spans="1:17" s="491" customFormat="1" ht="12.75" customHeight="1">
      <c r="A128" s="518" t="s">
        <v>358</v>
      </c>
      <c r="B128" s="26" t="s">
        <v>778</v>
      </c>
      <c r="C128" s="510" t="s">
        <v>705</v>
      </c>
      <c r="D128" s="570" t="s">
        <v>779</v>
      </c>
      <c r="E128" s="571" t="s">
        <v>741</v>
      </c>
      <c r="F128" s="562">
        <v>513000</v>
      </c>
      <c r="G128" s="24">
        <f t="shared" si="257"/>
        <v>513000</v>
      </c>
      <c r="H128" s="25">
        <f t="shared" ca="1" si="258"/>
        <v>150000</v>
      </c>
      <c r="I128" s="25">
        <f t="shared" si="259"/>
        <v>513000</v>
      </c>
      <c r="J128" s="25">
        <v>0</v>
      </c>
      <c r="K128" s="46">
        <f t="shared" ca="1" si="260"/>
        <v>150000</v>
      </c>
      <c r="L128" s="533">
        <f t="shared" ca="1" si="261"/>
        <v>0.29239766081871343</v>
      </c>
      <c r="M128" s="534">
        <f t="shared" ca="1" si="262"/>
        <v>363000</v>
      </c>
      <c r="N128" s="540"/>
      <c r="O128" s="27" t="s">
        <v>780</v>
      </c>
      <c r="P128" s="577"/>
      <c r="Q128" s="577"/>
    </row>
    <row r="129" spans="1:17" s="491" customFormat="1" ht="12.75" customHeight="1">
      <c r="A129" s="518" t="s">
        <v>302</v>
      </c>
      <c r="B129" s="26" t="s">
        <v>781</v>
      </c>
      <c r="C129" s="510" t="s">
        <v>705</v>
      </c>
      <c r="D129" s="570" t="s">
        <v>782</v>
      </c>
      <c r="E129" s="571" t="s">
        <v>783</v>
      </c>
      <c r="F129" s="562">
        <v>349680</v>
      </c>
      <c r="G129" s="24">
        <f t="shared" si="257"/>
        <v>349680</v>
      </c>
      <c r="H129" s="25">
        <f t="shared" ca="1" si="258"/>
        <v>250000</v>
      </c>
      <c r="I129" s="25">
        <f t="shared" si="259"/>
        <v>349680</v>
      </c>
      <c r="J129" s="25">
        <v>0</v>
      </c>
      <c r="K129" s="46">
        <f t="shared" ca="1" si="260"/>
        <v>250000</v>
      </c>
      <c r="L129" s="533">
        <f t="shared" ca="1" si="261"/>
        <v>0.71493937314115763</v>
      </c>
      <c r="M129" s="534">
        <f t="shared" ca="1" si="262"/>
        <v>99680</v>
      </c>
      <c r="N129" s="540"/>
      <c r="O129" s="27" t="s">
        <v>784</v>
      </c>
      <c r="P129" s="577"/>
      <c r="Q129" s="577"/>
    </row>
    <row r="130" spans="1:17" s="491" customFormat="1" ht="12.75" customHeight="1">
      <c r="A130" s="518" t="s">
        <v>785</v>
      </c>
      <c r="B130" s="26" t="s">
        <v>786</v>
      </c>
      <c r="C130" s="510" t="s">
        <v>787</v>
      </c>
      <c r="D130" s="570" t="s">
        <v>788</v>
      </c>
      <c r="E130" s="571" t="s">
        <v>745</v>
      </c>
      <c r="F130" s="562">
        <v>1131638</v>
      </c>
      <c r="G130" s="24">
        <f t="shared" si="257"/>
        <v>1131638</v>
      </c>
      <c r="H130" s="25">
        <f t="shared" ca="1" si="258"/>
        <v>0</v>
      </c>
      <c r="I130" s="25">
        <f t="shared" si="259"/>
        <v>1131638</v>
      </c>
      <c r="J130" s="25">
        <v>0</v>
      </c>
      <c r="K130" s="46">
        <f t="shared" ca="1" si="260"/>
        <v>0</v>
      </c>
      <c r="L130" s="533">
        <f t="shared" ca="1" si="261"/>
        <v>0</v>
      </c>
      <c r="M130" s="534">
        <f t="shared" ca="1" si="262"/>
        <v>1131638</v>
      </c>
      <c r="N130" s="540"/>
      <c r="O130" s="27" t="s">
        <v>789</v>
      </c>
      <c r="P130" s="577"/>
      <c r="Q130" s="577"/>
    </row>
    <row r="131" spans="1:17" s="491" customFormat="1" ht="12.75" customHeight="1">
      <c r="A131" s="518" t="s">
        <v>309</v>
      </c>
      <c r="B131" s="26" t="s">
        <v>790</v>
      </c>
      <c r="C131" s="510" t="s">
        <v>585</v>
      </c>
      <c r="D131" s="27" t="s">
        <v>791</v>
      </c>
      <c r="E131" s="28" t="s">
        <v>382</v>
      </c>
      <c r="F131" s="524">
        <v>237811</v>
      </c>
      <c r="G131" s="24">
        <f t="shared" ref="G131:G132" si="263">F131+J131</f>
        <v>237811</v>
      </c>
      <c r="H131" s="25">
        <f t="shared" ref="H131:H132" ca="1" si="264">SUMIF(INDIRECT($K$213),A131,INDIRECT($K$214))</f>
        <v>237811</v>
      </c>
      <c r="I131" s="25">
        <f t="shared" ref="I131:I132" si="265">IF(G131&lt;&gt;0,G131,F131)</f>
        <v>237811</v>
      </c>
      <c r="J131" s="25">
        <v>0</v>
      </c>
      <c r="K131" s="46">
        <f t="shared" ref="K131:K132" ca="1" si="266">SUMIF(INDIRECT($K$216),A131,INDIRECT($K$217))</f>
        <v>237811</v>
      </c>
      <c r="L131" s="533">
        <f t="shared" ref="L131:L132" ca="1" si="267">IF(G131&gt;0,K131/G131,K131/F131)</f>
        <v>1</v>
      </c>
      <c r="M131" s="534">
        <f t="shared" ref="M131:M132" ca="1" si="268">IF(G131&gt;0,G131-K131,F131-K131)</f>
        <v>0</v>
      </c>
      <c r="N131" s="540"/>
      <c r="O131" s="27"/>
      <c r="P131" s="577"/>
      <c r="Q131" s="577"/>
    </row>
    <row r="132" spans="1:17" s="491" customFormat="1" ht="18.75" customHeight="1">
      <c r="A132" s="518" t="s">
        <v>354</v>
      </c>
      <c r="B132" s="26" t="s">
        <v>790</v>
      </c>
      <c r="C132" s="510" t="s">
        <v>705</v>
      </c>
      <c r="D132" s="563" t="s">
        <v>792</v>
      </c>
      <c r="E132" s="564" t="s">
        <v>793</v>
      </c>
      <c r="F132" s="565">
        <v>1774697</v>
      </c>
      <c r="G132" s="24">
        <f t="shared" si="263"/>
        <v>1774697</v>
      </c>
      <c r="H132" s="25">
        <f t="shared" ca="1" si="264"/>
        <v>80225</v>
      </c>
      <c r="I132" s="25">
        <f t="shared" si="265"/>
        <v>1774697</v>
      </c>
      <c r="J132" s="25">
        <v>0</v>
      </c>
      <c r="K132" s="46">
        <f t="shared" ca="1" si="266"/>
        <v>80225</v>
      </c>
      <c r="L132" s="533">
        <f t="shared" ca="1" si="267"/>
        <v>4.5204899765988224E-2</v>
      </c>
      <c r="M132" s="534">
        <f t="shared" ca="1" si="268"/>
        <v>1694472</v>
      </c>
      <c r="N132" s="540"/>
      <c r="O132" s="27" t="s">
        <v>794</v>
      </c>
      <c r="P132" s="577"/>
      <c r="Q132" s="577"/>
    </row>
    <row r="133" spans="1:17" s="491" customFormat="1" ht="12.75" customHeight="1">
      <c r="A133" s="518" t="s">
        <v>303</v>
      </c>
      <c r="B133" s="26" t="s">
        <v>795</v>
      </c>
      <c r="C133" s="510" t="s">
        <v>796</v>
      </c>
      <c r="D133" s="27" t="s">
        <v>797</v>
      </c>
      <c r="E133" s="28" t="s">
        <v>486</v>
      </c>
      <c r="F133" s="524">
        <v>11440</v>
      </c>
      <c r="G133" s="24">
        <f t="shared" ref="G133:G143" si="269">F133+J133</f>
        <v>11440</v>
      </c>
      <c r="H133" s="25">
        <f t="shared" ref="H133:H143" ca="1" si="270">SUMIF(INDIRECT($K$213),A133,INDIRECT($K$214))</f>
        <v>11440</v>
      </c>
      <c r="I133" s="25">
        <f t="shared" ref="I133:I143" si="271">IF(G133&lt;&gt;0,G133,F133)</f>
        <v>11440</v>
      </c>
      <c r="J133" s="25">
        <v>0</v>
      </c>
      <c r="K133" s="46">
        <f t="shared" ref="K133:K143" ca="1" si="272">SUMIF(INDIRECT($K$216),A133,INDIRECT($K$217))</f>
        <v>11440</v>
      </c>
      <c r="L133" s="533">
        <f t="shared" ref="L133:L143" ca="1" si="273">IF(G133&gt;0,K133/G133,K133/F133)</f>
        <v>1</v>
      </c>
      <c r="M133" s="534">
        <f t="shared" ref="M133:M143" ca="1" si="274">IF(G133&gt;0,G133-K133,F133-K133)</f>
        <v>0</v>
      </c>
      <c r="N133" s="540"/>
      <c r="O133" s="27"/>
      <c r="P133" s="577"/>
      <c r="Q133" s="577"/>
    </row>
    <row r="134" spans="1:17" s="491" customFormat="1" ht="12.75" customHeight="1">
      <c r="A134" s="518" t="s">
        <v>304</v>
      </c>
      <c r="B134" s="26" t="s">
        <v>795</v>
      </c>
      <c r="C134" s="510" t="s">
        <v>796</v>
      </c>
      <c r="D134" s="27" t="s">
        <v>798</v>
      </c>
      <c r="E134" s="28" t="s">
        <v>799</v>
      </c>
      <c r="F134" s="524">
        <v>6000</v>
      </c>
      <c r="G134" s="24">
        <f t="shared" si="269"/>
        <v>6000</v>
      </c>
      <c r="H134" s="25">
        <f t="shared" ca="1" si="270"/>
        <v>6000</v>
      </c>
      <c r="I134" s="25">
        <f t="shared" si="271"/>
        <v>6000</v>
      </c>
      <c r="J134" s="25">
        <v>0</v>
      </c>
      <c r="K134" s="46">
        <f t="shared" ca="1" si="272"/>
        <v>6000</v>
      </c>
      <c r="L134" s="533">
        <f t="shared" ca="1" si="273"/>
        <v>1</v>
      </c>
      <c r="M134" s="534">
        <f t="shared" ca="1" si="274"/>
        <v>0</v>
      </c>
      <c r="N134" s="540"/>
      <c r="O134" s="27"/>
      <c r="P134" s="577"/>
      <c r="Q134" s="577"/>
    </row>
    <row r="135" spans="1:17" s="491" customFormat="1" ht="12.75" customHeight="1">
      <c r="A135" s="518" t="s">
        <v>306</v>
      </c>
      <c r="B135" s="26" t="s">
        <v>795</v>
      </c>
      <c r="C135" s="510" t="s">
        <v>757</v>
      </c>
      <c r="D135" s="567" t="s">
        <v>800</v>
      </c>
      <c r="E135" s="568" t="s">
        <v>801</v>
      </c>
      <c r="F135" s="569">
        <v>49100</v>
      </c>
      <c r="G135" s="24">
        <f t="shared" si="269"/>
        <v>49100</v>
      </c>
      <c r="H135" s="25">
        <f t="shared" ca="1" si="270"/>
        <v>49100</v>
      </c>
      <c r="I135" s="25">
        <f t="shared" si="271"/>
        <v>49100</v>
      </c>
      <c r="J135" s="25">
        <v>0</v>
      </c>
      <c r="K135" s="46">
        <f t="shared" ca="1" si="272"/>
        <v>49100</v>
      </c>
      <c r="L135" s="533">
        <f t="shared" ca="1" si="273"/>
        <v>1</v>
      </c>
      <c r="M135" s="534">
        <f t="shared" ca="1" si="274"/>
        <v>0</v>
      </c>
      <c r="N135" s="540"/>
      <c r="O135" s="27"/>
      <c r="P135" s="577"/>
      <c r="Q135" s="577"/>
    </row>
    <row r="136" spans="1:17" s="491" customFormat="1" ht="18" customHeight="1">
      <c r="A136" s="518" t="s">
        <v>323</v>
      </c>
      <c r="B136" s="26" t="s">
        <v>795</v>
      </c>
      <c r="C136" s="510" t="s">
        <v>787</v>
      </c>
      <c r="D136" s="570" t="s">
        <v>802</v>
      </c>
      <c r="E136" s="571" t="s">
        <v>803</v>
      </c>
      <c r="F136" s="562">
        <v>213449</v>
      </c>
      <c r="G136" s="24">
        <f t="shared" ref="G136:G142" si="275">F136+J136</f>
        <v>213449</v>
      </c>
      <c r="H136" s="25">
        <f t="shared" ref="H136:H142" ca="1" si="276">SUMIF(INDIRECT($K$213),A136,INDIRECT($K$214))</f>
        <v>170759.2</v>
      </c>
      <c r="I136" s="25">
        <f t="shared" ref="I136:I142" si="277">IF(G136&lt;&gt;0,G136,F136)</f>
        <v>213449</v>
      </c>
      <c r="J136" s="25">
        <v>0</v>
      </c>
      <c r="K136" s="46">
        <f t="shared" ref="K136:K142" ca="1" si="278">SUMIF(INDIRECT($K$216),A136,INDIRECT($K$217))</f>
        <v>170759.2</v>
      </c>
      <c r="L136" s="533">
        <f t="shared" ref="L136:L142" ca="1" si="279">IF(G136&gt;0,K136/G136,K136/F136)</f>
        <v>0.8</v>
      </c>
      <c r="M136" s="534">
        <f t="shared" ref="M136:M142" ca="1" si="280">IF(G136&gt;0,G136-K136,F136-K136)</f>
        <v>42689.799999999988</v>
      </c>
      <c r="N136" s="540"/>
      <c r="O136" s="27" t="s">
        <v>804</v>
      </c>
      <c r="P136" s="577"/>
      <c r="Q136" s="577"/>
    </row>
    <row r="137" spans="1:17" s="491" customFormat="1" ht="12.75" customHeight="1">
      <c r="A137" s="518" t="s">
        <v>805</v>
      </c>
      <c r="B137" s="26" t="s">
        <v>786</v>
      </c>
      <c r="C137" s="510" t="s">
        <v>705</v>
      </c>
      <c r="D137" s="570" t="s">
        <v>806</v>
      </c>
      <c r="E137" s="571" t="s">
        <v>807</v>
      </c>
      <c r="F137" s="562">
        <v>250325</v>
      </c>
      <c r="G137" s="24">
        <f t="shared" si="275"/>
        <v>250325</v>
      </c>
      <c r="H137" s="25">
        <f t="shared" ca="1" si="276"/>
        <v>0</v>
      </c>
      <c r="I137" s="25">
        <f t="shared" si="277"/>
        <v>250325</v>
      </c>
      <c r="J137" s="25">
        <v>0</v>
      </c>
      <c r="K137" s="46">
        <f t="shared" ca="1" si="278"/>
        <v>0</v>
      </c>
      <c r="L137" s="533">
        <f t="shared" ca="1" si="279"/>
        <v>0</v>
      </c>
      <c r="M137" s="534">
        <f t="shared" ca="1" si="280"/>
        <v>250325</v>
      </c>
      <c r="N137" s="540"/>
      <c r="O137" s="27" t="s">
        <v>808</v>
      </c>
      <c r="P137" s="577"/>
      <c r="Q137" s="577"/>
    </row>
    <row r="138" spans="1:17" s="491" customFormat="1" ht="12.75" customHeight="1">
      <c r="A138" s="518" t="s">
        <v>313</v>
      </c>
      <c r="B138" s="26" t="s">
        <v>795</v>
      </c>
      <c r="C138" s="510" t="s">
        <v>796</v>
      </c>
      <c r="D138" s="27" t="s">
        <v>809</v>
      </c>
      <c r="E138" s="28" t="s">
        <v>810</v>
      </c>
      <c r="F138" s="524">
        <v>77563.17</v>
      </c>
      <c r="G138" s="24">
        <f t="shared" ref="G138:G141" si="281">F138+J138</f>
        <v>77563.17</v>
      </c>
      <c r="H138" s="25">
        <f t="shared" ref="H138:H141" ca="1" si="282">SUMIF(INDIRECT($K$213),A138,INDIRECT($K$214))</f>
        <v>77563.17</v>
      </c>
      <c r="I138" s="25">
        <f t="shared" ref="I138:I141" si="283">IF(G138&lt;&gt;0,G138,F138)</f>
        <v>77563.17</v>
      </c>
      <c r="J138" s="25">
        <v>0</v>
      </c>
      <c r="K138" s="46">
        <f t="shared" ref="K138:K141" ca="1" si="284">SUMIF(INDIRECT($K$216),A138,INDIRECT($K$217))</f>
        <v>77563.17</v>
      </c>
      <c r="L138" s="533">
        <f t="shared" ref="L138:L141" ca="1" si="285">IF(G138&gt;0,K138/G138,K138/F138)</f>
        <v>1</v>
      </c>
      <c r="M138" s="534">
        <f t="shared" ref="M138:M141" ca="1" si="286">IF(G138&gt;0,G138-K138,F138-K138)</f>
        <v>0</v>
      </c>
      <c r="N138" s="540"/>
      <c r="O138" s="27"/>
      <c r="P138" s="577"/>
      <c r="Q138" s="577"/>
    </row>
    <row r="139" spans="1:17" s="491" customFormat="1" ht="21" customHeight="1">
      <c r="A139" s="518" t="s">
        <v>234</v>
      </c>
      <c r="B139" s="26" t="s">
        <v>811</v>
      </c>
      <c r="C139" s="510" t="s">
        <v>705</v>
      </c>
      <c r="D139" s="570" t="s">
        <v>812</v>
      </c>
      <c r="E139" s="571" t="s">
        <v>752</v>
      </c>
      <c r="F139" s="562">
        <v>559667</v>
      </c>
      <c r="G139" s="24">
        <f t="shared" si="281"/>
        <v>559667</v>
      </c>
      <c r="H139" s="25">
        <f t="shared" ca="1" si="282"/>
        <v>530000</v>
      </c>
      <c r="I139" s="25">
        <f t="shared" si="283"/>
        <v>559667</v>
      </c>
      <c r="J139" s="25">
        <v>0</v>
      </c>
      <c r="K139" s="46">
        <f t="shared" ca="1" si="284"/>
        <v>530000</v>
      </c>
      <c r="L139" s="533">
        <f t="shared" ca="1" si="285"/>
        <v>0.94699169327475086</v>
      </c>
      <c r="M139" s="534">
        <f t="shared" ca="1" si="286"/>
        <v>29667</v>
      </c>
      <c r="N139" s="540"/>
      <c r="O139" s="27" t="s">
        <v>813</v>
      </c>
      <c r="P139" s="577"/>
      <c r="Q139" s="577"/>
    </row>
    <row r="140" spans="1:17" s="491" customFormat="1" ht="18" customHeight="1">
      <c r="A140" s="518" t="s">
        <v>337</v>
      </c>
      <c r="B140" s="26" t="s">
        <v>322</v>
      </c>
      <c r="C140" s="510" t="s">
        <v>705</v>
      </c>
      <c r="D140" s="570" t="s">
        <v>814</v>
      </c>
      <c r="E140" s="571" t="s">
        <v>815</v>
      </c>
      <c r="F140" s="562">
        <v>149014</v>
      </c>
      <c r="G140" s="24">
        <f t="shared" si="281"/>
        <v>149014</v>
      </c>
      <c r="H140" s="25">
        <f t="shared" ca="1" si="282"/>
        <v>124507</v>
      </c>
      <c r="I140" s="25">
        <f t="shared" si="283"/>
        <v>149014</v>
      </c>
      <c r="J140" s="25">
        <v>0</v>
      </c>
      <c r="K140" s="46">
        <f t="shared" ca="1" si="284"/>
        <v>124507</v>
      </c>
      <c r="L140" s="533">
        <f t="shared" ca="1" si="285"/>
        <v>0.83553894264968387</v>
      </c>
      <c r="M140" s="534">
        <f t="shared" ca="1" si="286"/>
        <v>24507</v>
      </c>
      <c r="N140" s="540"/>
      <c r="O140" s="27" t="s">
        <v>816</v>
      </c>
      <c r="P140" s="577"/>
      <c r="Q140" s="577"/>
    </row>
    <row r="141" spans="1:17" s="491" customFormat="1" ht="20.25" customHeight="1">
      <c r="A141" s="518" t="s">
        <v>275</v>
      </c>
      <c r="B141" s="26" t="s">
        <v>322</v>
      </c>
      <c r="C141" s="510" t="s">
        <v>817</v>
      </c>
      <c r="D141" s="567" t="s">
        <v>818</v>
      </c>
      <c r="E141" s="568" t="s">
        <v>667</v>
      </c>
      <c r="F141" s="569">
        <v>5700000</v>
      </c>
      <c r="G141" s="24">
        <f t="shared" si="281"/>
        <v>5700000</v>
      </c>
      <c r="H141" s="25">
        <f t="shared" ca="1" si="282"/>
        <v>4200000</v>
      </c>
      <c r="I141" s="25">
        <f t="shared" si="283"/>
        <v>5700000</v>
      </c>
      <c r="J141" s="25">
        <v>0</v>
      </c>
      <c r="K141" s="46">
        <f t="shared" ca="1" si="284"/>
        <v>4200000</v>
      </c>
      <c r="L141" s="533">
        <f t="shared" ca="1" si="285"/>
        <v>0.73684210526315785</v>
      </c>
      <c r="M141" s="534">
        <f t="shared" ca="1" si="286"/>
        <v>1500000</v>
      </c>
      <c r="N141" s="540"/>
      <c r="O141" s="27" t="s">
        <v>819</v>
      </c>
      <c r="P141" s="577"/>
      <c r="Q141" s="577"/>
    </row>
    <row r="142" spans="1:17" s="491" customFormat="1" ht="12.75" customHeight="1">
      <c r="A142" s="518" t="s">
        <v>325</v>
      </c>
      <c r="B142" s="26" t="s">
        <v>820</v>
      </c>
      <c r="C142" s="510" t="s">
        <v>821</v>
      </c>
      <c r="D142" s="27" t="s">
        <v>822</v>
      </c>
      <c r="E142" s="28" t="s">
        <v>823</v>
      </c>
      <c r="F142" s="524">
        <v>2336</v>
      </c>
      <c r="G142" s="24">
        <f t="shared" si="275"/>
        <v>2336</v>
      </c>
      <c r="H142" s="25">
        <f t="shared" ca="1" si="276"/>
        <v>2336</v>
      </c>
      <c r="I142" s="25">
        <f t="shared" si="277"/>
        <v>2336</v>
      </c>
      <c r="J142" s="25">
        <v>0</v>
      </c>
      <c r="K142" s="46">
        <f t="shared" ca="1" si="278"/>
        <v>2336</v>
      </c>
      <c r="L142" s="533">
        <f t="shared" ca="1" si="279"/>
        <v>1</v>
      </c>
      <c r="M142" s="534">
        <f t="shared" ca="1" si="280"/>
        <v>0</v>
      </c>
      <c r="N142" s="540"/>
      <c r="O142" s="27"/>
      <c r="P142" s="577"/>
      <c r="Q142" s="577"/>
    </row>
    <row r="143" spans="1:17" s="491" customFormat="1" ht="20.25" customHeight="1">
      <c r="A143" s="518" t="s">
        <v>353</v>
      </c>
      <c r="B143" s="26" t="s">
        <v>326</v>
      </c>
      <c r="C143" s="510" t="s">
        <v>705</v>
      </c>
      <c r="D143" s="27" t="s">
        <v>824</v>
      </c>
      <c r="E143" s="28" t="s">
        <v>825</v>
      </c>
      <c r="F143" s="524">
        <v>24560</v>
      </c>
      <c r="G143" s="24">
        <f t="shared" si="269"/>
        <v>24560</v>
      </c>
      <c r="H143" s="25">
        <f t="shared" ca="1" si="270"/>
        <v>23332</v>
      </c>
      <c r="I143" s="25">
        <f t="shared" si="271"/>
        <v>24560</v>
      </c>
      <c r="J143" s="25">
        <v>0</v>
      </c>
      <c r="K143" s="46">
        <f t="shared" ca="1" si="272"/>
        <v>23332</v>
      </c>
      <c r="L143" s="533">
        <f t="shared" ca="1" si="273"/>
        <v>0.95</v>
      </c>
      <c r="M143" s="534">
        <f t="shared" ca="1" si="274"/>
        <v>1228</v>
      </c>
      <c r="N143" s="540"/>
      <c r="O143" s="27" t="s">
        <v>826</v>
      </c>
      <c r="P143" s="577"/>
      <c r="Q143" s="577"/>
    </row>
    <row r="144" spans="1:17" s="491" customFormat="1" ht="21.75" customHeight="1">
      <c r="A144" s="518" t="s">
        <v>360</v>
      </c>
      <c r="B144" s="26" t="s">
        <v>827</v>
      </c>
      <c r="C144" s="510" t="s">
        <v>705</v>
      </c>
      <c r="D144" s="27" t="s">
        <v>828</v>
      </c>
      <c r="E144" s="28" t="s">
        <v>829</v>
      </c>
      <c r="F144" s="524">
        <v>12235</v>
      </c>
      <c r="G144" s="24">
        <f t="shared" si="257"/>
        <v>12235</v>
      </c>
      <c r="H144" s="25">
        <f t="shared" ca="1" si="258"/>
        <v>11623</v>
      </c>
      <c r="I144" s="25">
        <f t="shared" si="259"/>
        <v>12235</v>
      </c>
      <c r="J144" s="25">
        <v>0</v>
      </c>
      <c r="K144" s="46">
        <f t="shared" ca="1" si="260"/>
        <v>11623</v>
      </c>
      <c r="L144" s="533">
        <f t="shared" ca="1" si="261"/>
        <v>0.94997956681650997</v>
      </c>
      <c r="M144" s="534">
        <f t="shared" ca="1" si="262"/>
        <v>612</v>
      </c>
      <c r="N144" s="540"/>
      <c r="O144" s="27" t="s">
        <v>830</v>
      </c>
      <c r="P144" s="577"/>
      <c r="Q144" s="577"/>
    </row>
    <row r="145" spans="1:17" s="491" customFormat="1" ht="20.25" customHeight="1">
      <c r="A145" s="518" t="s">
        <v>831</v>
      </c>
      <c r="B145" s="26" t="s">
        <v>832</v>
      </c>
      <c r="C145" s="510" t="s">
        <v>698</v>
      </c>
      <c r="D145" s="27" t="s">
        <v>833</v>
      </c>
      <c r="E145" s="28" t="s">
        <v>834</v>
      </c>
      <c r="F145" s="524">
        <v>0</v>
      </c>
      <c r="G145" s="24">
        <f t="shared" ref="G145:G148" si="287">F145+J145</f>
        <v>0</v>
      </c>
      <c r="H145" s="25">
        <f t="shared" ref="H145:H148" ca="1" si="288">SUMIF(INDIRECT($K$213),A145,INDIRECT($K$214))</f>
        <v>0</v>
      </c>
      <c r="I145" s="25">
        <f t="shared" ref="I145:I148" si="289">IF(G145&lt;&gt;0,G145,F145)</f>
        <v>0</v>
      </c>
      <c r="J145" s="25">
        <v>0</v>
      </c>
      <c r="K145" s="46">
        <f t="shared" ref="K145:K148" ca="1" si="290">SUMIF(INDIRECT($K$216),A145,INDIRECT($K$217))</f>
        <v>0</v>
      </c>
      <c r="L145" s="533" t="e">
        <f t="shared" ref="L145:L148" ca="1" si="291">IF(G145&gt;0,K145/G145,K145/F145)</f>
        <v>#DIV/0!</v>
      </c>
      <c r="M145" s="534">
        <f t="shared" ref="M145:M148" ca="1" si="292">IF(G145&gt;0,G145-K145,F145-K145)</f>
        <v>0</v>
      </c>
      <c r="N145" s="540"/>
      <c r="O145" s="27" t="s">
        <v>835</v>
      </c>
      <c r="P145" s="577"/>
      <c r="Q145" s="577"/>
    </row>
    <row r="146" spans="1:17" s="491" customFormat="1" ht="20.25" customHeight="1">
      <c r="A146" s="518" t="s">
        <v>327</v>
      </c>
      <c r="B146" s="26" t="s">
        <v>328</v>
      </c>
      <c r="C146" s="510" t="s">
        <v>559</v>
      </c>
      <c r="D146" s="27" t="s">
        <v>836</v>
      </c>
      <c r="E146" s="28" t="s">
        <v>592</v>
      </c>
      <c r="F146" s="524">
        <v>6400</v>
      </c>
      <c r="G146" s="24">
        <f t="shared" si="287"/>
        <v>6400</v>
      </c>
      <c r="H146" s="25">
        <f t="shared" ca="1" si="288"/>
        <v>6400</v>
      </c>
      <c r="I146" s="25">
        <f t="shared" si="289"/>
        <v>6400</v>
      </c>
      <c r="J146" s="25">
        <v>0</v>
      </c>
      <c r="K146" s="46">
        <f t="shared" ca="1" si="290"/>
        <v>6400</v>
      </c>
      <c r="L146" s="533">
        <f t="shared" ca="1" si="291"/>
        <v>1</v>
      </c>
      <c r="M146" s="534">
        <f t="shared" ca="1" si="292"/>
        <v>0</v>
      </c>
      <c r="N146" s="540"/>
      <c r="O146" s="27"/>
      <c r="P146" s="577"/>
      <c r="Q146" s="577"/>
    </row>
    <row r="147" spans="1:17" s="491" customFormat="1" ht="20.25" customHeight="1">
      <c r="A147" s="518" t="s">
        <v>837</v>
      </c>
      <c r="B147" s="26" t="s">
        <v>838</v>
      </c>
      <c r="C147" s="510" t="s">
        <v>796</v>
      </c>
      <c r="D147" s="27" t="s">
        <v>839</v>
      </c>
      <c r="E147" s="28" t="s">
        <v>799</v>
      </c>
      <c r="F147" s="524">
        <v>6000</v>
      </c>
      <c r="G147" s="24">
        <f t="shared" si="287"/>
        <v>6000</v>
      </c>
      <c r="H147" s="25">
        <f t="shared" ca="1" si="288"/>
        <v>0</v>
      </c>
      <c r="I147" s="25">
        <f t="shared" si="289"/>
        <v>6000</v>
      </c>
      <c r="J147" s="25">
        <v>0</v>
      </c>
      <c r="K147" s="46">
        <f t="shared" ca="1" si="290"/>
        <v>0</v>
      </c>
      <c r="L147" s="533">
        <f t="shared" ca="1" si="291"/>
        <v>0</v>
      </c>
      <c r="M147" s="534">
        <f t="shared" ca="1" si="292"/>
        <v>6000</v>
      </c>
      <c r="N147" s="540"/>
      <c r="O147" s="27"/>
      <c r="P147" s="577"/>
      <c r="Q147" s="577"/>
    </row>
    <row r="148" spans="1:17" s="491" customFormat="1" ht="20.25" customHeight="1">
      <c r="A148" s="518" t="s">
        <v>333</v>
      </c>
      <c r="B148" s="26" t="s">
        <v>840</v>
      </c>
      <c r="C148" s="510" t="s">
        <v>796</v>
      </c>
      <c r="D148" s="27" t="s">
        <v>841</v>
      </c>
      <c r="E148" s="28" t="s">
        <v>486</v>
      </c>
      <c r="F148" s="524">
        <v>5760</v>
      </c>
      <c r="G148" s="24">
        <f t="shared" si="287"/>
        <v>5760</v>
      </c>
      <c r="H148" s="25">
        <f t="shared" ca="1" si="288"/>
        <v>5760</v>
      </c>
      <c r="I148" s="25">
        <f t="shared" si="289"/>
        <v>5760</v>
      </c>
      <c r="J148" s="25">
        <v>0</v>
      </c>
      <c r="K148" s="46">
        <f t="shared" ca="1" si="290"/>
        <v>5760</v>
      </c>
      <c r="L148" s="533">
        <f t="shared" ca="1" si="291"/>
        <v>1</v>
      </c>
      <c r="M148" s="534">
        <f t="shared" ca="1" si="292"/>
        <v>0</v>
      </c>
      <c r="N148" s="540"/>
      <c r="O148" s="27"/>
      <c r="P148" s="577"/>
      <c r="Q148" s="577"/>
    </row>
    <row r="149" spans="1:17" s="491" customFormat="1" ht="20.25" customHeight="1">
      <c r="A149" s="518" t="s">
        <v>842</v>
      </c>
      <c r="B149" s="26" t="s">
        <v>843</v>
      </c>
      <c r="C149" s="510" t="s">
        <v>593</v>
      </c>
      <c r="D149" s="27" t="s">
        <v>844</v>
      </c>
      <c r="E149" s="28" t="s">
        <v>845</v>
      </c>
      <c r="F149" s="524">
        <v>140899.60999999999</v>
      </c>
      <c r="G149" s="24">
        <f t="shared" si="257"/>
        <v>140899.60999999999</v>
      </c>
      <c r="H149" s="25">
        <f t="shared" ca="1" si="258"/>
        <v>0</v>
      </c>
      <c r="I149" s="25">
        <f t="shared" si="259"/>
        <v>140899.60999999999</v>
      </c>
      <c r="J149" s="25">
        <v>0</v>
      </c>
      <c r="K149" s="46">
        <f t="shared" ca="1" si="260"/>
        <v>0</v>
      </c>
      <c r="L149" s="533">
        <f t="shared" ca="1" si="261"/>
        <v>0</v>
      </c>
      <c r="M149" s="534">
        <f t="shared" ca="1" si="262"/>
        <v>140899.60999999999</v>
      </c>
      <c r="N149" s="540"/>
      <c r="O149" s="27"/>
      <c r="P149" s="577"/>
      <c r="Q149" s="577"/>
    </row>
    <row r="150" spans="1:17" s="491" customFormat="1" ht="20.25" customHeight="1">
      <c r="A150" s="518" t="s">
        <v>352</v>
      </c>
      <c r="B150" s="26" t="s">
        <v>846</v>
      </c>
      <c r="C150" s="510" t="s">
        <v>525</v>
      </c>
      <c r="D150" s="27" t="s">
        <v>847</v>
      </c>
      <c r="E150" s="28" t="s">
        <v>527</v>
      </c>
      <c r="F150" s="524">
        <v>18000</v>
      </c>
      <c r="G150" s="24">
        <f t="shared" ref="G150:G192" si="293">F150+J150</f>
        <v>18000</v>
      </c>
      <c r="H150" s="25">
        <f t="shared" ref="H150:H192" ca="1" si="294">SUMIF(INDIRECT($K$213),A150,INDIRECT($K$214))</f>
        <v>18000</v>
      </c>
      <c r="I150" s="25">
        <f t="shared" ref="I150:I192" si="295">IF(G150&lt;&gt;0,G150,F150)</f>
        <v>18000</v>
      </c>
      <c r="J150" s="25">
        <v>0</v>
      </c>
      <c r="K150" s="46">
        <f t="shared" ref="K150:K192" ca="1" si="296">SUMIF(INDIRECT($K$216),A150,INDIRECT($K$217))</f>
        <v>18000</v>
      </c>
      <c r="L150" s="533">
        <f t="shared" ref="L150:L192" ca="1" si="297">IF(G150&gt;0,K150/G150,K150/F150)</f>
        <v>1</v>
      </c>
      <c r="M150" s="534">
        <f t="shared" ref="M150:M192" ca="1" si="298">IF(G150&gt;0,G150-K150,F150-K150)</f>
        <v>0</v>
      </c>
      <c r="N150" s="540"/>
      <c r="O150" s="27" t="s">
        <v>848</v>
      </c>
      <c r="P150" s="577"/>
      <c r="Q150" s="577"/>
    </row>
    <row r="151" spans="1:17" s="491" customFormat="1" ht="20.25" customHeight="1">
      <c r="A151" s="518" t="s">
        <v>849</v>
      </c>
      <c r="B151" s="26" t="s">
        <v>850</v>
      </c>
      <c r="C151" s="510" t="s">
        <v>479</v>
      </c>
      <c r="D151" s="27" t="s">
        <v>851</v>
      </c>
      <c r="E151" s="28" t="s">
        <v>852</v>
      </c>
      <c r="F151" s="524">
        <v>29000</v>
      </c>
      <c r="G151" s="24">
        <f t="shared" ref="G151:G154" si="299">F151+J151</f>
        <v>29000</v>
      </c>
      <c r="H151" s="25">
        <f t="shared" ref="H151:H154" ca="1" si="300">SUMIF(INDIRECT($K$213),A151,INDIRECT($K$214))</f>
        <v>0</v>
      </c>
      <c r="I151" s="25">
        <f t="shared" ref="I151:I154" si="301">IF(G151&lt;&gt;0,G151,F151)</f>
        <v>29000</v>
      </c>
      <c r="J151" s="25">
        <v>0</v>
      </c>
      <c r="K151" s="46">
        <f t="shared" ref="K151:K154" ca="1" si="302">SUMIF(INDIRECT($K$216),A151,INDIRECT($K$217))</f>
        <v>0</v>
      </c>
      <c r="L151" s="533">
        <f t="shared" ref="L151:L154" ca="1" si="303">IF(G151&gt;0,K151/G151,K151/F151)</f>
        <v>0</v>
      </c>
      <c r="M151" s="534">
        <f t="shared" ref="M151:M154" ca="1" si="304">IF(G151&gt;0,G151-K151,F151-K151)</f>
        <v>29000</v>
      </c>
      <c r="N151" s="540"/>
      <c r="O151" s="27" t="s">
        <v>853</v>
      </c>
      <c r="P151" s="577"/>
      <c r="Q151" s="577"/>
    </row>
    <row r="152" spans="1:17" s="491" customFormat="1" ht="20.25" customHeight="1">
      <c r="A152" s="518" t="s">
        <v>854</v>
      </c>
      <c r="B152" s="26" t="s">
        <v>855</v>
      </c>
      <c r="C152" s="510" t="s">
        <v>856</v>
      </c>
      <c r="D152" s="580" t="s">
        <v>857</v>
      </c>
      <c r="E152" s="28" t="s">
        <v>858</v>
      </c>
      <c r="F152" s="581">
        <v>5764660</v>
      </c>
      <c r="G152" s="24">
        <f t="shared" si="299"/>
        <v>5764660</v>
      </c>
      <c r="H152" s="25">
        <f t="shared" ca="1" si="300"/>
        <v>0</v>
      </c>
      <c r="I152" s="25">
        <f t="shared" si="301"/>
        <v>5764660</v>
      </c>
      <c r="J152" s="25">
        <v>0</v>
      </c>
      <c r="K152" s="46">
        <f t="shared" ca="1" si="302"/>
        <v>0</v>
      </c>
      <c r="L152" s="533">
        <f t="shared" ca="1" si="303"/>
        <v>0</v>
      </c>
      <c r="M152" s="534">
        <f t="shared" ca="1" si="304"/>
        <v>5764660</v>
      </c>
      <c r="N152" s="540"/>
      <c r="O152" s="27" t="s">
        <v>859</v>
      </c>
      <c r="P152" s="577"/>
      <c r="Q152" s="577"/>
    </row>
    <row r="153" spans="1:17" s="491" customFormat="1" ht="20.25" customHeight="1">
      <c r="A153" s="518" t="s">
        <v>860</v>
      </c>
      <c r="B153" s="511" t="s">
        <v>861</v>
      </c>
      <c r="C153" s="510" t="s">
        <v>787</v>
      </c>
      <c r="D153" s="580" t="s">
        <v>862</v>
      </c>
      <c r="E153" s="28" t="s">
        <v>563</v>
      </c>
      <c r="F153" s="581">
        <v>4700000</v>
      </c>
      <c r="G153" s="24">
        <f t="shared" si="299"/>
        <v>4700000</v>
      </c>
      <c r="H153" s="25">
        <f t="shared" ca="1" si="300"/>
        <v>0</v>
      </c>
      <c r="I153" s="25">
        <f t="shared" si="301"/>
        <v>4700000</v>
      </c>
      <c r="J153" s="25">
        <v>0</v>
      </c>
      <c r="K153" s="46">
        <f t="shared" ca="1" si="302"/>
        <v>0</v>
      </c>
      <c r="L153" s="533">
        <f t="shared" ca="1" si="303"/>
        <v>0</v>
      </c>
      <c r="M153" s="534">
        <f t="shared" ca="1" si="304"/>
        <v>4700000</v>
      </c>
      <c r="N153" s="540"/>
      <c r="O153" s="27" t="s">
        <v>863</v>
      </c>
      <c r="P153" s="577"/>
      <c r="Q153" s="577"/>
    </row>
    <row r="154" spans="1:17" s="491" customFormat="1" ht="20.25" customHeight="1">
      <c r="A154" s="518" t="s">
        <v>864</v>
      </c>
      <c r="B154" s="26" t="s">
        <v>865</v>
      </c>
      <c r="C154" s="510" t="s">
        <v>705</v>
      </c>
      <c r="D154" s="27" t="s">
        <v>866</v>
      </c>
      <c r="E154" s="28" t="s">
        <v>867</v>
      </c>
      <c r="F154" s="524">
        <v>46454897</v>
      </c>
      <c r="G154" s="24">
        <f t="shared" si="299"/>
        <v>46454897</v>
      </c>
      <c r="H154" s="25">
        <f t="shared" ca="1" si="300"/>
        <v>0</v>
      </c>
      <c r="I154" s="25">
        <f t="shared" si="301"/>
        <v>46454897</v>
      </c>
      <c r="J154" s="25">
        <v>0</v>
      </c>
      <c r="K154" s="46">
        <f t="shared" ca="1" si="302"/>
        <v>0</v>
      </c>
      <c r="L154" s="533">
        <f t="shared" ca="1" si="303"/>
        <v>0</v>
      </c>
      <c r="M154" s="534">
        <f t="shared" ca="1" si="304"/>
        <v>46454897</v>
      </c>
      <c r="N154" s="540"/>
      <c r="O154" s="27" t="s">
        <v>868</v>
      </c>
      <c r="P154" s="577"/>
      <c r="Q154" s="577"/>
    </row>
    <row r="155" spans="1:17" s="491" customFormat="1" ht="20.25" customHeight="1">
      <c r="A155" s="518" t="s">
        <v>869</v>
      </c>
      <c r="B155" s="26" t="s">
        <v>865</v>
      </c>
      <c r="C155" s="510" t="s">
        <v>705</v>
      </c>
      <c r="D155" s="27" t="s">
        <v>870</v>
      </c>
      <c r="E155" s="28" t="s">
        <v>867</v>
      </c>
      <c r="F155" s="524">
        <v>78445103</v>
      </c>
      <c r="G155" s="24">
        <f t="shared" ref="G155" si="305">F155+J155</f>
        <v>78445103</v>
      </c>
      <c r="H155" s="25">
        <f t="shared" ref="H155" ca="1" si="306">SUMIF(INDIRECT($K$213),A155,INDIRECT($K$214))</f>
        <v>0</v>
      </c>
      <c r="I155" s="25">
        <f t="shared" ref="I155" si="307">IF(G155&lt;&gt;0,G155,F155)</f>
        <v>78445103</v>
      </c>
      <c r="J155" s="25">
        <v>0</v>
      </c>
      <c r="K155" s="46">
        <f t="shared" ref="K155" ca="1" si="308">SUMIF(INDIRECT($K$216),A155,INDIRECT($K$217))</f>
        <v>0</v>
      </c>
      <c r="L155" s="533">
        <f t="shared" ref="L155" ca="1" si="309">IF(G155&gt;0,K155/G155,K155/F155)</f>
        <v>0</v>
      </c>
      <c r="M155" s="534">
        <f t="shared" ref="M155" ca="1" si="310">IF(G155&gt;0,G155-K155,F155-K155)</f>
        <v>78445103</v>
      </c>
      <c r="N155" s="540"/>
      <c r="O155" s="27" t="s">
        <v>871</v>
      </c>
      <c r="P155" s="577"/>
      <c r="Q155" s="577"/>
    </row>
    <row r="156" spans="1:17" s="491" customFormat="1" ht="20.25" customHeight="1">
      <c r="A156" s="518" t="s">
        <v>357</v>
      </c>
      <c r="B156" s="26" t="s">
        <v>872</v>
      </c>
      <c r="C156" s="510" t="s">
        <v>479</v>
      </c>
      <c r="D156" s="27" t="s">
        <v>873</v>
      </c>
      <c r="E156" s="28" t="s">
        <v>874</v>
      </c>
      <c r="F156" s="524">
        <v>40000</v>
      </c>
      <c r="G156" s="24">
        <f t="shared" si="293"/>
        <v>40000</v>
      </c>
      <c r="H156" s="25">
        <f t="shared" ca="1" si="294"/>
        <v>40000</v>
      </c>
      <c r="I156" s="25">
        <f t="shared" si="295"/>
        <v>40000</v>
      </c>
      <c r="J156" s="25">
        <v>0</v>
      </c>
      <c r="K156" s="46">
        <f t="shared" ca="1" si="296"/>
        <v>40000</v>
      </c>
      <c r="L156" s="533">
        <f t="shared" ca="1" si="297"/>
        <v>1</v>
      </c>
      <c r="M156" s="534">
        <f t="shared" ca="1" si="298"/>
        <v>0</v>
      </c>
      <c r="N156" s="540"/>
      <c r="O156" s="27" t="s">
        <v>875</v>
      </c>
      <c r="P156" s="577"/>
      <c r="Q156" s="577"/>
    </row>
    <row r="157" spans="1:17" s="491" customFormat="1" ht="20.25" customHeight="1">
      <c r="A157" s="518" t="s">
        <v>876</v>
      </c>
      <c r="B157" s="26" t="s">
        <v>877</v>
      </c>
      <c r="C157" s="510" t="s">
        <v>479</v>
      </c>
      <c r="D157" s="27" t="s">
        <v>878</v>
      </c>
      <c r="E157" s="28" t="s">
        <v>879</v>
      </c>
      <c r="F157" s="524">
        <v>17000</v>
      </c>
      <c r="G157" s="24">
        <f t="shared" si="293"/>
        <v>17000</v>
      </c>
      <c r="H157" s="25">
        <f t="shared" ca="1" si="294"/>
        <v>0</v>
      </c>
      <c r="I157" s="25">
        <f t="shared" si="295"/>
        <v>17000</v>
      </c>
      <c r="J157" s="25">
        <v>0</v>
      </c>
      <c r="K157" s="46">
        <f t="shared" ca="1" si="296"/>
        <v>0</v>
      </c>
      <c r="L157" s="533">
        <f t="shared" ca="1" si="297"/>
        <v>0</v>
      </c>
      <c r="M157" s="534">
        <f t="shared" ca="1" si="298"/>
        <v>17000</v>
      </c>
      <c r="N157" s="540"/>
      <c r="O157" s="27" t="s">
        <v>880</v>
      </c>
      <c r="P157" s="577"/>
      <c r="Q157" s="577"/>
    </row>
    <row r="158" spans="1:17" s="491" customFormat="1" ht="20.25" customHeight="1">
      <c r="A158" s="518" t="s">
        <v>349</v>
      </c>
      <c r="B158" s="26" t="s">
        <v>881</v>
      </c>
      <c r="C158" s="510" t="s">
        <v>432</v>
      </c>
      <c r="D158" s="27" t="s">
        <v>882</v>
      </c>
      <c r="E158" s="28" t="s">
        <v>883</v>
      </c>
      <c r="F158" s="524">
        <v>209694.3</v>
      </c>
      <c r="G158" s="24">
        <f t="shared" ref="G158:G161" si="311">F158+J158</f>
        <v>209694.3</v>
      </c>
      <c r="H158" s="25"/>
      <c r="I158" s="25">
        <f t="shared" ref="I158:I161" si="312">IF(G158&lt;&gt;0,G158,F158)</f>
        <v>209694.3</v>
      </c>
      <c r="J158" s="25">
        <v>0</v>
      </c>
      <c r="K158" s="46">
        <f t="shared" ref="K158:K161" ca="1" si="313">SUMIF(INDIRECT($K$216),A158,INDIRECT($K$217))</f>
        <v>50000</v>
      </c>
      <c r="L158" s="533">
        <f t="shared" ref="L158:L161" ca="1" si="314">IF(G158&gt;0,K158/G158,K158/F158)</f>
        <v>0.2384423420188341</v>
      </c>
      <c r="M158" s="534">
        <f t="shared" ref="M158:M161" ca="1" si="315">IF(G158&gt;0,G158-K158,F158-K158)</f>
        <v>159694.29999999999</v>
      </c>
      <c r="N158" s="540"/>
      <c r="O158" s="27" t="s">
        <v>884</v>
      </c>
      <c r="P158" s="577"/>
      <c r="Q158" s="577"/>
    </row>
    <row r="159" spans="1:17" s="491" customFormat="1" ht="20.25" customHeight="1">
      <c r="A159" s="566" t="s">
        <v>885</v>
      </c>
      <c r="B159" s="26"/>
      <c r="C159" s="510" t="s">
        <v>796</v>
      </c>
      <c r="D159" s="27" t="s">
        <v>886</v>
      </c>
      <c r="E159" s="28" t="s">
        <v>810</v>
      </c>
      <c r="F159" s="524">
        <v>20569.8</v>
      </c>
      <c r="G159" s="24">
        <f t="shared" si="311"/>
        <v>20569.8</v>
      </c>
      <c r="H159" s="25">
        <f t="shared" ref="H159:H161" ca="1" si="316">SUMIF(INDIRECT($K$213),A159,INDIRECT($K$214))</f>
        <v>0</v>
      </c>
      <c r="I159" s="25">
        <f t="shared" si="312"/>
        <v>20569.8</v>
      </c>
      <c r="J159" s="25">
        <v>0</v>
      </c>
      <c r="K159" s="46">
        <f t="shared" ca="1" si="313"/>
        <v>0</v>
      </c>
      <c r="L159" s="533">
        <f t="shared" ca="1" si="314"/>
        <v>0</v>
      </c>
      <c r="M159" s="534">
        <f t="shared" ca="1" si="315"/>
        <v>20569.8</v>
      </c>
      <c r="N159" s="540"/>
      <c r="O159" s="27"/>
      <c r="P159" s="577"/>
      <c r="Q159" s="577"/>
    </row>
    <row r="160" spans="1:17" s="491" customFormat="1" ht="20.25" customHeight="1">
      <c r="A160" s="518" t="s">
        <v>887</v>
      </c>
      <c r="B160" s="26" t="s">
        <v>855</v>
      </c>
      <c r="C160" s="510" t="s">
        <v>796</v>
      </c>
      <c r="D160" s="27" t="s">
        <v>888</v>
      </c>
      <c r="E160" s="28" t="s">
        <v>799</v>
      </c>
      <c r="F160" s="524">
        <v>12000</v>
      </c>
      <c r="G160" s="24">
        <f t="shared" si="311"/>
        <v>12000</v>
      </c>
      <c r="H160" s="25">
        <f t="shared" ca="1" si="316"/>
        <v>0</v>
      </c>
      <c r="I160" s="25">
        <f t="shared" si="312"/>
        <v>12000</v>
      </c>
      <c r="J160" s="25">
        <v>0</v>
      </c>
      <c r="K160" s="46">
        <f t="shared" ca="1" si="313"/>
        <v>0</v>
      </c>
      <c r="L160" s="533">
        <f t="shared" ca="1" si="314"/>
        <v>0</v>
      </c>
      <c r="M160" s="534">
        <f t="shared" ca="1" si="315"/>
        <v>12000</v>
      </c>
      <c r="N160" s="540"/>
      <c r="O160" s="27" t="s">
        <v>889</v>
      </c>
      <c r="P160" s="577"/>
      <c r="Q160" s="577"/>
    </row>
    <row r="161" spans="1:17" s="491" customFormat="1" ht="20.25" customHeight="1">
      <c r="A161" s="566" t="s">
        <v>890</v>
      </c>
      <c r="B161" s="26"/>
      <c r="C161" s="510" t="s">
        <v>796</v>
      </c>
      <c r="D161" s="27" t="s">
        <v>891</v>
      </c>
      <c r="E161" s="28" t="s">
        <v>486</v>
      </c>
      <c r="F161" s="524">
        <v>8480</v>
      </c>
      <c r="G161" s="24">
        <f t="shared" si="311"/>
        <v>8480</v>
      </c>
      <c r="H161" s="25">
        <f t="shared" ca="1" si="316"/>
        <v>0</v>
      </c>
      <c r="I161" s="25">
        <f t="shared" si="312"/>
        <v>8480</v>
      </c>
      <c r="J161" s="25">
        <v>0</v>
      </c>
      <c r="K161" s="46">
        <f t="shared" ca="1" si="313"/>
        <v>0</v>
      </c>
      <c r="L161" s="533">
        <f t="shared" ca="1" si="314"/>
        <v>0</v>
      </c>
      <c r="M161" s="534">
        <f t="shared" ca="1" si="315"/>
        <v>8480</v>
      </c>
      <c r="N161" s="540"/>
      <c r="O161" s="27"/>
      <c r="P161" s="577"/>
      <c r="Q161" s="577"/>
    </row>
    <row r="162" spans="1:17" s="491" customFormat="1" ht="20.25" customHeight="1">
      <c r="A162" s="518" t="s">
        <v>892</v>
      </c>
      <c r="B162" s="26" t="s">
        <v>855</v>
      </c>
      <c r="C162" s="510" t="s">
        <v>796</v>
      </c>
      <c r="D162" s="27" t="s">
        <v>893</v>
      </c>
      <c r="E162" s="28" t="s">
        <v>695</v>
      </c>
      <c r="F162" s="524">
        <v>4073.59</v>
      </c>
      <c r="G162" s="24">
        <f t="shared" si="293"/>
        <v>4073.59</v>
      </c>
      <c r="H162" s="25">
        <f t="shared" ca="1" si="294"/>
        <v>4073.59</v>
      </c>
      <c r="I162" s="25">
        <f t="shared" si="295"/>
        <v>4073.59</v>
      </c>
      <c r="J162" s="25">
        <v>0</v>
      </c>
      <c r="K162" s="46">
        <f t="shared" ca="1" si="296"/>
        <v>4073.59</v>
      </c>
      <c r="L162" s="533">
        <f t="shared" ca="1" si="297"/>
        <v>1</v>
      </c>
      <c r="M162" s="534">
        <f t="shared" ca="1" si="298"/>
        <v>0</v>
      </c>
      <c r="N162" s="540"/>
      <c r="O162" s="27" t="s">
        <v>894</v>
      </c>
      <c r="P162" s="577"/>
      <c r="Q162" s="577"/>
    </row>
    <row r="163" spans="1:17" s="491" customFormat="1" ht="20.25" customHeight="1">
      <c r="A163" s="518" t="s">
        <v>895</v>
      </c>
      <c r="B163" s="26" t="s">
        <v>855</v>
      </c>
      <c r="C163" s="510" t="s">
        <v>896</v>
      </c>
      <c r="D163" s="27" t="s">
        <v>897</v>
      </c>
      <c r="E163" s="28" t="s">
        <v>689</v>
      </c>
      <c r="F163" s="524">
        <v>184940</v>
      </c>
      <c r="G163" s="24">
        <f t="shared" ref="G163:G174" si="317">F163+J163</f>
        <v>184940</v>
      </c>
      <c r="H163" s="25">
        <f t="shared" ref="H163:H174" ca="1" si="318">SUMIF(INDIRECT($K$213),A163,INDIRECT($K$214))</f>
        <v>0</v>
      </c>
      <c r="I163" s="25">
        <f t="shared" ref="I163:I174" si="319">IF(G163&lt;&gt;0,G163,F163)</f>
        <v>184940</v>
      </c>
      <c r="J163" s="25">
        <v>0</v>
      </c>
      <c r="K163" s="46">
        <f t="shared" ref="K163:K174" ca="1" si="320">SUMIF(INDIRECT($K$216),A163,INDIRECT($K$217))</f>
        <v>0</v>
      </c>
      <c r="L163" s="533">
        <f t="shared" ref="L163:L174" ca="1" si="321">IF(G163&gt;0,K163/G163,K163/F163)</f>
        <v>0</v>
      </c>
      <c r="M163" s="534">
        <f t="shared" ref="M163:M174" ca="1" si="322">IF(G163&gt;0,G163-K163,F163-K163)</f>
        <v>184940</v>
      </c>
      <c r="N163" s="540"/>
      <c r="O163" s="27" t="s">
        <v>898</v>
      </c>
      <c r="P163" s="577"/>
      <c r="Q163" s="577"/>
    </row>
    <row r="164" spans="1:17" s="491" customFormat="1" ht="20.25" customHeight="1">
      <c r="A164" s="518" t="s">
        <v>899</v>
      </c>
      <c r="B164" s="26" t="s">
        <v>900</v>
      </c>
      <c r="C164" s="510" t="s">
        <v>632</v>
      </c>
      <c r="D164" s="27" t="s">
        <v>901</v>
      </c>
      <c r="E164" s="28" t="s">
        <v>689</v>
      </c>
      <c r="F164" s="524">
        <v>50080</v>
      </c>
      <c r="G164" s="24">
        <f t="shared" si="317"/>
        <v>50080</v>
      </c>
      <c r="H164" s="25">
        <f t="shared" ca="1" si="318"/>
        <v>0</v>
      </c>
      <c r="I164" s="25">
        <f t="shared" si="319"/>
        <v>50080</v>
      </c>
      <c r="J164" s="25">
        <v>0</v>
      </c>
      <c r="K164" s="46">
        <f t="shared" ca="1" si="320"/>
        <v>0</v>
      </c>
      <c r="L164" s="533">
        <f t="shared" ca="1" si="321"/>
        <v>0</v>
      </c>
      <c r="M164" s="534">
        <f t="shared" ca="1" si="322"/>
        <v>50080</v>
      </c>
      <c r="N164" s="540"/>
      <c r="O164" s="27" t="s">
        <v>902</v>
      </c>
      <c r="P164" s="577"/>
      <c r="Q164" s="577"/>
    </row>
    <row r="165" spans="1:17" s="491" customFormat="1" ht="20.25" customHeight="1">
      <c r="A165" s="518" t="s">
        <v>903</v>
      </c>
      <c r="B165" s="26" t="s">
        <v>904</v>
      </c>
      <c r="C165" s="510" t="s">
        <v>385</v>
      </c>
      <c r="D165" s="27" t="s">
        <v>905</v>
      </c>
      <c r="E165" s="28" t="s">
        <v>382</v>
      </c>
      <c r="F165" s="524">
        <v>5600</v>
      </c>
      <c r="G165" s="24">
        <f t="shared" ref="G165:G173" si="323">F165+J165</f>
        <v>5600</v>
      </c>
      <c r="H165" s="25">
        <f t="shared" ref="H165:H173" ca="1" si="324">SUMIF(INDIRECT($K$213),A165,INDIRECT($K$214))</f>
        <v>0</v>
      </c>
      <c r="I165" s="25">
        <f t="shared" ref="I165:I173" si="325">IF(G165&lt;&gt;0,G165,F165)</f>
        <v>5600</v>
      </c>
      <c r="J165" s="25">
        <v>0</v>
      </c>
      <c r="K165" s="46">
        <f t="shared" ref="K165:K173" ca="1" si="326">SUMIF(INDIRECT($K$216),A165,INDIRECT($K$217))</f>
        <v>0</v>
      </c>
      <c r="L165" s="533">
        <f t="shared" ref="L165:L173" ca="1" si="327">IF(G165&gt;0,K165/G165,K165/F165)</f>
        <v>0</v>
      </c>
      <c r="M165" s="534">
        <f t="shared" ref="M165:M173" ca="1" si="328">IF(G165&gt;0,G165-K165,F165-K165)</f>
        <v>5600</v>
      </c>
      <c r="N165" s="540"/>
      <c r="O165" s="27" t="s">
        <v>906</v>
      </c>
      <c r="P165" s="577"/>
      <c r="Q165" s="577"/>
    </row>
    <row r="166" spans="1:17" s="491" customFormat="1" ht="20.25" customHeight="1">
      <c r="A166" s="518" t="s">
        <v>907</v>
      </c>
      <c r="B166" s="26" t="s">
        <v>904</v>
      </c>
      <c r="C166" s="510" t="s">
        <v>796</v>
      </c>
      <c r="D166" s="27" t="s">
        <v>908</v>
      </c>
      <c r="E166" s="28" t="s">
        <v>810</v>
      </c>
      <c r="F166" s="524">
        <v>30969.58</v>
      </c>
      <c r="G166" s="24">
        <f t="shared" si="323"/>
        <v>30969.58</v>
      </c>
      <c r="H166" s="25">
        <f t="shared" ca="1" si="324"/>
        <v>0</v>
      </c>
      <c r="I166" s="25">
        <f t="shared" si="325"/>
        <v>30969.58</v>
      </c>
      <c r="J166" s="25">
        <v>0</v>
      </c>
      <c r="K166" s="46">
        <f t="shared" ca="1" si="326"/>
        <v>0</v>
      </c>
      <c r="L166" s="533">
        <f t="shared" ca="1" si="327"/>
        <v>0</v>
      </c>
      <c r="M166" s="534">
        <f t="shared" ca="1" si="328"/>
        <v>30969.58</v>
      </c>
      <c r="N166" s="540"/>
      <c r="O166" s="27" t="s">
        <v>580</v>
      </c>
      <c r="P166" s="577"/>
      <c r="Q166" s="577"/>
    </row>
    <row r="167" spans="1:17" s="491" customFormat="1" ht="20.25" customHeight="1">
      <c r="A167" s="518" t="s">
        <v>909</v>
      </c>
      <c r="B167" s="26" t="s">
        <v>910</v>
      </c>
      <c r="C167" s="510" t="s">
        <v>590</v>
      </c>
      <c r="D167" s="27" t="s">
        <v>911</v>
      </c>
      <c r="E167" s="28" t="s">
        <v>592</v>
      </c>
      <c r="F167" s="524">
        <v>2574714.6800000002</v>
      </c>
      <c r="G167" s="24">
        <f t="shared" ref="G167:G171" si="329">F167+J167</f>
        <v>2574714.6800000002</v>
      </c>
      <c r="H167" s="25">
        <f t="shared" ref="H167:H171" ca="1" si="330">SUMIF(INDIRECT($K$213),A167,INDIRECT($K$214))</f>
        <v>2574714.6800000002</v>
      </c>
      <c r="I167" s="25">
        <f t="shared" ref="I167:I171" si="331">IF(G167&lt;&gt;0,G167,F167)</f>
        <v>2574714.6800000002</v>
      </c>
      <c r="J167" s="25">
        <v>0</v>
      </c>
      <c r="K167" s="46">
        <f t="shared" ref="K167:K171" ca="1" si="332">SUMIF(INDIRECT($K$216),A167,INDIRECT($K$217))</f>
        <v>2574714.6800000002</v>
      </c>
      <c r="L167" s="533">
        <f t="shared" ref="L167:L171" ca="1" si="333">IF(G167&gt;0,K167/G167,K167/F167)</f>
        <v>1</v>
      </c>
      <c r="M167" s="534">
        <f t="shared" ref="M167:M171" ca="1" si="334">IF(G167&gt;0,G167-K167,F167-K167)</f>
        <v>0</v>
      </c>
      <c r="N167" s="540"/>
      <c r="O167" s="27"/>
      <c r="P167" s="577"/>
      <c r="Q167" s="577"/>
    </row>
    <row r="168" spans="1:17" s="491" customFormat="1" ht="20.25" customHeight="1">
      <c r="A168" s="518" t="s">
        <v>912</v>
      </c>
      <c r="B168" s="26" t="s">
        <v>910</v>
      </c>
      <c r="C168" s="510" t="s">
        <v>559</v>
      </c>
      <c r="D168" s="27" t="s">
        <v>913</v>
      </c>
      <c r="E168" s="28" t="s">
        <v>592</v>
      </c>
      <c r="F168" s="524">
        <v>46000</v>
      </c>
      <c r="G168" s="24">
        <f t="shared" si="329"/>
        <v>46000</v>
      </c>
      <c r="H168" s="25">
        <f t="shared" ca="1" si="330"/>
        <v>46000</v>
      </c>
      <c r="I168" s="25">
        <f t="shared" si="331"/>
        <v>46000</v>
      </c>
      <c r="J168" s="25">
        <v>0</v>
      </c>
      <c r="K168" s="46">
        <f t="shared" ca="1" si="332"/>
        <v>46000</v>
      </c>
      <c r="L168" s="533">
        <f t="shared" ca="1" si="333"/>
        <v>1</v>
      </c>
      <c r="M168" s="534">
        <f t="shared" ca="1" si="334"/>
        <v>0</v>
      </c>
      <c r="N168" s="540"/>
      <c r="O168" s="27"/>
      <c r="P168" s="577"/>
      <c r="Q168" s="577"/>
    </row>
    <row r="169" spans="1:17" s="491" customFormat="1" ht="20.25" customHeight="1">
      <c r="A169" s="518" t="s">
        <v>914</v>
      </c>
      <c r="B169" s="26" t="s">
        <v>910</v>
      </c>
      <c r="C169" s="510" t="s">
        <v>559</v>
      </c>
      <c r="D169" s="27" t="s">
        <v>915</v>
      </c>
      <c r="E169" s="28" t="s">
        <v>592</v>
      </c>
      <c r="F169" s="524">
        <v>30400</v>
      </c>
      <c r="G169" s="24">
        <f t="shared" si="329"/>
        <v>30400</v>
      </c>
      <c r="H169" s="25">
        <f t="shared" ca="1" si="330"/>
        <v>30400</v>
      </c>
      <c r="I169" s="25">
        <f t="shared" si="331"/>
        <v>30400</v>
      </c>
      <c r="J169" s="25">
        <v>0</v>
      </c>
      <c r="K169" s="46">
        <f t="shared" ca="1" si="332"/>
        <v>30400</v>
      </c>
      <c r="L169" s="533">
        <f t="shared" ca="1" si="333"/>
        <v>1</v>
      </c>
      <c r="M169" s="534">
        <f t="shared" ca="1" si="334"/>
        <v>0</v>
      </c>
      <c r="N169" s="540"/>
      <c r="O169" s="27"/>
      <c r="P169" s="577"/>
      <c r="Q169" s="577"/>
    </row>
    <row r="170" spans="1:17" s="491" customFormat="1" ht="20.25" customHeight="1">
      <c r="A170" s="518" t="s">
        <v>916</v>
      </c>
      <c r="B170" s="26" t="s">
        <v>910</v>
      </c>
      <c r="C170" s="510" t="s">
        <v>652</v>
      </c>
      <c r="D170" s="27" t="s">
        <v>917</v>
      </c>
      <c r="E170" s="28" t="s">
        <v>592</v>
      </c>
      <c r="F170" s="524">
        <v>52120.35</v>
      </c>
      <c r="G170" s="24">
        <f t="shared" si="329"/>
        <v>52120.35</v>
      </c>
      <c r="H170" s="25">
        <f t="shared" ca="1" si="330"/>
        <v>52120.35</v>
      </c>
      <c r="I170" s="25">
        <f t="shared" si="331"/>
        <v>52120.35</v>
      </c>
      <c r="J170" s="25">
        <v>0</v>
      </c>
      <c r="K170" s="46">
        <f t="shared" ca="1" si="332"/>
        <v>52120.35</v>
      </c>
      <c r="L170" s="533">
        <f t="shared" ca="1" si="333"/>
        <v>1</v>
      </c>
      <c r="M170" s="534">
        <f t="shared" ca="1" si="334"/>
        <v>0</v>
      </c>
      <c r="N170" s="540"/>
      <c r="O170" s="27"/>
      <c r="P170" s="577"/>
      <c r="Q170" s="577"/>
    </row>
    <row r="171" spans="1:17" s="491" customFormat="1" ht="20.25" customHeight="1">
      <c r="A171" s="518" t="s">
        <v>918</v>
      </c>
      <c r="B171" s="26" t="s">
        <v>910</v>
      </c>
      <c r="C171" s="510" t="s">
        <v>658</v>
      </c>
      <c r="D171" s="27" t="s">
        <v>919</v>
      </c>
      <c r="E171" s="28" t="s">
        <v>592</v>
      </c>
      <c r="F171" s="524">
        <v>743063.4</v>
      </c>
      <c r="G171" s="24">
        <f t="shared" si="329"/>
        <v>743063.4</v>
      </c>
      <c r="H171" s="25">
        <f t="shared" ca="1" si="330"/>
        <v>743063.4</v>
      </c>
      <c r="I171" s="25">
        <f t="shared" si="331"/>
        <v>743063.4</v>
      </c>
      <c r="J171" s="25">
        <v>0</v>
      </c>
      <c r="K171" s="46">
        <f t="shared" ca="1" si="332"/>
        <v>743063.4</v>
      </c>
      <c r="L171" s="533">
        <f t="shared" ca="1" si="333"/>
        <v>1</v>
      </c>
      <c r="M171" s="534">
        <f t="shared" ca="1" si="334"/>
        <v>0</v>
      </c>
      <c r="N171" s="540"/>
      <c r="O171" s="27"/>
      <c r="P171" s="577"/>
      <c r="Q171" s="577"/>
    </row>
    <row r="172" spans="1:17" s="494" customFormat="1" ht="20.25" customHeight="1">
      <c r="A172" s="36" t="s">
        <v>920</v>
      </c>
      <c r="B172" s="26" t="s">
        <v>910</v>
      </c>
      <c r="C172" s="512"/>
      <c r="D172" s="37"/>
      <c r="E172" s="582" t="s">
        <v>592</v>
      </c>
      <c r="F172" s="514"/>
      <c r="G172" s="514">
        <f t="shared" si="323"/>
        <v>0</v>
      </c>
      <c r="H172" s="515">
        <f t="shared" ca="1" si="324"/>
        <v>0</v>
      </c>
      <c r="I172" s="515">
        <f t="shared" si="325"/>
        <v>0</v>
      </c>
      <c r="J172" s="515">
        <v>0</v>
      </c>
      <c r="K172" s="583">
        <f t="shared" ca="1" si="326"/>
        <v>0</v>
      </c>
      <c r="L172" s="584" t="e">
        <f t="shared" ca="1" si="327"/>
        <v>#DIV/0!</v>
      </c>
      <c r="M172" s="585">
        <f t="shared" ca="1" si="328"/>
        <v>0</v>
      </c>
      <c r="N172" s="586"/>
      <c r="O172" s="37"/>
      <c r="P172" s="587"/>
      <c r="Q172" s="587"/>
    </row>
    <row r="173" spans="1:17" s="491" customFormat="1" ht="20.25" customHeight="1">
      <c r="A173" s="518" t="s">
        <v>921</v>
      </c>
      <c r="B173" s="26" t="s">
        <v>910</v>
      </c>
      <c r="C173" s="510" t="s">
        <v>655</v>
      </c>
      <c r="D173" s="27" t="s">
        <v>922</v>
      </c>
      <c r="E173" s="23" t="s">
        <v>592</v>
      </c>
      <c r="F173" s="524">
        <v>11876897</v>
      </c>
      <c r="G173" s="24">
        <f t="shared" si="323"/>
        <v>11876897</v>
      </c>
      <c r="H173" s="25">
        <f t="shared" ca="1" si="324"/>
        <v>11876897</v>
      </c>
      <c r="I173" s="25">
        <f t="shared" si="325"/>
        <v>11876897</v>
      </c>
      <c r="J173" s="25">
        <v>0</v>
      </c>
      <c r="K173" s="46">
        <f t="shared" ca="1" si="326"/>
        <v>11876897</v>
      </c>
      <c r="L173" s="533">
        <f t="shared" ca="1" si="327"/>
        <v>1</v>
      </c>
      <c r="M173" s="534">
        <f t="shared" ca="1" si="328"/>
        <v>0</v>
      </c>
      <c r="N173" s="540"/>
      <c r="O173" s="27"/>
      <c r="P173" s="577"/>
      <c r="Q173" s="577"/>
    </row>
    <row r="174" spans="1:17" s="491" customFormat="1" ht="20.25" customHeight="1">
      <c r="A174" s="566" t="s">
        <v>923</v>
      </c>
      <c r="B174" s="26" t="s">
        <v>924</v>
      </c>
      <c r="C174" s="510" t="s">
        <v>491</v>
      </c>
      <c r="D174" s="27" t="s">
        <v>925</v>
      </c>
      <c r="E174" s="28" t="s">
        <v>926</v>
      </c>
      <c r="F174" s="524">
        <v>1202823</v>
      </c>
      <c r="G174" s="24">
        <f t="shared" si="317"/>
        <v>1202823</v>
      </c>
      <c r="H174" s="25">
        <f t="shared" ca="1" si="318"/>
        <v>0</v>
      </c>
      <c r="I174" s="25">
        <f t="shared" si="319"/>
        <v>1202823</v>
      </c>
      <c r="J174" s="25">
        <v>0</v>
      </c>
      <c r="K174" s="46">
        <f t="shared" ca="1" si="320"/>
        <v>0</v>
      </c>
      <c r="L174" s="533">
        <f t="shared" ca="1" si="321"/>
        <v>0</v>
      </c>
      <c r="M174" s="534">
        <f t="shared" ca="1" si="322"/>
        <v>1202823</v>
      </c>
      <c r="N174" s="540"/>
      <c r="O174" s="27"/>
      <c r="P174" s="577"/>
      <c r="Q174" s="577"/>
    </row>
    <row r="175" spans="1:17" s="491" customFormat="1" ht="20.25" customHeight="1">
      <c r="A175" s="518" t="s">
        <v>927</v>
      </c>
      <c r="B175" s="26" t="s">
        <v>928</v>
      </c>
      <c r="C175" s="510" t="s">
        <v>587</v>
      </c>
      <c r="D175" s="27" t="s">
        <v>929</v>
      </c>
      <c r="E175" s="28" t="s">
        <v>930</v>
      </c>
      <c r="F175" s="524">
        <v>325800</v>
      </c>
      <c r="G175" s="24">
        <f t="shared" si="293"/>
        <v>325800</v>
      </c>
      <c r="H175" s="25">
        <f t="shared" ca="1" si="294"/>
        <v>0</v>
      </c>
      <c r="I175" s="25">
        <f t="shared" si="295"/>
        <v>325800</v>
      </c>
      <c r="J175" s="25">
        <v>0</v>
      </c>
      <c r="K175" s="46">
        <f t="shared" ca="1" si="296"/>
        <v>0</v>
      </c>
      <c r="L175" s="533">
        <f t="shared" ca="1" si="297"/>
        <v>0</v>
      </c>
      <c r="M175" s="534">
        <f t="shared" ca="1" si="298"/>
        <v>325800</v>
      </c>
      <c r="N175" s="540"/>
      <c r="O175" s="27" t="s">
        <v>931</v>
      </c>
      <c r="P175" s="577"/>
      <c r="Q175" s="577"/>
    </row>
    <row r="176" spans="1:17" s="491" customFormat="1" ht="20.25" customHeight="1">
      <c r="A176" s="566" t="s">
        <v>350</v>
      </c>
      <c r="B176" s="26" t="s">
        <v>932</v>
      </c>
      <c r="C176" s="510" t="s">
        <v>648</v>
      </c>
      <c r="D176" s="27" t="s">
        <v>933</v>
      </c>
      <c r="E176" s="28" t="s">
        <v>650</v>
      </c>
      <c r="F176" s="524">
        <v>17710</v>
      </c>
      <c r="G176" s="24">
        <f t="shared" ref="G176:G183" si="335">F176+J176</f>
        <v>17710</v>
      </c>
      <c r="H176" s="25">
        <f t="shared" ref="H176:H183" ca="1" si="336">SUMIF(INDIRECT($K$213),A176,INDIRECT($K$214))</f>
        <v>17710</v>
      </c>
      <c r="I176" s="25">
        <f t="shared" ref="I176:I183" si="337">IF(G176&lt;&gt;0,G176,F176)</f>
        <v>17710</v>
      </c>
      <c r="J176" s="25">
        <v>0</v>
      </c>
      <c r="K176" s="46">
        <f t="shared" ref="K176:K183" ca="1" si="338">SUMIF(INDIRECT($K$216),A176,INDIRECT($K$217))</f>
        <v>17710</v>
      </c>
      <c r="L176" s="533">
        <f t="shared" ref="L176:L183" ca="1" si="339">IF(G176&gt;0,K176/G176,K176/F176)</f>
        <v>1</v>
      </c>
      <c r="M176" s="534">
        <f t="shared" ref="M176:M183" ca="1" si="340">IF(G176&gt;0,G176-K176,F176-K176)</f>
        <v>0</v>
      </c>
      <c r="N176" s="540"/>
      <c r="O176" s="27"/>
      <c r="P176" s="577"/>
      <c r="Q176" s="577"/>
    </row>
    <row r="177" spans="1:17" s="491" customFormat="1" ht="20.25" customHeight="1">
      <c r="A177" s="566" t="s">
        <v>351</v>
      </c>
      <c r="B177" s="26" t="s">
        <v>932</v>
      </c>
      <c r="C177" s="510" t="s">
        <v>648</v>
      </c>
      <c r="D177" s="27" t="s">
        <v>934</v>
      </c>
      <c r="E177" s="28" t="s">
        <v>650</v>
      </c>
      <c r="F177" s="524">
        <v>34500</v>
      </c>
      <c r="G177" s="24">
        <f t="shared" si="335"/>
        <v>34500</v>
      </c>
      <c r="H177" s="25">
        <f t="shared" ca="1" si="336"/>
        <v>34500</v>
      </c>
      <c r="I177" s="25">
        <f t="shared" si="337"/>
        <v>34500</v>
      </c>
      <c r="J177" s="25">
        <v>0</v>
      </c>
      <c r="K177" s="46">
        <f t="shared" ca="1" si="338"/>
        <v>34500</v>
      </c>
      <c r="L177" s="533">
        <f t="shared" ca="1" si="339"/>
        <v>1</v>
      </c>
      <c r="M177" s="534">
        <f t="shared" ca="1" si="340"/>
        <v>0</v>
      </c>
      <c r="N177" s="540"/>
      <c r="O177" s="27"/>
      <c r="P177" s="577"/>
      <c r="Q177" s="577"/>
    </row>
    <row r="178" spans="1:17" s="491" customFormat="1" ht="20.25" customHeight="1">
      <c r="A178" s="518" t="s">
        <v>359</v>
      </c>
      <c r="B178" s="26" t="s">
        <v>935</v>
      </c>
      <c r="C178" s="510" t="s">
        <v>705</v>
      </c>
      <c r="D178" s="27" t="s">
        <v>936</v>
      </c>
      <c r="E178" s="28" t="s">
        <v>563</v>
      </c>
      <c r="F178" s="524">
        <v>164082</v>
      </c>
      <c r="G178" s="24">
        <f t="shared" si="335"/>
        <v>164082</v>
      </c>
      <c r="H178" s="25">
        <f t="shared" ca="1" si="336"/>
        <v>164082</v>
      </c>
      <c r="I178" s="25">
        <f t="shared" si="337"/>
        <v>164082</v>
      </c>
      <c r="J178" s="25">
        <v>0</v>
      </c>
      <c r="K178" s="46">
        <f t="shared" ca="1" si="338"/>
        <v>164082</v>
      </c>
      <c r="L178" s="533">
        <f t="shared" ca="1" si="339"/>
        <v>1</v>
      </c>
      <c r="M178" s="534">
        <f t="shared" ca="1" si="340"/>
        <v>0</v>
      </c>
      <c r="N178" s="540"/>
      <c r="O178" s="27"/>
      <c r="P178" s="577"/>
      <c r="Q178" s="577"/>
    </row>
    <row r="179" spans="1:17" s="491" customFormat="1" ht="20.25" customHeight="1">
      <c r="A179" s="518" t="s">
        <v>937</v>
      </c>
      <c r="B179" s="26" t="s">
        <v>924</v>
      </c>
      <c r="C179" s="510" t="s">
        <v>817</v>
      </c>
      <c r="D179" s="27" t="s">
        <v>938</v>
      </c>
      <c r="E179" s="28" t="s">
        <v>939</v>
      </c>
      <c r="F179" s="524">
        <v>128000</v>
      </c>
      <c r="G179" s="24">
        <f t="shared" ref="G179:G182" si="341">F179+J179</f>
        <v>128000</v>
      </c>
      <c r="H179" s="25">
        <f t="shared" ref="H179:H182" ca="1" si="342">SUMIF(INDIRECT($K$213),A179,INDIRECT($K$214))</f>
        <v>0</v>
      </c>
      <c r="I179" s="25">
        <f t="shared" ref="I179:I182" si="343">IF(G179&lt;&gt;0,G179,F179)</f>
        <v>128000</v>
      </c>
      <c r="J179" s="25">
        <v>0</v>
      </c>
      <c r="K179" s="46">
        <f t="shared" ref="K179:K182" ca="1" si="344">SUMIF(INDIRECT($K$216),A179,INDIRECT($K$217))</f>
        <v>0</v>
      </c>
      <c r="L179" s="533">
        <f t="shared" ref="L179:L182" ca="1" si="345">IF(G179&gt;0,K179/G179,K179/F179)</f>
        <v>0</v>
      </c>
      <c r="M179" s="534">
        <f t="shared" ref="M179:M182" ca="1" si="346">IF(G179&gt;0,G179-K179,F179-K179)</f>
        <v>128000</v>
      </c>
      <c r="N179" s="540"/>
      <c r="O179" s="27" t="s">
        <v>940</v>
      </c>
      <c r="P179" s="577"/>
      <c r="Q179" s="577"/>
    </row>
    <row r="180" spans="1:17" s="491" customFormat="1" ht="20.25" customHeight="1">
      <c r="A180" s="566" t="s">
        <v>941</v>
      </c>
      <c r="B180" s="26" t="s">
        <v>942</v>
      </c>
      <c r="C180" s="510" t="s">
        <v>943</v>
      </c>
      <c r="D180" s="27" t="s">
        <v>944</v>
      </c>
      <c r="E180" s="28" t="s">
        <v>945</v>
      </c>
      <c r="F180" s="524">
        <v>182500</v>
      </c>
      <c r="G180" s="24">
        <f t="shared" si="341"/>
        <v>182500</v>
      </c>
      <c r="H180" s="25">
        <f t="shared" ca="1" si="342"/>
        <v>0</v>
      </c>
      <c r="I180" s="25">
        <f t="shared" si="343"/>
        <v>182500</v>
      </c>
      <c r="J180" s="25">
        <v>0</v>
      </c>
      <c r="K180" s="46">
        <f t="shared" ca="1" si="344"/>
        <v>0</v>
      </c>
      <c r="L180" s="533">
        <f t="shared" ca="1" si="345"/>
        <v>0</v>
      </c>
      <c r="M180" s="534">
        <f t="shared" ca="1" si="346"/>
        <v>182500</v>
      </c>
      <c r="N180" s="540"/>
      <c r="O180" s="27"/>
      <c r="P180" s="577"/>
      <c r="Q180" s="577"/>
    </row>
    <row r="181" spans="1:17" s="491" customFormat="1" ht="20.25" customHeight="1">
      <c r="A181" s="566" t="s">
        <v>946</v>
      </c>
      <c r="B181" s="26"/>
      <c r="C181" s="510"/>
      <c r="D181" s="27" t="s">
        <v>947</v>
      </c>
      <c r="E181" s="28"/>
      <c r="F181" s="524"/>
      <c r="G181" s="24">
        <f t="shared" si="341"/>
        <v>0</v>
      </c>
      <c r="H181" s="25">
        <f t="shared" ca="1" si="342"/>
        <v>0</v>
      </c>
      <c r="I181" s="25">
        <f t="shared" si="343"/>
        <v>0</v>
      </c>
      <c r="J181" s="25">
        <v>0</v>
      </c>
      <c r="K181" s="46">
        <f t="shared" ca="1" si="344"/>
        <v>0</v>
      </c>
      <c r="L181" s="533" t="e">
        <f t="shared" ca="1" si="345"/>
        <v>#DIV/0!</v>
      </c>
      <c r="M181" s="534">
        <f t="shared" ca="1" si="346"/>
        <v>0</v>
      </c>
      <c r="N181" s="540"/>
      <c r="O181" s="27"/>
      <c r="P181" s="577"/>
      <c r="Q181" s="577"/>
    </row>
    <row r="182" spans="1:17" s="491" customFormat="1" ht="20.25" customHeight="1">
      <c r="A182" s="518" t="s">
        <v>948</v>
      </c>
      <c r="B182" s="26" t="s">
        <v>865</v>
      </c>
      <c r="C182" s="510" t="s">
        <v>949</v>
      </c>
      <c r="D182" s="27" t="s">
        <v>950</v>
      </c>
      <c r="E182" s="28" t="s">
        <v>951</v>
      </c>
      <c r="F182" s="524">
        <v>55000</v>
      </c>
      <c r="G182" s="24">
        <f t="shared" si="341"/>
        <v>55000</v>
      </c>
      <c r="H182" s="25">
        <f t="shared" ca="1" si="342"/>
        <v>0</v>
      </c>
      <c r="I182" s="25">
        <f t="shared" si="343"/>
        <v>55000</v>
      </c>
      <c r="J182" s="25">
        <v>0</v>
      </c>
      <c r="K182" s="46">
        <f t="shared" ca="1" si="344"/>
        <v>0</v>
      </c>
      <c r="L182" s="533">
        <f t="shared" ca="1" si="345"/>
        <v>0</v>
      </c>
      <c r="M182" s="534">
        <f t="shared" ca="1" si="346"/>
        <v>55000</v>
      </c>
      <c r="N182" s="540"/>
      <c r="O182" s="27" t="s">
        <v>952</v>
      </c>
      <c r="P182" s="577"/>
      <c r="Q182" s="577"/>
    </row>
    <row r="183" spans="1:17" s="491" customFormat="1" ht="20.25" customHeight="1">
      <c r="A183" s="566" t="s">
        <v>953</v>
      </c>
      <c r="B183" s="26" t="s">
        <v>942</v>
      </c>
      <c r="C183" s="510"/>
      <c r="D183" s="27" t="s">
        <v>954</v>
      </c>
      <c r="E183" s="28"/>
      <c r="F183" s="524">
        <v>176805</v>
      </c>
      <c r="G183" s="24">
        <f t="shared" si="335"/>
        <v>176805</v>
      </c>
      <c r="H183" s="25">
        <f t="shared" ca="1" si="336"/>
        <v>0</v>
      </c>
      <c r="I183" s="25">
        <f t="shared" si="337"/>
        <v>176805</v>
      </c>
      <c r="J183" s="25">
        <v>0</v>
      </c>
      <c r="K183" s="46">
        <f t="shared" ca="1" si="338"/>
        <v>0</v>
      </c>
      <c r="L183" s="533">
        <f t="shared" ca="1" si="339"/>
        <v>0</v>
      </c>
      <c r="M183" s="534">
        <f t="shared" ca="1" si="340"/>
        <v>176805</v>
      </c>
      <c r="N183" s="540"/>
      <c r="O183" s="27"/>
      <c r="P183" s="577"/>
      <c r="Q183" s="577"/>
    </row>
    <row r="184" spans="1:17" s="491" customFormat="1" ht="20.25" customHeight="1">
      <c r="A184" s="518" t="s">
        <v>955</v>
      </c>
      <c r="B184" s="26" t="s">
        <v>865</v>
      </c>
      <c r="C184" s="510" t="s">
        <v>817</v>
      </c>
      <c r="D184" s="27" t="s">
        <v>956</v>
      </c>
      <c r="E184" s="28" t="s">
        <v>957</v>
      </c>
      <c r="F184" s="524">
        <v>1050000</v>
      </c>
      <c r="G184" s="24">
        <f t="shared" si="293"/>
        <v>1050000</v>
      </c>
      <c r="H184" s="25">
        <f t="shared" ca="1" si="294"/>
        <v>0</v>
      </c>
      <c r="I184" s="25">
        <f t="shared" si="295"/>
        <v>1050000</v>
      </c>
      <c r="J184" s="25">
        <v>0</v>
      </c>
      <c r="K184" s="46">
        <f t="shared" ca="1" si="296"/>
        <v>0</v>
      </c>
      <c r="L184" s="533">
        <f t="shared" ca="1" si="297"/>
        <v>0</v>
      </c>
      <c r="M184" s="534">
        <f t="shared" ca="1" si="298"/>
        <v>1050000</v>
      </c>
      <c r="N184" s="540"/>
      <c r="O184" s="27" t="s">
        <v>958</v>
      </c>
      <c r="P184" s="577"/>
      <c r="Q184" s="577"/>
    </row>
    <row r="185" spans="1:17" s="491" customFormat="1" ht="20.25" customHeight="1">
      <c r="A185" s="566" t="s">
        <v>959</v>
      </c>
      <c r="B185" s="26"/>
      <c r="C185" s="510"/>
      <c r="D185" s="27" t="s">
        <v>960</v>
      </c>
      <c r="E185" s="28"/>
      <c r="F185" s="524"/>
      <c r="G185" s="24">
        <f t="shared" ref="G185:G191" si="347">F185+J185</f>
        <v>0</v>
      </c>
      <c r="H185" s="25">
        <f t="shared" ref="H185:H191" ca="1" si="348">SUMIF(INDIRECT($K$213),A185,INDIRECT($K$214))</f>
        <v>0</v>
      </c>
      <c r="I185" s="25">
        <f t="shared" ref="I185:I191" si="349">IF(G185&lt;&gt;0,G185,F185)</f>
        <v>0</v>
      </c>
      <c r="J185" s="25">
        <v>0</v>
      </c>
      <c r="K185" s="46">
        <f t="shared" ref="K185:K191" ca="1" si="350">SUMIF(INDIRECT($K$216),A185,INDIRECT($K$217))</f>
        <v>0</v>
      </c>
      <c r="L185" s="533" t="e">
        <f t="shared" ref="L185:L191" ca="1" si="351">IF(G185&gt;0,K185/G185,K185/F185)</f>
        <v>#DIV/0!</v>
      </c>
      <c r="M185" s="534">
        <f t="shared" ref="M185:M191" ca="1" si="352">IF(G185&gt;0,G185-K185,F185-K185)</f>
        <v>0</v>
      </c>
      <c r="N185" s="540"/>
      <c r="O185" s="27"/>
      <c r="P185" s="577"/>
      <c r="Q185" s="577"/>
    </row>
    <row r="186" spans="1:17" s="491" customFormat="1" ht="20.25" customHeight="1">
      <c r="A186" s="518" t="s">
        <v>961</v>
      </c>
      <c r="B186" s="26" t="s">
        <v>865</v>
      </c>
      <c r="C186" s="510" t="s">
        <v>705</v>
      </c>
      <c r="D186" s="27" t="s">
        <v>962</v>
      </c>
      <c r="E186" s="28" t="s">
        <v>825</v>
      </c>
      <c r="F186" s="524">
        <v>644860</v>
      </c>
      <c r="G186" s="24">
        <f t="shared" si="347"/>
        <v>644860</v>
      </c>
      <c r="H186" s="25">
        <f t="shared" ca="1" si="348"/>
        <v>0</v>
      </c>
      <c r="I186" s="25">
        <f t="shared" si="349"/>
        <v>644860</v>
      </c>
      <c r="J186" s="25">
        <v>0</v>
      </c>
      <c r="K186" s="46">
        <f t="shared" ca="1" si="350"/>
        <v>0</v>
      </c>
      <c r="L186" s="533">
        <f t="shared" ca="1" si="351"/>
        <v>0</v>
      </c>
      <c r="M186" s="534">
        <f t="shared" ca="1" si="352"/>
        <v>644860</v>
      </c>
      <c r="N186" s="540"/>
      <c r="O186" s="27" t="s">
        <v>963</v>
      </c>
      <c r="P186" s="577"/>
      <c r="Q186" s="577"/>
    </row>
    <row r="187" spans="1:17" s="491" customFormat="1" ht="20.25" customHeight="1">
      <c r="A187" s="566" t="s">
        <v>964</v>
      </c>
      <c r="B187" s="26"/>
      <c r="C187" s="510" t="s">
        <v>385</v>
      </c>
      <c r="D187" s="27" t="s">
        <v>965</v>
      </c>
      <c r="E187" s="28"/>
      <c r="F187" s="524">
        <v>5600</v>
      </c>
      <c r="G187" s="24">
        <f t="shared" ref="G187:G190" si="353">F187+J187</f>
        <v>5600</v>
      </c>
      <c r="H187" s="25">
        <f t="shared" ref="H187:H190" ca="1" si="354">SUMIF(INDIRECT($K$213),A187,INDIRECT($K$214))</f>
        <v>0</v>
      </c>
      <c r="I187" s="25">
        <f t="shared" ref="I187:I190" si="355">IF(G187&lt;&gt;0,G187,F187)</f>
        <v>5600</v>
      </c>
      <c r="J187" s="25">
        <v>0</v>
      </c>
      <c r="K187" s="46">
        <f t="shared" ref="K187:K190" ca="1" si="356">SUMIF(INDIRECT($K$216),A187,INDIRECT($K$217))</f>
        <v>0</v>
      </c>
      <c r="L187" s="533">
        <f t="shared" ref="L187:L190" ca="1" si="357">IF(G187&gt;0,K187/G187,K187/F187)</f>
        <v>0</v>
      </c>
      <c r="M187" s="534">
        <f t="shared" ref="M187:M190" ca="1" si="358">IF(G187&gt;0,G187-K187,F187-K187)</f>
        <v>5600</v>
      </c>
      <c r="N187" s="540"/>
      <c r="O187" s="27"/>
      <c r="P187" s="577"/>
      <c r="Q187" s="577"/>
    </row>
    <row r="188" spans="1:17" s="491" customFormat="1" ht="20.25" customHeight="1">
      <c r="A188" s="566" t="s">
        <v>966</v>
      </c>
      <c r="B188" s="26"/>
      <c r="C188" s="510" t="s">
        <v>693</v>
      </c>
      <c r="D188" s="27" t="s">
        <v>967</v>
      </c>
      <c r="E188" s="28"/>
      <c r="F188" s="524">
        <v>94393.59</v>
      </c>
      <c r="G188" s="24">
        <f t="shared" si="353"/>
        <v>94393.59</v>
      </c>
      <c r="H188" s="25">
        <f t="shared" ca="1" si="354"/>
        <v>0</v>
      </c>
      <c r="I188" s="25">
        <f t="shared" si="355"/>
        <v>94393.59</v>
      </c>
      <c r="J188" s="25">
        <v>0</v>
      </c>
      <c r="K188" s="46">
        <f t="shared" ca="1" si="356"/>
        <v>0</v>
      </c>
      <c r="L188" s="533">
        <f t="shared" ca="1" si="357"/>
        <v>0</v>
      </c>
      <c r="M188" s="534">
        <f t="shared" ca="1" si="358"/>
        <v>94393.59</v>
      </c>
      <c r="N188" s="540"/>
      <c r="O188" s="27"/>
      <c r="P188" s="577"/>
      <c r="Q188" s="577"/>
    </row>
    <row r="189" spans="1:17" s="491" customFormat="1" ht="20.25" customHeight="1">
      <c r="A189" s="566"/>
      <c r="B189" s="26"/>
      <c r="C189" s="510"/>
      <c r="D189" s="27"/>
      <c r="E189" s="28"/>
      <c r="F189" s="524"/>
      <c r="G189" s="24">
        <f t="shared" si="353"/>
        <v>0</v>
      </c>
      <c r="H189" s="25">
        <f t="shared" ca="1" si="354"/>
        <v>0</v>
      </c>
      <c r="I189" s="25">
        <f t="shared" si="355"/>
        <v>0</v>
      </c>
      <c r="J189" s="25">
        <v>0</v>
      </c>
      <c r="K189" s="46">
        <f t="shared" ca="1" si="356"/>
        <v>0</v>
      </c>
      <c r="L189" s="533" t="e">
        <f t="shared" ca="1" si="357"/>
        <v>#DIV/0!</v>
      </c>
      <c r="M189" s="534">
        <f t="shared" ca="1" si="358"/>
        <v>0</v>
      </c>
      <c r="N189" s="540"/>
      <c r="O189" s="27"/>
      <c r="P189" s="577"/>
      <c r="Q189" s="577"/>
    </row>
    <row r="190" spans="1:17" s="491" customFormat="1" ht="20.25" customHeight="1">
      <c r="A190" s="566"/>
      <c r="B190" s="26"/>
      <c r="C190" s="510"/>
      <c r="D190" s="27"/>
      <c r="E190" s="28"/>
      <c r="F190" s="524"/>
      <c r="G190" s="24">
        <f t="shared" si="353"/>
        <v>0</v>
      </c>
      <c r="H190" s="25">
        <f t="shared" ca="1" si="354"/>
        <v>0</v>
      </c>
      <c r="I190" s="25">
        <f t="shared" si="355"/>
        <v>0</v>
      </c>
      <c r="J190" s="25">
        <v>0</v>
      </c>
      <c r="K190" s="46">
        <f t="shared" ca="1" si="356"/>
        <v>0</v>
      </c>
      <c r="L190" s="533" t="e">
        <f t="shared" ca="1" si="357"/>
        <v>#DIV/0!</v>
      </c>
      <c r="M190" s="534">
        <f t="shared" ca="1" si="358"/>
        <v>0</v>
      </c>
      <c r="N190" s="540"/>
      <c r="O190" s="27"/>
      <c r="P190" s="577"/>
      <c r="Q190" s="577"/>
    </row>
    <row r="191" spans="1:17" s="491" customFormat="1" ht="20.25" customHeight="1">
      <c r="A191" s="566"/>
      <c r="B191" s="26"/>
      <c r="C191" s="510"/>
      <c r="D191" s="27"/>
      <c r="E191" s="28"/>
      <c r="F191" s="524"/>
      <c r="G191" s="24">
        <f t="shared" si="347"/>
        <v>0</v>
      </c>
      <c r="H191" s="25">
        <f t="shared" ca="1" si="348"/>
        <v>0</v>
      </c>
      <c r="I191" s="25">
        <f t="shared" si="349"/>
        <v>0</v>
      </c>
      <c r="J191" s="25">
        <v>0</v>
      </c>
      <c r="K191" s="46">
        <f t="shared" ca="1" si="350"/>
        <v>0</v>
      </c>
      <c r="L191" s="533" t="e">
        <f t="shared" ca="1" si="351"/>
        <v>#DIV/0!</v>
      </c>
      <c r="M191" s="534">
        <f t="shared" ca="1" si="352"/>
        <v>0</v>
      </c>
      <c r="N191" s="540"/>
      <c r="O191" s="27"/>
      <c r="P191" s="577"/>
      <c r="Q191" s="577"/>
    </row>
    <row r="192" spans="1:17" s="491" customFormat="1" ht="20.25" customHeight="1">
      <c r="A192" s="566"/>
      <c r="B192" s="26"/>
      <c r="C192" s="510"/>
      <c r="D192" s="27"/>
      <c r="E192" s="28"/>
      <c r="F192" s="524"/>
      <c r="G192" s="24">
        <f t="shared" si="293"/>
        <v>0</v>
      </c>
      <c r="H192" s="25">
        <f t="shared" ca="1" si="294"/>
        <v>0</v>
      </c>
      <c r="I192" s="25">
        <f t="shared" si="295"/>
        <v>0</v>
      </c>
      <c r="J192" s="25">
        <v>0</v>
      </c>
      <c r="K192" s="46">
        <f t="shared" ca="1" si="296"/>
        <v>0</v>
      </c>
      <c r="L192" s="533" t="e">
        <f t="shared" ca="1" si="297"/>
        <v>#DIV/0!</v>
      </c>
      <c r="M192" s="534">
        <f t="shared" ca="1" si="298"/>
        <v>0</v>
      </c>
      <c r="N192" s="540"/>
      <c r="O192" s="27"/>
      <c r="P192" s="577"/>
      <c r="Q192" s="577"/>
    </row>
    <row r="193" spans="1:17" s="491" customFormat="1" ht="20.25" customHeight="1">
      <c r="A193" s="566"/>
      <c r="B193" s="26"/>
      <c r="C193" s="510"/>
      <c r="D193" s="27"/>
      <c r="E193" s="28"/>
      <c r="F193" s="524"/>
      <c r="G193" s="24">
        <f t="shared" ref="G193" si="359">F193+J193</f>
        <v>0</v>
      </c>
      <c r="H193" s="25">
        <f t="shared" ref="H193" ca="1" si="360">SUMIF(INDIRECT($K$213),A193,INDIRECT($K$214))</f>
        <v>0</v>
      </c>
      <c r="I193" s="25">
        <f t="shared" ref="I193" si="361">IF(G193&lt;&gt;0,G193,F193)</f>
        <v>0</v>
      </c>
      <c r="J193" s="25">
        <v>0</v>
      </c>
      <c r="K193" s="46">
        <f t="shared" ref="K193" ca="1" si="362">SUMIF(INDIRECT($K$216),A193,INDIRECT($K$217))</f>
        <v>0</v>
      </c>
      <c r="L193" s="533" t="e">
        <f t="shared" ref="L193" ca="1" si="363">IF(G193&gt;0,K193/G193,K193/F193)</f>
        <v>#DIV/0!</v>
      </c>
      <c r="M193" s="534">
        <f t="shared" ref="M193" ca="1" si="364">IF(G193&gt;0,G193-K193,F193-K193)</f>
        <v>0</v>
      </c>
      <c r="N193" s="540"/>
      <c r="O193" s="27"/>
      <c r="P193" s="577"/>
      <c r="Q193" s="577"/>
    </row>
    <row r="194" spans="1:17" s="491" customFormat="1" ht="20.25" customHeight="1">
      <c r="A194" s="566"/>
      <c r="B194" s="26"/>
      <c r="C194" s="510"/>
      <c r="D194" s="27"/>
      <c r="E194" s="28"/>
      <c r="F194" s="524"/>
      <c r="G194" s="24">
        <f t="shared" si="257"/>
        <v>0</v>
      </c>
      <c r="H194" s="25">
        <f t="shared" ca="1" si="258"/>
        <v>0</v>
      </c>
      <c r="I194" s="25">
        <f t="shared" si="259"/>
        <v>0</v>
      </c>
      <c r="J194" s="25">
        <v>0</v>
      </c>
      <c r="K194" s="46">
        <f t="shared" ca="1" si="260"/>
        <v>0</v>
      </c>
      <c r="L194" s="533" t="e">
        <f t="shared" ca="1" si="261"/>
        <v>#DIV/0!</v>
      </c>
      <c r="M194" s="534">
        <f t="shared" ca="1" si="262"/>
        <v>0</v>
      </c>
      <c r="N194" s="540"/>
      <c r="O194" s="27"/>
      <c r="P194" s="577"/>
      <c r="Q194" s="577"/>
    </row>
    <row r="195" spans="1:17">
      <c r="A195" s="588"/>
      <c r="B195" s="589" t="s">
        <v>968</v>
      </c>
      <c r="C195" s="589"/>
      <c r="D195" s="590"/>
      <c r="E195" s="590"/>
      <c r="F195" s="591">
        <f>SUM(F4:F194)</f>
        <v>827556548.72000003</v>
      </c>
      <c r="G195" s="591">
        <f>SUM(G4:G194)</f>
        <v>825769107.72000003</v>
      </c>
      <c r="H195" s="591">
        <f t="shared" ref="H195:K195" ca="1" si="365">SUM(H4:H194)</f>
        <v>538762008.25999999</v>
      </c>
      <c r="I195" s="591">
        <f t="shared" si="365"/>
        <v>825769107.72000003</v>
      </c>
      <c r="J195" s="591">
        <f t="shared" si="365"/>
        <v>-1787441</v>
      </c>
      <c r="K195" s="591">
        <f t="shared" ca="1" si="365"/>
        <v>538812008.25999999</v>
      </c>
      <c r="L195" s="591" t="e">
        <f t="shared" ref="L195" ca="1" si="366">SUM(L4:L101)</f>
        <v>#DIV/0!</v>
      </c>
      <c r="M195" s="591">
        <f ca="1">SUM(M4:M194)</f>
        <v>286957099.45999998</v>
      </c>
      <c r="N195" s="540"/>
      <c r="O195" s="27"/>
    </row>
    <row r="196" spans="1:17">
      <c r="A196" s="592"/>
      <c r="F196" s="593"/>
      <c r="H196" s="594"/>
    </row>
    <row r="197" spans="1:17">
      <c r="A197" s="595"/>
      <c r="E197" s="200"/>
      <c r="F197" s="596">
        <f>38662056.09-3800</f>
        <v>38658256.090000004</v>
      </c>
      <c r="G197" s="596"/>
      <c r="H197" s="596"/>
      <c r="I197" s="596">
        <f>38662056.09-I91+456905150.59</f>
        <v>495527295.15999997</v>
      </c>
      <c r="J197" s="596">
        <f t="shared" ref="J197:M197" si="367">SUM(J4:J26)+SUM(J37:J58)</f>
        <v>-1824781</v>
      </c>
      <c r="K197" s="596">
        <f t="shared" ca="1" si="367"/>
        <v>423931042.59000003</v>
      </c>
      <c r="L197" s="596" t="e">
        <f t="shared" ca="1" si="367"/>
        <v>#DIV/0!</v>
      </c>
      <c r="M197" s="596">
        <f t="shared" ca="1" si="367"/>
        <v>14016043.75</v>
      </c>
    </row>
    <row r="198" spans="1:17" ht="15.75" customHeight="1">
      <c r="A198" s="83"/>
      <c r="F198" s="593"/>
      <c r="H198" s="597"/>
    </row>
    <row r="199" spans="1:17">
      <c r="A199" s="99"/>
      <c r="D199" s="200" t="s">
        <v>361</v>
      </c>
      <c r="E199" s="500"/>
      <c r="H199" s="597"/>
    </row>
    <row r="200" spans="1:17" ht="15.75" customHeight="1">
      <c r="A200" s="83"/>
      <c r="B200" s="496" t="s">
        <v>969</v>
      </c>
      <c r="H200" s="597"/>
    </row>
    <row r="201" spans="1:17" ht="18" customHeight="1">
      <c r="A201" s="99"/>
      <c r="K201" s="618"/>
      <c r="L201" s="618"/>
    </row>
    <row r="202" spans="1:17" ht="18" customHeight="1">
      <c r="A202" s="99"/>
      <c r="D202" s="598"/>
      <c r="E202" s="599" t="s">
        <v>970</v>
      </c>
      <c r="F202" s="734">
        <f ca="1">SUMIF(C$4:C$25,"土*",H$4:H$25)</f>
        <v>395284264.17000002</v>
      </c>
      <c r="G202" s="735"/>
      <c r="H202" s="200" t="s">
        <v>971</v>
      </c>
    </row>
    <row r="203" spans="1:17" ht="18" customHeight="1">
      <c r="A203" s="99"/>
      <c r="D203" s="600"/>
      <c r="E203" s="601" t="s">
        <v>972</v>
      </c>
      <c r="F203" s="725">
        <f ca="1">SUMIF(C$4:C$25,"前*",H$4:H$25)</f>
        <v>11354020.17</v>
      </c>
      <c r="G203" s="726"/>
      <c r="H203" s="200" t="s">
        <v>670</v>
      </c>
      <c r="K203" s="618"/>
      <c r="M203" s="619"/>
    </row>
    <row r="204" spans="1:17" ht="18" customHeight="1">
      <c r="A204" s="99"/>
      <c r="D204" s="600"/>
      <c r="E204" s="601" t="s">
        <v>973</v>
      </c>
      <c r="F204" s="725">
        <f>SUMIF(C$4:C$25,"基*",H$4:H$25)</f>
        <v>0</v>
      </c>
      <c r="G204" s="726"/>
      <c r="H204" s="200" t="s">
        <v>974</v>
      </c>
      <c r="M204" s="620"/>
    </row>
    <row r="205" spans="1:17" ht="18" customHeight="1">
      <c r="A205" s="99"/>
      <c r="D205" s="600"/>
      <c r="E205" s="601" t="s">
        <v>975</v>
      </c>
      <c r="F205" s="725">
        <f ca="1">SUMIF(C$4:C$25,"建*",H$4:H$25)</f>
        <v>3312076.7999999998</v>
      </c>
      <c r="G205" s="726"/>
      <c r="H205" s="200" t="s">
        <v>976</v>
      </c>
    </row>
    <row r="206" spans="1:17" ht="18" customHeight="1">
      <c r="A206" s="83"/>
      <c r="D206" s="600"/>
      <c r="E206" s="601" t="s">
        <v>977</v>
      </c>
      <c r="F206" s="725">
        <f>SUMIF(C$4:C$25,"公*",H$4:H$25)</f>
        <v>0</v>
      </c>
      <c r="G206" s="726"/>
      <c r="H206" s="200" t="s">
        <v>978</v>
      </c>
    </row>
    <row r="207" spans="1:17" ht="18" customHeight="1">
      <c r="A207" s="99"/>
      <c r="D207" s="600"/>
      <c r="E207" s="602" t="s">
        <v>979</v>
      </c>
      <c r="F207" s="727">
        <f>SUMIF(C$4:C$25,"销*",H$4:H$25)</f>
        <v>0</v>
      </c>
      <c r="G207" s="728"/>
      <c r="H207" s="200" t="s">
        <v>980</v>
      </c>
    </row>
    <row r="208" spans="1:17" ht="18" customHeight="1">
      <c r="A208" s="99"/>
      <c r="D208" s="600"/>
      <c r="F208" s="498" t="e">
        <f>SUBTOTAL(9,#REF!)</f>
        <v>#REF!</v>
      </c>
    </row>
    <row r="209" spans="1:13" ht="18" customHeight="1">
      <c r="A209" s="72"/>
      <c r="D209" s="600"/>
      <c r="E209" s="603" t="s">
        <v>981</v>
      </c>
      <c r="F209" s="729">
        <v>1</v>
      </c>
      <c r="G209" s="730"/>
    </row>
    <row r="210" spans="1:13" ht="18" customHeight="1">
      <c r="A210" s="99"/>
      <c r="D210" s="600"/>
      <c r="E210" s="604" t="s">
        <v>982</v>
      </c>
      <c r="F210" s="720">
        <v>3000</v>
      </c>
      <c r="G210" s="721"/>
    </row>
    <row r="211" spans="1:13" ht="18" customHeight="1">
      <c r="A211" s="83"/>
      <c r="D211" s="605" t="s">
        <v>983</v>
      </c>
      <c r="F211" s="606"/>
    </row>
    <row r="212" spans="1:13" ht="18" customHeight="1">
      <c r="A212" s="99"/>
      <c r="D212" s="600"/>
      <c r="E212" s="607" t="s">
        <v>984</v>
      </c>
      <c r="F212" s="468" t="s">
        <v>985</v>
      </c>
      <c r="G212" s="608" t="s">
        <v>986</v>
      </c>
    </row>
    <row r="213" spans="1:13" ht="18" customHeight="1">
      <c r="A213" s="83"/>
      <c r="D213" s="600"/>
      <c r="E213" s="609">
        <v>1</v>
      </c>
      <c r="F213" s="610">
        <v>4</v>
      </c>
      <c r="G213" s="611">
        <v>20</v>
      </c>
      <c r="K213" s="200" t="str">
        <f>"拨款台帐!A"&amp;F209&amp;":A"&amp;F210</f>
        <v>拨款台帐!A1:A3000</v>
      </c>
    </row>
    <row r="214" spans="1:13" ht="18" customHeight="1">
      <c r="A214" s="99"/>
      <c r="D214" s="600"/>
      <c r="E214" s="609">
        <v>2</v>
      </c>
      <c r="F214" s="610">
        <f t="shared" ref="F214" si="368">G213+1</f>
        <v>21</v>
      </c>
      <c r="G214" s="611">
        <v>24</v>
      </c>
      <c r="K214" s="200" t="str">
        <f>"拨款台帐!C"&amp;F209&amp;":C"&amp;F210</f>
        <v>拨款台帐!C1:C3000</v>
      </c>
    </row>
    <row r="215" spans="1:13" ht="18" customHeight="1">
      <c r="A215" s="99"/>
      <c r="D215" s="600"/>
      <c r="E215" s="609">
        <v>3</v>
      </c>
      <c r="F215" s="610">
        <f t="shared" ref="F215:F224" si="369">G214+1</f>
        <v>25</v>
      </c>
      <c r="G215" s="611">
        <v>33</v>
      </c>
      <c r="K215" s="200" t="str">
        <f>"拨款台帐!F"&amp;F209&amp;":F"&amp;F210</f>
        <v>拨款台帐!F1:F3000</v>
      </c>
    </row>
    <row r="216" spans="1:13" ht="18" customHeight="1">
      <c r="A216" s="99"/>
      <c r="D216" s="600"/>
      <c r="E216" s="609">
        <v>4</v>
      </c>
      <c r="F216" s="610">
        <f t="shared" si="369"/>
        <v>34</v>
      </c>
      <c r="G216" s="611">
        <v>41</v>
      </c>
      <c r="K216" s="200" t="str">
        <f>"拨款台帐!A2:A"&amp;F210</f>
        <v>拨款台帐!A2:A3000</v>
      </c>
    </row>
    <row r="217" spans="1:13" ht="18" customHeight="1">
      <c r="A217" s="99"/>
      <c r="D217" s="600"/>
      <c r="E217" s="609">
        <v>5</v>
      </c>
      <c r="F217" s="610">
        <f t="shared" si="369"/>
        <v>42</v>
      </c>
      <c r="G217" s="611">
        <v>56</v>
      </c>
      <c r="H217" s="612"/>
      <c r="K217" s="200" t="str">
        <f>"拨款台帐!C2:C"&amp;F210</f>
        <v>拨款台帐!C2:C3000</v>
      </c>
      <c r="M217" s="621"/>
    </row>
    <row r="218" spans="1:13" ht="18" customHeight="1">
      <c r="A218" s="99"/>
      <c r="D218" s="600"/>
      <c r="E218" s="609">
        <v>6</v>
      </c>
      <c r="F218" s="613">
        <f t="shared" si="369"/>
        <v>57</v>
      </c>
      <c r="G218" s="614">
        <v>65</v>
      </c>
      <c r="K218" s="200" t="str">
        <f>"拨款台帐!F2:F"&amp;F210</f>
        <v>拨款台帐!F2:F3000</v>
      </c>
    </row>
    <row r="219" spans="1:13" ht="18" customHeight="1">
      <c r="A219" s="83"/>
      <c r="D219" s="600"/>
      <c r="E219" s="609">
        <v>7</v>
      </c>
      <c r="F219" s="610">
        <f t="shared" si="369"/>
        <v>66</v>
      </c>
      <c r="G219" s="615">
        <v>73</v>
      </c>
    </row>
    <row r="220" spans="1:13" ht="18" customHeight="1">
      <c r="A220" s="99"/>
      <c r="D220" s="600"/>
      <c r="E220" s="609">
        <v>8</v>
      </c>
      <c r="F220" s="610">
        <f t="shared" si="369"/>
        <v>74</v>
      </c>
      <c r="G220" s="615">
        <v>80</v>
      </c>
    </row>
    <row r="221" spans="1:13" ht="18" customHeight="1">
      <c r="A221" s="99"/>
      <c r="D221" s="600"/>
      <c r="E221" s="609">
        <v>9</v>
      </c>
      <c r="F221" s="610">
        <f t="shared" si="369"/>
        <v>81</v>
      </c>
      <c r="G221" s="615">
        <v>87</v>
      </c>
    </row>
    <row r="222" spans="1:13" ht="18" customHeight="1">
      <c r="A222" s="83"/>
      <c r="D222" s="600"/>
      <c r="E222" s="609">
        <v>10</v>
      </c>
      <c r="F222" s="610">
        <f t="shared" si="369"/>
        <v>88</v>
      </c>
      <c r="G222" s="615">
        <v>91</v>
      </c>
    </row>
    <row r="223" spans="1:13" ht="18" customHeight="1">
      <c r="A223" s="83"/>
      <c r="D223" s="600"/>
      <c r="E223" s="609">
        <v>11</v>
      </c>
      <c r="F223" s="610">
        <f t="shared" si="369"/>
        <v>92</v>
      </c>
      <c r="G223" s="615">
        <v>95</v>
      </c>
    </row>
    <row r="224" spans="1:13" ht="18" customHeight="1">
      <c r="A224" s="72"/>
      <c r="D224" s="600"/>
      <c r="E224" s="609">
        <v>12</v>
      </c>
      <c r="F224" s="610">
        <f t="shared" si="369"/>
        <v>96</v>
      </c>
      <c r="G224" s="615"/>
    </row>
    <row r="225" spans="1:7" ht="18" customHeight="1">
      <c r="A225" s="99"/>
      <c r="D225" s="600"/>
      <c r="E225" s="609"/>
      <c r="F225" s="610"/>
      <c r="G225" s="615"/>
    </row>
    <row r="226" spans="1:7" ht="18" customHeight="1">
      <c r="A226" s="83"/>
      <c r="D226" s="616"/>
      <c r="E226" s="609"/>
      <c r="F226" s="610"/>
      <c r="G226" s="615"/>
    </row>
    <row r="227" spans="1:7" ht="18" customHeight="1">
      <c r="A227" s="99"/>
    </row>
    <row r="228" spans="1:7" ht="18.75" customHeight="1">
      <c r="A228" s="99"/>
      <c r="E228" s="617" t="s">
        <v>987</v>
      </c>
      <c r="F228" s="722" t="e">
        <f>SUBTOTAL(9,#REF!)</f>
        <v>#REF!</v>
      </c>
      <c r="G228" s="723"/>
    </row>
    <row r="229" spans="1:7">
      <c r="A229" s="99"/>
      <c r="E229" s="617" t="s">
        <v>988</v>
      </c>
      <c r="F229" s="724">
        <v>2341209</v>
      </c>
      <c r="G229" s="724"/>
    </row>
    <row r="230" spans="1:7">
      <c r="A230" s="99"/>
      <c r="E230" s="617" t="s">
        <v>989</v>
      </c>
      <c r="F230" s="724">
        <v>380940</v>
      </c>
      <c r="G230" s="724"/>
    </row>
  </sheetData>
  <autoFilter ref="A3:O195"/>
  <mergeCells count="14">
    <mergeCell ref="A1:E1"/>
    <mergeCell ref="A2:B2"/>
    <mergeCell ref="L2:M2"/>
    <mergeCell ref="F202:G202"/>
    <mergeCell ref="F203:G203"/>
    <mergeCell ref="F210:G210"/>
    <mergeCell ref="F228:G228"/>
    <mergeCell ref="F229:G229"/>
    <mergeCell ref="F230:G230"/>
    <mergeCell ref="F204:G204"/>
    <mergeCell ref="F205:G205"/>
    <mergeCell ref="F206:G206"/>
    <mergeCell ref="F207:G207"/>
    <mergeCell ref="F209:G209"/>
  </mergeCells>
  <phoneticPr fontId="40" type="noConversion"/>
  <printOptions horizontalCentered="1"/>
  <pageMargins left="0.15625" right="0.15625" top="0.43263888888888902" bottom="0.31388888888888899" header="0.43263888888888902" footer="0.15625"/>
  <pageSetup paperSize="9" scale="66" orientation="portrait" useFirstPageNumber="1" r:id="rId1"/>
  <headerFooter alignWithMargins="0">
    <oddFooter>&amp;C第&amp;"Times New Roman,常规"&amp;P&amp;"宋体,常规"页&amp;"Times New Roman,常规"        &amp;"宋体,常规"共&amp;"Times New Roman,常规"&amp;N&amp;"宋体,常规"页</oddFooter>
  </headerFooter>
  <colBreaks count="1" manualBreakCount="1">
    <brk id="13"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S179"/>
  <sheetViews>
    <sheetView view="pageBreakPreview" zoomScale="90" zoomScaleNormal="80" zoomScaleSheetLayoutView="90" workbookViewId="0">
      <pane xSplit="19" ySplit="6" topLeftCell="X7" activePane="bottomRight" state="frozenSplit"/>
      <selection pane="topRight"/>
      <selection pane="bottomLeft"/>
      <selection pane="bottomRight" activeCell="A6" sqref="A6:XFD8"/>
    </sheetView>
  </sheetViews>
  <sheetFormatPr defaultColWidth="9" defaultRowHeight="15" customHeight="1" outlineLevelRow="2"/>
  <cols>
    <col min="1" max="1" width="9" style="389"/>
    <col min="2" max="2" width="14.625" style="201" customWidth="1"/>
    <col min="3" max="4" width="10" style="390" customWidth="1"/>
    <col min="5" max="5" width="12.625" style="391" customWidth="1"/>
    <col min="6" max="14" width="11" style="391" customWidth="1"/>
    <col min="15" max="15" width="14.625" style="389" customWidth="1"/>
    <col min="16" max="17" width="9" style="234"/>
    <col min="18" max="16384" width="9" style="201"/>
  </cols>
  <sheetData>
    <row r="1" spans="1:15" ht="25.5">
      <c r="A1" s="746" t="s">
        <v>990</v>
      </c>
      <c r="B1" s="746"/>
      <c r="C1" s="746"/>
      <c r="D1" s="746"/>
      <c r="E1" s="746"/>
      <c r="F1" s="746"/>
      <c r="G1" s="746"/>
      <c r="H1" s="746"/>
      <c r="I1" s="746"/>
      <c r="J1" s="746"/>
      <c r="K1" s="746"/>
      <c r="L1" s="746"/>
      <c r="M1" s="746"/>
      <c r="N1" s="746"/>
      <c r="O1" s="746"/>
    </row>
    <row r="2" spans="1:15" ht="12">
      <c r="C2" s="747"/>
      <c r="D2" s="747"/>
      <c r="E2" s="747"/>
      <c r="F2" s="392"/>
      <c r="G2" s="392"/>
      <c r="H2" s="392"/>
      <c r="I2" s="392"/>
      <c r="J2" s="392"/>
      <c r="K2" s="392"/>
      <c r="L2" s="392"/>
      <c r="M2" s="392"/>
      <c r="N2" s="392"/>
      <c r="O2" s="424">
        <f>成本明细!K2</f>
        <v>116363.22</v>
      </c>
    </row>
    <row r="3" spans="1:15" ht="12.75" customHeight="1">
      <c r="A3" s="748" t="s">
        <v>991</v>
      </c>
      <c r="B3" s="749"/>
      <c r="C3" s="394" t="s">
        <v>992</v>
      </c>
      <c r="D3" s="393"/>
      <c r="E3" s="393" t="s">
        <v>993</v>
      </c>
      <c r="F3" s="393"/>
      <c r="G3" s="393"/>
      <c r="H3" s="393"/>
      <c r="I3" s="393"/>
      <c r="J3" s="393"/>
      <c r="K3" s="393"/>
      <c r="L3" s="393"/>
      <c r="M3" s="393"/>
      <c r="N3" s="393"/>
      <c r="O3" s="425">
        <f>合同台帐!L2</f>
        <v>0</v>
      </c>
    </row>
    <row r="4" spans="1:15" ht="12.75" customHeight="1">
      <c r="A4" s="750" t="s">
        <v>994</v>
      </c>
      <c r="B4" s="751"/>
      <c r="C4" s="396" t="s">
        <v>995</v>
      </c>
      <c r="D4" s="397"/>
      <c r="E4" s="395"/>
      <c r="F4" s="397"/>
      <c r="G4" s="397"/>
      <c r="H4" s="397"/>
      <c r="I4" s="397"/>
      <c r="J4" s="397"/>
      <c r="K4" s="397"/>
      <c r="L4" s="397"/>
      <c r="M4" s="397"/>
      <c r="N4" s="397"/>
      <c r="O4" s="426"/>
    </row>
    <row r="5" spans="1:15" ht="12.75" customHeight="1">
      <c r="A5" s="398"/>
      <c r="B5" s="399"/>
      <c r="C5" s="400"/>
      <c r="D5" s="401"/>
      <c r="E5" s="401"/>
      <c r="F5" s="401"/>
      <c r="G5" s="401"/>
      <c r="H5" s="401"/>
      <c r="I5" s="401"/>
      <c r="J5" s="401"/>
      <c r="K5" s="401"/>
      <c r="L5" s="401"/>
      <c r="M5" s="401"/>
      <c r="N5" s="401"/>
      <c r="O5" s="427"/>
    </row>
    <row r="6" spans="1:15" ht="28.5" customHeight="1">
      <c r="A6" s="752" t="s">
        <v>996</v>
      </c>
      <c r="B6" s="753"/>
      <c r="C6" s="754" t="s">
        <v>997</v>
      </c>
      <c r="D6" s="755"/>
      <c r="E6" s="756" t="s">
        <v>998</v>
      </c>
      <c r="F6" s="757"/>
      <c r="G6" s="757"/>
      <c r="H6" s="757"/>
      <c r="I6" s="757"/>
      <c r="J6" s="758"/>
      <c r="K6" s="756" t="s">
        <v>999</v>
      </c>
      <c r="L6" s="758"/>
      <c r="M6" s="738" t="s">
        <v>1000</v>
      </c>
      <c r="N6" s="738" t="s">
        <v>1001</v>
      </c>
      <c r="O6" s="740" t="s">
        <v>1002</v>
      </c>
    </row>
    <row r="7" spans="1:15" ht="28.5" customHeight="1">
      <c r="A7" s="402"/>
      <c r="B7" s="403"/>
      <c r="C7" s="404"/>
      <c r="D7" s="404"/>
      <c r="E7" s="743" t="s">
        <v>1003</v>
      </c>
      <c r="F7" s="744"/>
      <c r="G7" s="743" t="s">
        <v>985</v>
      </c>
      <c r="H7" s="744"/>
      <c r="I7" s="745" t="s">
        <v>1004</v>
      </c>
      <c r="J7" s="736" t="s">
        <v>1005</v>
      </c>
      <c r="K7" s="736" t="s">
        <v>1006</v>
      </c>
      <c r="L7" s="736" t="s">
        <v>1005</v>
      </c>
      <c r="M7" s="739"/>
      <c r="N7" s="739"/>
      <c r="O7" s="741"/>
    </row>
    <row r="8" spans="1:15" ht="28.5" customHeight="1">
      <c r="A8" s="402"/>
      <c r="B8" s="403"/>
      <c r="C8" s="405" t="s">
        <v>1007</v>
      </c>
      <c r="D8" s="405" t="s">
        <v>1008</v>
      </c>
      <c r="E8" s="406" t="s">
        <v>1009</v>
      </c>
      <c r="F8" s="407" t="s">
        <v>1010</v>
      </c>
      <c r="G8" s="406" t="s">
        <v>1009</v>
      </c>
      <c r="H8" s="407" t="s">
        <v>1010</v>
      </c>
      <c r="I8" s="745"/>
      <c r="J8" s="737"/>
      <c r="K8" s="737"/>
      <c r="L8" s="737"/>
      <c r="M8" s="737"/>
      <c r="N8" s="737"/>
      <c r="O8" s="742"/>
    </row>
    <row r="9" spans="1:15" ht="15.95" customHeight="1">
      <c r="A9" s="408" t="s">
        <v>1011</v>
      </c>
      <c r="B9" s="409" t="s">
        <v>1012</v>
      </c>
      <c r="C9" s="410">
        <f>SUM(C10:C14)</f>
        <v>5063.8457963174415</v>
      </c>
      <c r="D9" s="410"/>
      <c r="E9" s="411">
        <f>SUM(E10:E14)</f>
        <v>404290897.56999999</v>
      </c>
      <c r="F9" s="412"/>
      <c r="G9" s="412"/>
      <c r="H9" s="412"/>
      <c r="I9" s="412"/>
      <c r="J9" s="412"/>
      <c r="K9" s="412"/>
      <c r="L9" s="412"/>
      <c r="M9" s="412"/>
      <c r="N9" s="412"/>
      <c r="O9" s="428"/>
    </row>
    <row r="10" spans="1:15" ht="15.95" customHeight="1" outlineLevel="1">
      <c r="A10" s="413">
        <v>1</v>
      </c>
      <c r="B10" s="414" t="s">
        <v>970</v>
      </c>
      <c r="C10" s="415">
        <v>4906.7399214073803</v>
      </c>
      <c r="D10" s="415"/>
      <c r="E10" s="416">
        <f>IF($O$2="元",成本明细!F5/10000,成本明细!F5)</f>
        <v>366100000</v>
      </c>
      <c r="F10" s="417"/>
      <c r="G10" s="417"/>
      <c r="H10" s="417"/>
      <c r="I10" s="417"/>
      <c r="J10" s="417"/>
      <c r="K10" s="417"/>
      <c r="L10" s="417"/>
      <c r="M10" s="417"/>
      <c r="N10" s="417"/>
      <c r="O10" s="429"/>
    </row>
    <row r="11" spans="1:15" ht="15.95" customHeight="1" outlineLevel="1">
      <c r="A11" s="413">
        <v>2</v>
      </c>
      <c r="B11" s="414" t="s">
        <v>1013</v>
      </c>
      <c r="C11" s="415">
        <v>0</v>
      </c>
      <c r="D11" s="415"/>
      <c r="E11" s="416">
        <f>IF($O$2="元",成本明细!F9/10000,成本明细!F9)</f>
        <v>24392833.399999999</v>
      </c>
      <c r="F11" s="417"/>
      <c r="G11" s="417"/>
      <c r="H11" s="417"/>
      <c r="I11" s="417"/>
      <c r="J11" s="417"/>
      <c r="K11" s="417"/>
      <c r="L11" s="417"/>
      <c r="M11" s="417"/>
      <c r="N11" s="417"/>
      <c r="O11" s="429"/>
    </row>
    <row r="12" spans="1:15" ht="15.95" customHeight="1" outlineLevel="1">
      <c r="A12" s="413">
        <v>3</v>
      </c>
      <c r="B12" s="414" t="s">
        <v>442</v>
      </c>
      <c r="C12" s="415">
        <v>147.20219764222099</v>
      </c>
      <c r="D12" s="415"/>
      <c r="E12" s="416">
        <f>IF($O$2="元",成本明细!F13/10000,成本明细!F13)</f>
        <v>11967564.17</v>
      </c>
      <c r="F12" s="417"/>
      <c r="G12" s="417"/>
      <c r="H12" s="417"/>
      <c r="I12" s="417"/>
      <c r="J12" s="417"/>
      <c r="K12" s="417"/>
      <c r="L12" s="417"/>
      <c r="M12" s="417"/>
      <c r="N12" s="417"/>
      <c r="O12" s="429"/>
    </row>
    <row r="13" spans="1:15" ht="15.95" customHeight="1" outlineLevel="1">
      <c r="A13" s="413">
        <v>4</v>
      </c>
      <c r="B13" s="414" t="s">
        <v>1014</v>
      </c>
      <c r="C13" s="415">
        <v>9.8134798428147505</v>
      </c>
      <c r="D13" s="415"/>
      <c r="E13" s="416">
        <f>IF($O$2="元",成本明细!F16/10000,成本明细!F16)</f>
        <v>1830500</v>
      </c>
      <c r="F13" s="417"/>
      <c r="G13" s="417"/>
      <c r="H13" s="417"/>
      <c r="I13" s="417"/>
      <c r="J13" s="417"/>
      <c r="K13" s="417"/>
      <c r="L13" s="417"/>
      <c r="M13" s="417"/>
      <c r="N13" s="417"/>
      <c r="O13" s="429"/>
    </row>
    <row r="14" spans="1:15" ht="15.95" customHeight="1" outlineLevel="1">
      <c r="A14" s="413">
        <v>5</v>
      </c>
      <c r="B14" s="414" t="s">
        <v>1015</v>
      </c>
      <c r="C14" s="415">
        <v>9.01974250258709E-2</v>
      </c>
      <c r="D14" s="415"/>
      <c r="E14" s="416">
        <f>IF($O$2="元",成本明细!F19/10000,成本明细!F19)</f>
        <v>0</v>
      </c>
      <c r="F14" s="417"/>
      <c r="G14" s="417"/>
      <c r="H14" s="417"/>
      <c r="I14" s="417"/>
      <c r="J14" s="417"/>
      <c r="K14" s="417"/>
      <c r="L14" s="417"/>
      <c r="M14" s="417"/>
      <c r="N14" s="417"/>
      <c r="O14" s="429"/>
    </row>
    <row r="15" spans="1:15" ht="15.95" customHeight="1">
      <c r="A15" s="408" t="s">
        <v>1016</v>
      </c>
      <c r="B15" s="409" t="s">
        <v>1017</v>
      </c>
      <c r="C15" s="410">
        <v>194.4</v>
      </c>
      <c r="D15" s="410"/>
      <c r="E15" s="411" t="e">
        <f>E16+E19+E26+E33+E57</f>
        <v>#REF!</v>
      </c>
      <c r="F15" s="412"/>
      <c r="G15" s="412"/>
      <c r="H15" s="412"/>
      <c r="I15" s="412"/>
      <c r="J15" s="412"/>
      <c r="K15" s="412"/>
      <c r="L15" s="412"/>
      <c r="M15" s="412"/>
      <c r="N15" s="412"/>
      <c r="O15" s="430"/>
    </row>
    <row r="16" spans="1:15" ht="15.75" customHeight="1" outlineLevel="1">
      <c r="A16" s="413">
        <v>1</v>
      </c>
      <c r="B16" s="414" t="s">
        <v>1018</v>
      </c>
      <c r="C16" s="415">
        <v>4.17</v>
      </c>
      <c r="D16" s="415"/>
      <c r="E16" s="416">
        <f>IF($O$2="元",成本明细!F29/10000,成本明细!F29)</f>
        <v>1306563</v>
      </c>
      <c r="F16" s="417"/>
      <c r="G16" s="417"/>
      <c r="H16" s="417"/>
      <c r="I16" s="417"/>
      <c r="J16" s="417"/>
      <c r="K16" s="417"/>
      <c r="L16" s="417"/>
      <c r="M16" s="417"/>
      <c r="N16" s="417"/>
      <c r="O16" s="429"/>
    </row>
    <row r="17" spans="1:15" ht="15.95" customHeight="1" outlineLevel="2">
      <c r="A17" s="418" t="s">
        <v>1019</v>
      </c>
      <c r="B17" s="419" t="s">
        <v>1020</v>
      </c>
      <c r="C17" s="420">
        <v>1.17</v>
      </c>
      <c r="D17" s="420"/>
      <c r="E17" s="421">
        <f>IF($O$2="元",成本明细!F30/10000,成本明细!F30)</f>
        <v>1132375</v>
      </c>
      <c r="F17" s="422"/>
      <c r="G17" s="422"/>
      <c r="H17" s="422"/>
      <c r="I17" s="422"/>
      <c r="J17" s="422"/>
      <c r="K17" s="422"/>
      <c r="L17" s="422"/>
      <c r="M17" s="422"/>
      <c r="N17" s="422"/>
      <c r="O17" s="431"/>
    </row>
    <row r="18" spans="1:15" ht="15.95" customHeight="1" outlineLevel="2">
      <c r="A18" s="418" t="s">
        <v>1021</v>
      </c>
      <c r="B18" s="419" t="s">
        <v>1022</v>
      </c>
      <c r="C18" s="420">
        <v>3</v>
      </c>
      <c r="D18" s="420"/>
      <c r="E18" s="421" t="e">
        <f>IF($O$2="元",成本明细!#REF!/10000,成本明细!#REF!)</f>
        <v>#REF!</v>
      </c>
      <c r="F18" s="422"/>
      <c r="G18" s="422"/>
      <c r="H18" s="422"/>
      <c r="I18" s="422"/>
      <c r="J18" s="422"/>
      <c r="K18" s="422"/>
      <c r="L18" s="422"/>
      <c r="M18" s="422"/>
      <c r="N18" s="422"/>
      <c r="O18" s="431"/>
    </row>
    <row r="19" spans="1:15" ht="15.95" customHeight="1" outlineLevel="1">
      <c r="A19" s="413">
        <v>2</v>
      </c>
      <c r="B19" s="414" t="s">
        <v>1023</v>
      </c>
      <c r="C19" s="415">
        <v>82.72</v>
      </c>
      <c r="D19" s="415"/>
      <c r="E19" s="416">
        <f>IF($O$2="元",成本明细!F45/10000,成本明细!F45)</f>
        <v>12828059</v>
      </c>
      <c r="F19" s="417"/>
      <c r="G19" s="417"/>
      <c r="H19" s="417"/>
      <c r="I19" s="417"/>
      <c r="J19" s="417"/>
      <c r="K19" s="417"/>
      <c r="L19" s="417"/>
      <c r="M19" s="417"/>
      <c r="N19" s="417"/>
      <c r="O19" s="429"/>
    </row>
    <row r="20" spans="1:15" ht="15.95" customHeight="1" outlineLevel="2">
      <c r="A20" s="418" t="s">
        <v>1019</v>
      </c>
      <c r="B20" s="419" t="s">
        <v>1024</v>
      </c>
      <c r="C20" s="420">
        <v>35.729999999999997</v>
      </c>
      <c r="D20" s="420"/>
      <c r="E20" s="421">
        <f>IF($O$2="元",成本明细!F46/10000,成本明细!F46)</f>
        <v>7800000</v>
      </c>
      <c r="F20" s="422"/>
      <c r="G20" s="422"/>
      <c r="H20" s="422"/>
      <c r="I20" s="422"/>
      <c r="J20" s="422"/>
      <c r="K20" s="422"/>
      <c r="L20" s="422"/>
      <c r="M20" s="422"/>
      <c r="N20" s="422"/>
      <c r="O20" s="431"/>
    </row>
    <row r="21" spans="1:15" ht="15.95" customHeight="1" outlineLevel="2">
      <c r="A21" s="418" t="s">
        <v>1021</v>
      </c>
      <c r="B21" s="419" t="s">
        <v>1025</v>
      </c>
      <c r="C21" s="420">
        <v>19.86</v>
      </c>
      <c r="D21" s="420"/>
      <c r="E21" s="421">
        <f>IF($O$2="元",成本明细!F49/10000,成本明细!F49)</f>
        <v>737340</v>
      </c>
      <c r="F21" s="422"/>
      <c r="G21" s="422"/>
      <c r="H21" s="422"/>
      <c r="I21" s="422"/>
      <c r="J21" s="422"/>
      <c r="K21" s="422"/>
      <c r="L21" s="422"/>
      <c r="M21" s="422"/>
      <c r="N21" s="422"/>
      <c r="O21" s="431"/>
    </row>
    <row r="22" spans="1:15" ht="15.95" customHeight="1" outlineLevel="2">
      <c r="A22" s="418" t="s">
        <v>1026</v>
      </c>
      <c r="B22" s="419" t="s">
        <v>1027</v>
      </c>
      <c r="C22" s="420">
        <v>4.51</v>
      </c>
      <c r="D22" s="420"/>
      <c r="E22" s="421">
        <f>IF($O$2="元",成本明细!E52/10000,成本明细!F52)</f>
        <v>2683575</v>
      </c>
      <c r="F22" s="422"/>
      <c r="G22" s="422"/>
      <c r="H22" s="422"/>
      <c r="I22" s="422"/>
      <c r="J22" s="422"/>
      <c r="K22" s="422"/>
      <c r="L22" s="422"/>
      <c r="M22" s="422"/>
      <c r="N22" s="422"/>
      <c r="O22" s="431"/>
    </row>
    <row r="23" spans="1:15" ht="15.95" customHeight="1" outlineLevel="2">
      <c r="A23" s="418" t="s">
        <v>1028</v>
      </c>
      <c r="B23" s="419" t="s">
        <v>1029</v>
      </c>
      <c r="C23" s="420">
        <v>1.47</v>
      </c>
      <c r="D23" s="420"/>
      <c r="E23" s="421">
        <f>IF($O$2="元",成本明细!F55/10000,成本明细!F55)</f>
        <v>497800</v>
      </c>
      <c r="F23" s="422"/>
      <c r="G23" s="422"/>
      <c r="H23" s="422"/>
      <c r="I23" s="422"/>
      <c r="J23" s="422"/>
      <c r="K23" s="422"/>
      <c r="L23" s="422"/>
      <c r="M23" s="422"/>
      <c r="N23" s="422"/>
      <c r="O23" s="431"/>
    </row>
    <row r="24" spans="1:15" ht="15.95" customHeight="1" outlineLevel="2">
      <c r="A24" s="418" t="s">
        <v>1030</v>
      </c>
      <c r="B24" s="419" t="s">
        <v>1031</v>
      </c>
      <c r="C24" s="420">
        <v>18.95</v>
      </c>
      <c r="D24" s="420"/>
      <c r="E24" s="421">
        <f>IF($O$2="元",成本明细!F59/10000,成本明细!F59)</f>
        <v>899680</v>
      </c>
      <c r="F24" s="422"/>
      <c r="G24" s="422"/>
      <c r="H24" s="422"/>
      <c r="I24" s="422"/>
      <c r="J24" s="422"/>
      <c r="K24" s="422"/>
      <c r="L24" s="422"/>
      <c r="M24" s="422"/>
      <c r="N24" s="422"/>
      <c r="O24" s="431"/>
    </row>
    <row r="25" spans="1:15" ht="15.95" customHeight="1" outlineLevel="2">
      <c r="A25" s="418" t="s">
        <v>1032</v>
      </c>
      <c r="B25" s="419" t="s">
        <v>1033</v>
      </c>
      <c r="C25" s="420">
        <v>2.2000000000000002</v>
      </c>
      <c r="D25" s="420"/>
      <c r="E25" s="421" t="e">
        <f>IF($O$2="元",成本明细!#REF!/10000,成本明细!#REF!)</f>
        <v>#REF!</v>
      </c>
      <c r="F25" s="422"/>
      <c r="G25" s="422"/>
      <c r="H25" s="422"/>
      <c r="I25" s="422"/>
      <c r="J25" s="422"/>
      <c r="K25" s="422"/>
      <c r="L25" s="422"/>
      <c r="M25" s="422"/>
      <c r="N25" s="422"/>
      <c r="O25" s="431"/>
    </row>
    <row r="26" spans="1:15" ht="15.95" customHeight="1" outlineLevel="1">
      <c r="A26" s="413">
        <v>3</v>
      </c>
      <c r="B26" s="414" t="s">
        <v>1034</v>
      </c>
      <c r="C26" s="415">
        <v>59.76</v>
      </c>
      <c r="D26" s="415"/>
      <c r="E26" s="416">
        <f>IF($O$2="元",成本明细!F75/10000,成本明细!F75)</f>
        <v>8349707</v>
      </c>
      <c r="F26" s="417"/>
      <c r="G26" s="417"/>
      <c r="H26" s="417"/>
      <c r="I26" s="417"/>
      <c r="J26" s="417"/>
      <c r="K26" s="417"/>
      <c r="L26" s="417"/>
      <c r="M26" s="417"/>
      <c r="N26" s="417"/>
      <c r="O26" s="429"/>
    </row>
    <row r="27" spans="1:15" ht="15.95" customHeight="1" outlineLevel="2">
      <c r="A27" s="418" t="s">
        <v>1019</v>
      </c>
      <c r="B27" s="419" t="s">
        <v>1035</v>
      </c>
      <c r="C27" s="420">
        <v>6.17</v>
      </c>
      <c r="D27" s="420"/>
      <c r="E27" s="421">
        <f>IF($O$2="元",成本明细!F98/10000,成本明细!F98)</f>
        <v>396025</v>
      </c>
      <c r="F27" s="422"/>
      <c r="G27" s="422"/>
      <c r="H27" s="422"/>
      <c r="I27" s="422"/>
      <c r="J27" s="422"/>
      <c r="K27" s="422"/>
      <c r="L27" s="422"/>
      <c r="M27" s="422"/>
      <c r="N27" s="422"/>
      <c r="O27" s="431"/>
    </row>
    <row r="28" spans="1:15" ht="15.95" customHeight="1" outlineLevel="2">
      <c r="A28" s="418" t="s">
        <v>1021</v>
      </c>
      <c r="B28" s="419" t="s">
        <v>1036</v>
      </c>
      <c r="C28" s="420">
        <v>1</v>
      </c>
      <c r="D28" s="420"/>
      <c r="E28" s="421">
        <f>IF($O$2="元",成本明细!F84/10000,成本明细!F84)</f>
        <v>59505</v>
      </c>
      <c r="F28" s="422"/>
      <c r="G28" s="422"/>
      <c r="H28" s="422"/>
      <c r="I28" s="422"/>
      <c r="J28" s="422"/>
      <c r="K28" s="422"/>
      <c r="L28" s="422"/>
      <c r="M28" s="422"/>
      <c r="N28" s="422"/>
      <c r="O28" s="431"/>
    </row>
    <row r="29" spans="1:15" ht="15.95" customHeight="1" outlineLevel="2">
      <c r="A29" s="418" t="s">
        <v>1026</v>
      </c>
      <c r="B29" s="423" t="s">
        <v>1037</v>
      </c>
      <c r="C29" s="420">
        <v>5</v>
      </c>
      <c r="D29" s="420"/>
      <c r="E29" s="421">
        <f>IF($O$2="元",成本明细!F88/10000,成本明细!F88)</f>
        <v>0</v>
      </c>
      <c r="F29" s="422"/>
      <c r="G29" s="422"/>
      <c r="H29" s="422"/>
      <c r="I29" s="422"/>
      <c r="J29" s="422"/>
      <c r="K29" s="422"/>
      <c r="L29" s="422"/>
      <c r="M29" s="422"/>
      <c r="N29" s="422"/>
      <c r="O29" s="431"/>
    </row>
    <row r="30" spans="1:15" ht="15.95" customHeight="1" outlineLevel="2">
      <c r="A30" s="418" t="s">
        <v>1028</v>
      </c>
      <c r="B30" s="423" t="s">
        <v>1038</v>
      </c>
      <c r="C30" s="420">
        <v>2</v>
      </c>
      <c r="D30" s="420"/>
      <c r="E30" s="421">
        <f>IF($O$2="元",成本明细!F76/10000,成本明细!F76)</f>
        <v>656177</v>
      </c>
      <c r="F30" s="422"/>
      <c r="G30" s="422"/>
      <c r="H30" s="422"/>
      <c r="I30" s="422"/>
      <c r="J30" s="422"/>
      <c r="K30" s="422"/>
      <c r="L30" s="422"/>
      <c r="M30" s="422"/>
      <c r="N30" s="422"/>
      <c r="O30" s="431"/>
    </row>
    <row r="31" spans="1:15" ht="15.95" customHeight="1" outlineLevel="2">
      <c r="A31" s="418" t="s">
        <v>1030</v>
      </c>
      <c r="B31" s="423" t="s">
        <v>1039</v>
      </c>
      <c r="C31" s="420">
        <v>5</v>
      </c>
      <c r="D31" s="420"/>
      <c r="E31" s="421" t="e">
        <f>IF($O$2="元",成本明细!#REF!/10000,成本明细!#REF!)</f>
        <v>#REF!</v>
      </c>
      <c r="F31" s="422"/>
      <c r="G31" s="422"/>
      <c r="H31" s="422"/>
      <c r="I31" s="422"/>
      <c r="J31" s="422"/>
      <c r="K31" s="422"/>
      <c r="L31" s="422"/>
      <c r="M31" s="422"/>
      <c r="N31" s="422"/>
      <c r="O31" s="431"/>
    </row>
    <row r="32" spans="1:15" ht="15.95" customHeight="1" outlineLevel="2">
      <c r="A32" s="418" t="s">
        <v>1032</v>
      </c>
      <c r="B32" s="423" t="s">
        <v>1040</v>
      </c>
      <c r="C32" s="420">
        <v>40.58</v>
      </c>
      <c r="D32" s="420"/>
      <c r="E32" s="421" t="e">
        <f>IF($O$2="元",成本明细!#REF!/10000,成本明细!#REF!)</f>
        <v>#REF!</v>
      </c>
      <c r="F32" s="422"/>
      <c r="G32" s="422"/>
      <c r="H32" s="422"/>
      <c r="I32" s="422"/>
      <c r="J32" s="422"/>
      <c r="K32" s="422"/>
      <c r="L32" s="422"/>
      <c r="M32" s="422"/>
      <c r="N32" s="422"/>
      <c r="O32" s="431"/>
    </row>
    <row r="33" spans="1:15" ht="15.95" customHeight="1" outlineLevel="1">
      <c r="A33" s="413">
        <v>4</v>
      </c>
      <c r="B33" s="414" t="s">
        <v>1041</v>
      </c>
      <c r="C33" s="415">
        <v>21.64</v>
      </c>
      <c r="D33" s="415"/>
      <c r="E33" s="416">
        <f>IF($O$2="元",成本明细!F108/10000,成本明细!F108)</f>
        <v>1156748.82</v>
      </c>
      <c r="F33" s="417"/>
      <c r="G33" s="417"/>
      <c r="H33" s="417"/>
      <c r="I33" s="417"/>
      <c r="J33" s="417"/>
      <c r="K33" s="417"/>
      <c r="L33" s="417"/>
      <c r="M33" s="417"/>
      <c r="N33" s="417"/>
      <c r="O33" s="429"/>
    </row>
    <row r="34" spans="1:15" ht="15" customHeight="1" outlineLevel="2">
      <c r="A34" s="418" t="s">
        <v>1019</v>
      </c>
      <c r="B34" s="423" t="s">
        <v>1042</v>
      </c>
      <c r="C34" s="420">
        <v>1.1016431398511599</v>
      </c>
      <c r="D34" s="420"/>
      <c r="E34" s="421">
        <f>IF($O$2="元",成本明细!F109/10000,成本明细!F109)</f>
        <v>308733</v>
      </c>
      <c r="F34" s="422"/>
      <c r="G34" s="422"/>
      <c r="H34" s="422"/>
      <c r="I34" s="422"/>
      <c r="J34" s="422"/>
      <c r="K34" s="422"/>
      <c r="L34" s="422"/>
      <c r="M34" s="422"/>
      <c r="N34" s="422"/>
      <c r="O34" s="431"/>
    </row>
    <row r="35" spans="1:15" ht="15.95" customHeight="1" outlineLevel="2">
      <c r="A35" s="418" t="s">
        <v>1021</v>
      </c>
      <c r="B35" s="423" t="s">
        <v>1043</v>
      </c>
      <c r="C35" s="420">
        <v>0.74</v>
      </c>
      <c r="D35" s="420"/>
      <c r="E35" s="421">
        <f>IF($O$2="元",成本明细!F114/10000,成本明细!F114)</f>
        <v>246111.52</v>
      </c>
      <c r="F35" s="422"/>
      <c r="G35" s="422"/>
      <c r="H35" s="422"/>
      <c r="I35" s="422"/>
      <c r="J35" s="422"/>
      <c r="K35" s="422"/>
      <c r="L35" s="422"/>
      <c r="M35" s="422"/>
      <c r="N35" s="422"/>
      <c r="O35" s="431"/>
    </row>
    <row r="36" spans="1:15" ht="15.95" customHeight="1" outlineLevel="2">
      <c r="A36" s="418" t="s">
        <v>1026</v>
      </c>
      <c r="B36" s="423" t="s">
        <v>1044</v>
      </c>
      <c r="C36" s="420">
        <v>1.1000000000000001</v>
      </c>
      <c r="D36" s="420"/>
      <c r="E36" s="421">
        <f>IF($O$2="元",成本明细!F124/10000,成本明细!F124)</f>
        <v>92210</v>
      </c>
      <c r="F36" s="422"/>
      <c r="G36" s="422"/>
      <c r="H36" s="422"/>
      <c r="I36" s="422"/>
      <c r="J36" s="422"/>
      <c r="K36" s="422"/>
      <c r="L36" s="422"/>
      <c r="M36" s="422"/>
      <c r="N36" s="422"/>
      <c r="O36" s="431"/>
    </row>
    <row r="37" spans="1:15" ht="15.95" customHeight="1" outlineLevel="2">
      <c r="A37" s="418" t="s">
        <v>1028</v>
      </c>
      <c r="B37" s="423" t="s">
        <v>1045</v>
      </c>
      <c r="C37" s="420">
        <v>0.83925226656561902</v>
      </c>
      <c r="D37" s="420"/>
      <c r="E37" s="421">
        <f>IF($O$2="元",成本明细!F129/10000,成本明细!F129)</f>
        <v>509694.3</v>
      </c>
      <c r="F37" s="422"/>
      <c r="G37" s="422"/>
      <c r="H37" s="422"/>
      <c r="I37" s="422"/>
      <c r="J37" s="422"/>
      <c r="K37" s="422"/>
      <c r="L37" s="422"/>
      <c r="M37" s="422"/>
      <c r="N37" s="422"/>
      <c r="O37" s="431"/>
    </row>
    <row r="38" spans="1:15" ht="15.95" customHeight="1" outlineLevel="2">
      <c r="A38" s="418" t="s">
        <v>1030</v>
      </c>
      <c r="B38" s="423" t="s">
        <v>1046</v>
      </c>
      <c r="C38" s="420">
        <v>2.5670993687557399E-2</v>
      </c>
      <c r="D38" s="420"/>
      <c r="E38" s="421">
        <f>IF($O$2="元",成本明细!F133/10000,成本明细!F133)</f>
        <v>337500</v>
      </c>
      <c r="F38" s="422"/>
      <c r="G38" s="422"/>
      <c r="H38" s="422"/>
      <c r="I38" s="422"/>
      <c r="J38" s="422"/>
      <c r="K38" s="422"/>
      <c r="L38" s="422"/>
      <c r="M38" s="422"/>
      <c r="N38" s="422"/>
      <c r="O38" s="431"/>
    </row>
    <row r="39" spans="1:15" ht="15.95" customHeight="1" outlineLevel="2">
      <c r="A39" s="418" t="s">
        <v>1032</v>
      </c>
      <c r="B39" s="423" t="s">
        <v>1047</v>
      </c>
      <c r="C39" s="420">
        <v>0.04</v>
      </c>
      <c r="D39" s="420"/>
      <c r="E39" s="421">
        <f>IF($O$2="元",成本明细!F138/10000,成本明细!F138)</f>
        <v>0</v>
      </c>
      <c r="F39" s="422"/>
      <c r="G39" s="422"/>
      <c r="H39" s="422"/>
      <c r="I39" s="422"/>
      <c r="J39" s="422"/>
      <c r="K39" s="422"/>
      <c r="L39" s="422"/>
      <c r="M39" s="422"/>
      <c r="N39" s="422"/>
      <c r="O39" s="431"/>
    </row>
    <row r="40" spans="1:15" ht="15.95" customHeight="1" outlineLevel="2">
      <c r="A40" s="418" t="s">
        <v>1048</v>
      </c>
      <c r="B40" s="423" t="s">
        <v>1049</v>
      </c>
      <c r="C40" s="420">
        <v>0.81</v>
      </c>
      <c r="D40" s="420"/>
      <c r="E40" s="421">
        <f>IF($O$2="元",成本明细!F141/10000,成本明细!F141)</f>
        <v>0</v>
      </c>
      <c r="F40" s="422"/>
      <c r="G40" s="422"/>
      <c r="H40" s="422"/>
      <c r="I40" s="422"/>
      <c r="J40" s="422"/>
      <c r="K40" s="422"/>
      <c r="L40" s="422"/>
      <c r="M40" s="422"/>
      <c r="N40" s="422"/>
      <c r="O40" s="431"/>
    </row>
    <row r="41" spans="1:15" ht="15.95" customHeight="1" outlineLevel="2">
      <c r="A41" s="418" t="s">
        <v>1050</v>
      </c>
      <c r="B41" s="423" t="s">
        <v>1051</v>
      </c>
      <c r="C41" s="420">
        <v>0.72</v>
      </c>
      <c r="D41" s="420"/>
      <c r="E41" s="421">
        <f>IF($O$2="元",成本明细!F144/10000,成本明细!F144)</f>
        <v>105000</v>
      </c>
      <c r="F41" s="422"/>
      <c r="G41" s="422"/>
      <c r="H41" s="422"/>
      <c r="I41" s="422"/>
      <c r="J41" s="422"/>
      <c r="K41" s="422"/>
      <c r="L41" s="422"/>
      <c r="M41" s="422"/>
      <c r="N41" s="422"/>
      <c r="O41" s="431"/>
    </row>
    <row r="42" spans="1:15" ht="15.95" customHeight="1" outlineLevel="2">
      <c r="A42" s="418" t="s">
        <v>1052</v>
      </c>
      <c r="B42" s="423" t="s">
        <v>1053</v>
      </c>
      <c r="C42" s="420">
        <v>0</v>
      </c>
      <c r="D42" s="420"/>
      <c r="E42" s="421">
        <f>IF($O$2="元",成本明细!F147/10000,成本明细!F147)</f>
        <v>804078.16</v>
      </c>
      <c r="F42" s="422"/>
      <c r="G42" s="422"/>
      <c r="H42" s="422"/>
      <c r="I42" s="422"/>
      <c r="J42" s="422"/>
      <c r="K42" s="422"/>
      <c r="L42" s="422"/>
      <c r="M42" s="422"/>
      <c r="N42" s="422"/>
      <c r="O42" s="431"/>
    </row>
    <row r="43" spans="1:15" ht="15.95" customHeight="1" outlineLevel="2">
      <c r="A43" s="418" t="s">
        <v>1054</v>
      </c>
      <c r="B43" s="423" t="s">
        <v>1055</v>
      </c>
      <c r="C43" s="420">
        <v>2.0499999999999998</v>
      </c>
      <c r="D43" s="420"/>
      <c r="E43" s="421">
        <f>IF($O$2="元",成本明细!F152/10000,成本明细!F152)</f>
        <v>103636.91</v>
      </c>
      <c r="F43" s="422"/>
      <c r="G43" s="422"/>
      <c r="H43" s="422"/>
      <c r="I43" s="422"/>
      <c r="J43" s="422"/>
      <c r="K43" s="422"/>
      <c r="L43" s="422"/>
      <c r="M43" s="422"/>
      <c r="N43" s="422"/>
      <c r="O43" s="431"/>
    </row>
    <row r="44" spans="1:15" ht="15.95" customHeight="1" outlineLevel="2">
      <c r="A44" s="418" t="s">
        <v>1056</v>
      </c>
      <c r="B44" s="423" t="s">
        <v>1057</v>
      </c>
      <c r="C44" s="420">
        <v>2.2385395580755798</v>
      </c>
      <c r="D44" s="420"/>
      <c r="E44" s="421">
        <f>IF($O$2="元",成本明细!F156/10000,成本明细!F156)</f>
        <v>339000</v>
      </c>
      <c r="F44" s="422"/>
      <c r="G44" s="422"/>
      <c r="H44" s="422"/>
      <c r="I44" s="422"/>
      <c r="J44" s="422"/>
      <c r="K44" s="422"/>
      <c r="L44" s="422"/>
      <c r="M44" s="422"/>
      <c r="N44" s="422"/>
      <c r="O44" s="431"/>
    </row>
    <row r="45" spans="1:15" ht="15.95" customHeight="1" outlineLevel="2">
      <c r="A45" s="418" t="s">
        <v>1058</v>
      </c>
      <c r="B45" s="423" t="s">
        <v>1059</v>
      </c>
      <c r="C45" s="420">
        <v>0.84</v>
      </c>
      <c r="D45" s="420"/>
      <c r="E45" s="421" t="e">
        <f>IF($O$2="元",成本明细!#REF!/10000,成本明细!#REF!)</f>
        <v>#REF!</v>
      </c>
      <c r="F45" s="422"/>
      <c r="G45" s="422"/>
      <c r="H45" s="422"/>
      <c r="I45" s="422"/>
      <c r="J45" s="422"/>
      <c r="K45" s="422"/>
      <c r="L45" s="422"/>
      <c r="M45" s="422"/>
      <c r="N45" s="422"/>
      <c r="O45" s="431"/>
    </row>
    <row r="46" spans="1:15" ht="15.95" customHeight="1" outlineLevel="2">
      <c r="A46" s="418" t="s">
        <v>1060</v>
      </c>
      <c r="B46" s="423" t="s">
        <v>1061</v>
      </c>
      <c r="C46" s="420">
        <v>0.14449234466011801</v>
      </c>
      <c r="D46" s="420"/>
      <c r="E46" s="421">
        <f>IF($O$2="元",成本明细!F159/10000,成本明细!F159)</f>
        <v>83164.149999999994</v>
      </c>
      <c r="F46" s="422"/>
      <c r="G46" s="422"/>
      <c r="H46" s="422"/>
      <c r="I46" s="422"/>
      <c r="J46" s="422"/>
      <c r="K46" s="422"/>
      <c r="L46" s="422"/>
      <c r="M46" s="422"/>
      <c r="N46" s="422"/>
      <c r="O46" s="431"/>
    </row>
    <row r="47" spans="1:15" ht="15.95" customHeight="1" outlineLevel="2">
      <c r="A47" s="418" t="s">
        <v>1062</v>
      </c>
      <c r="B47" s="423" t="s">
        <v>1063</v>
      </c>
      <c r="C47" s="420">
        <v>0.21673851699017699</v>
      </c>
      <c r="D47" s="420"/>
      <c r="E47" s="421">
        <f>IF($O$2="元",成本明细!F162/10000,成本明细!F162)</f>
        <v>0</v>
      </c>
      <c r="F47" s="422"/>
      <c r="G47" s="422"/>
      <c r="H47" s="422"/>
      <c r="I47" s="422"/>
      <c r="J47" s="422"/>
      <c r="K47" s="422"/>
      <c r="L47" s="422"/>
      <c r="M47" s="422"/>
      <c r="N47" s="422"/>
      <c r="O47" s="431"/>
    </row>
    <row r="48" spans="1:15" ht="15.95" customHeight="1" outlineLevel="2">
      <c r="A48" s="418" t="s">
        <v>1064</v>
      </c>
      <c r="B48" s="423" t="s">
        <v>1065</v>
      </c>
      <c r="C48" s="420">
        <v>0.34</v>
      </c>
      <c r="D48" s="420"/>
      <c r="E48" s="421">
        <f>IF($O$2="元",成本明细!F165/10000,成本明细!F165)</f>
        <v>0</v>
      </c>
      <c r="F48" s="422"/>
      <c r="G48" s="422"/>
      <c r="H48" s="422"/>
      <c r="I48" s="422"/>
      <c r="J48" s="422"/>
      <c r="K48" s="422"/>
      <c r="L48" s="422"/>
      <c r="M48" s="422"/>
      <c r="N48" s="422"/>
      <c r="O48" s="431"/>
    </row>
    <row r="49" spans="1:15" ht="15.95" customHeight="1" outlineLevel="2">
      <c r="A49" s="418" t="s">
        <v>1066</v>
      </c>
      <c r="B49" s="423" t="s">
        <v>1067</v>
      </c>
      <c r="C49" s="420">
        <v>0.722461723300592</v>
      </c>
      <c r="D49" s="420"/>
      <c r="E49" s="421">
        <f>IF($O$2="元",成本明细!F168/10000,成本明细!F168)</f>
        <v>21981</v>
      </c>
      <c r="F49" s="422"/>
      <c r="G49" s="422"/>
      <c r="H49" s="422"/>
      <c r="I49" s="422"/>
      <c r="J49" s="422"/>
      <c r="K49" s="422"/>
      <c r="L49" s="422"/>
      <c r="M49" s="422"/>
      <c r="N49" s="422"/>
      <c r="O49" s="431"/>
    </row>
    <row r="50" spans="1:15" ht="17.25" customHeight="1" outlineLevel="2">
      <c r="A50" s="418" t="s">
        <v>1068</v>
      </c>
      <c r="B50" s="423" t="s">
        <v>1069</v>
      </c>
      <c r="C50" s="420">
        <v>5.7796937864047299E-2</v>
      </c>
      <c r="D50" s="420"/>
      <c r="E50" s="421">
        <f>IF($O$2="元",成本明细!F172/10000,成本明细!F172)</f>
        <v>0</v>
      </c>
      <c r="F50" s="422"/>
      <c r="G50" s="422"/>
      <c r="H50" s="422"/>
      <c r="I50" s="422"/>
      <c r="J50" s="422"/>
      <c r="K50" s="422"/>
      <c r="L50" s="422"/>
      <c r="M50" s="422"/>
      <c r="N50" s="422"/>
      <c r="O50" s="431"/>
    </row>
    <row r="51" spans="1:15" ht="15.95" customHeight="1" outlineLevel="2">
      <c r="A51" s="418" t="s">
        <v>1070</v>
      </c>
      <c r="B51" s="423" t="s">
        <v>1071</v>
      </c>
      <c r="C51" s="420">
        <v>1.1216416064261501</v>
      </c>
      <c r="D51" s="420"/>
      <c r="E51" s="421">
        <f>IF($O$2="元",成本明细!F175/10000,成本明细!F175)</f>
        <v>0</v>
      </c>
      <c r="F51" s="422"/>
      <c r="G51" s="422"/>
      <c r="H51" s="422"/>
      <c r="I51" s="422"/>
      <c r="J51" s="422"/>
      <c r="K51" s="422"/>
      <c r="L51" s="422"/>
      <c r="M51" s="422"/>
      <c r="N51" s="422"/>
      <c r="O51" s="431"/>
    </row>
    <row r="52" spans="1:15" ht="15.95" customHeight="1" outlineLevel="2">
      <c r="A52" s="418" t="s">
        <v>1072</v>
      </c>
      <c r="B52" s="423" t="s">
        <v>1073</v>
      </c>
      <c r="C52" s="420">
        <v>0.74</v>
      </c>
      <c r="D52" s="420"/>
      <c r="E52" s="421">
        <f>IF($O$2="元",成本明细!F178/10000,成本明细!F178)</f>
        <v>0</v>
      </c>
      <c r="F52" s="422"/>
      <c r="G52" s="422"/>
      <c r="H52" s="422"/>
      <c r="I52" s="422"/>
      <c r="J52" s="422"/>
      <c r="K52" s="422"/>
      <c r="L52" s="422"/>
      <c r="M52" s="422"/>
      <c r="N52" s="422"/>
      <c r="O52" s="432"/>
    </row>
    <row r="53" spans="1:15" ht="15.95" customHeight="1" outlineLevel="2">
      <c r="A53" s="418" t="s">
        <v>1074</v>
      </c>
      <c r="B53" s="423" t="s">
        <v>1075</v>
      </c>
      <c r="C53" s="420">
        <v>3.34</v>
      </c>
      <c r="D53" s="420"/>
      <c r="E53" s="421">
        <f>IF($O$2="元",成本明细!F181/10000,成本明细!F181)</f>
        <v>19645</v>
      </c>
      <c r="F53" s="422"/>
      <c r="G53" s="422"/>
      <c r="H53" s="422"/>
      <c r="I53" s="422"/>
      <c r="J53" s="422"/>
      <c r="K53" s="422"/>
      <c r="L53" s="422"/>
      <c r="M53" s="422"/>
      <c r="N53" s="422"/>
      <c r="O53" s="432"/>
    </row>
    <row r="54" spans="1:15" ht="15.95" customHeight="1" outlineLevel="2">
      <c r="A54" s="418" t="s">
        <v>1076</v>
      </c>
      <c r="B54" s="423" t="s">
        <v>1077</v>
      </c>
      <c r="C54" s="420">
        <v>1.8</v>
      </c>
      <c r="D54" s="420"/>
      <c r="E54" s="421">
        <f>IF($O$2="元",成本明细!F184/10000,成本明细!F184)</f>
        <v>2336</v>
      </c>
      <c r="F54" s="422"/>
      <c r="G54" s="422"/>
      <c r="H54" s="422"/>
      <c r="I54" s="422"/>
      <c r="J54" s="422"/>
      <c r="K54" s="422"/>
      <c r="L54" s="422"/>
      <c r="M54" s="422"/>
      <c r="N54" s="422"/>
      <c r="O54" s="432"/>
    </row>
    <row r="55" spans="1:15" ht="15.95" customHeight="1" outlineLevel="2">
      <c r="A55" s="418" t="s">
        <v>1078</v>
      </c>
      <c r="B55" s="423" t="s">
        <v>1079</v>
      </c>
      <c r="C55" s="420">
        <v>1.44</v>
      </c>
      <c r="D55" s="420"/>
      <c r="E55" s="421">
        <f>IF($O$2="元",成本明细!F198/10000,成本明细!F198)</f>
        <v>25680</v>
      </c>
      <c r="F55" s="422"/>
      <c r="G55" s="422"/>
      <c r="H55" s="422"/>
      <c r="I55" s="422"/>
      <c r="J55" s="422"/>
      <c r="K55" s="422"/>
      <c r="L55" s="422"/>
      <c r="M55" s="422"/>
      <c r="N55" s="422"/>
      <c r="O55" s="431"/>
    </row>
    <row r="56" spans="1:15" ht="15.95" customHeight="1" outlineLevel="2">
      <c r="A56" s="418" t="s">
        <v>1080</v>
      </c>
      <c r="B56" s="423" t="s">
        <v>1015</v>
      </c>
      <c r="C56" s="420">
        <v>1.21</v>
      </c>
      <c r="D56" s="420"/>
      <c r="E56" s="421">
        <f>IF($O$2="元",成本明细!F203/10000,成本明细!F203)</f>
        <v>0</v>
      </c>
      <c r="F56" s="422"/>
      <c r="G56" s="422"/>
      <c r="H56" s="422"/>
      <c r="I56" s="422"/>
      <c r="J56" s="422"/>
      <c r="K56" s="422"/>
      <c r="L56" s="422"/>
      <c r="M56" s="422"/>
      <c r="N56" s="422"/>
      <c r="O56" s="431"/>
    </row>
    <row r="57" spans="1:15" ht="15.95" customHeight="1" outlineLevel="1">
      <c r="A57" s="413">
        <v>5</v>
      </c>
      <c r="B57" s="414" t="s">
        <v>1081</v>
      </c>
      <c r="C57" s="415">
        <v>26.11</v>
      </c>
      <c r="D57" s="415"/>
      <c r="E57" s="416" t="e">
        <f>IF($O$2="元",成本明细!#REF!/10000,成本明细!#REF!)</f>
        <v>#REF!</v>
      </c>
      <c r="F57" s="417"/>
      <c r="G57" s="417"/>
      <c r="H57" s="417"/>
      <c r="I57" s="417"/>
      <c r="J57" s="417"/>
      <c r="K57" s="417"/>
      <c r="L57" s="417"/>
      <c r="M57" s="417"/>
      <c r="N57" s="417"/>
      <c r="O57" s="429"/>
    </row>
    <row r="58" spans="1:15" ht="15.95" customHeight="1" outlineLevel="2">
      <c r="A58" s="418" t="s">
        <v>1019</v>
      </c>
      <c r="B58" s="423" t="s">
        <v>1082</v>
      </c>
      <c r="C58" s="420">
        <v>7.51</v>
      </c>
      <c r="D58" s="420"/>
      <c r="E58" s="421" t="e">
        <f>IF($O$2="元",成本明细!#REF!/10000,成本明细!#REF!)</f>
        <v>#REF!</v>
      </c>
      <c r="F58" s="422"/>
      <c r="G58" s="422"/>
      <c r="H58" s="422"/>
      <c r="I58" s="422"/>
      <c r="J58" s="422"/>
      <c r="K58" s="422"/>
      <c r="L58" s="422"/>
      <c r="M58" s="422"/>
      <c r="N58" s="422"/>
      <c r="O58" s="431"/>
    </row>
    <row r="59" spans="1:15" ht="15.95" customHeight="1" outlineLevel="2">
      <c r="A59" s="418" t="s">
        <v>1021</v>
      </c>
      <c r="B59" s="423" t="s">
        <v>1083</v>
      </c>
      <c r="C59" s="420">
        <v>0.8</v>
      </c>
      <c r="D59" s="420"/>
      <c r="E59" s="421" t="e">
        <f>IF($O$2="元",成本明细!#REF!/10000,成本明细!#REF!)</f>
        <v>#REF!</v>
      </c>
      <c r="F59" s="422"/>
      <c r="G59" s="422"/>
      <c r="H59" s="422"/>
      <c r="I59" s="422"/>
      <c r="J59" s="422"/>
      <c r="K59" s="422"/>
      <c r="L59" s="422"/>
      <c r="M59" s="422"/>
      <c r="N59" s="422"/>
      <c r="O59" s="431"/>
    </row>
    <row r="60" spans="1:15" ht="15.95" customHeight="1" outlineLevel="2">
      <c r="A60" s="418" t="s">
        <v>1026</v>
      </c>
      <c r="B60" s="423" t="s">
        <v>1084</v>
      </c>
      <c r="C60" s="420">
        <v>0.62</v>
      </c>
      <c r="D60" s="420"/>
      <c r="E60" s="421" t="e">
        <f>IF($O$2="元",成本明细!#REF!/10000,成本明细!#REF!)</f>
        <v>#REF!</v>
      </c>
      <c r="F60" s="422"/>
      <c r="G60" s="422"/>
      <c r="H60" s="422"/>
      <c r="I60" s="422"/>
      <c r="J60" s="422"/>
      <c r="K60" s="422"/>
      <c r="L60" s="422"/>
      <c r="M60" s="422"/>
      <c r="N60" s="422"/>
      <c r="O60" s="431"/>
    </row>
    <row r="61" spans="1:15" ht="15.95" customHeight="1" outlineLevel="2">
      <c r="A61" s="418" t="s">
        <v>1028</v>
      </c>
      <c r="B61" s="423" t="s">
        <v>1085</v>
      </c>
      <c r="C61" s="420">
        <v>0.39509625493001099</v>
      </c>
      <c r="D61" s="420"/>
      <c r="E61" s="421" t="e">
        <f>IF($O$2="元",成本明细!#REF!/10000,成本明细!#REF!)</f>
        <v>#REF!</v>
      </c>
      <c r="F61" s="422"/>
      <c r="G61" s="422"/>
      <c r="H61" s="422"/>
      <c r="I61" s="422"/>
      <c r="J61" s="422"/>
      <c r="K61" s="422"/>
      <c r="L61" s="422"/>
      <c r="M61" s="422"/>
      <c r="N61" s="422"/>
      <c r="O61" s="431"/>
    </row>
    <row r="62" spans="1:15" ht="15.95" customHeight="1" outlineLevel="2">
      <c r="A62" s="418" t="s">
        <v>1030</v>
      </c>
      <c r="B62" s="423" t="s">
        <v>1086</v>
      </c>
      <c r="C62" s="420">
        <v>16.78</v>
      </c>
      <c r="D62" s="420"/>
      <c r="E62" s="421" t="e">
        <f>IF($O$2="元",成本明细!#REF!/10000,成本明细!#REF!)</f>
        <v>#REF!</v>
      </c>
      <c r="F62" s="422"/>
      <c r="G62" s="422"/>
      <c r="H62" s="422"/>
      <c r="I62" s="422"/>
      <c r="J62" s="422"/>
      <c r="K62" s="422"/>
      <c r="L62" s="422"/>
      <c r="M62" s="422"/>
      <c r="N62" s="422"/>
      <c r="O62" s="431"/>
    </row>
    <row r="63" spans="1:15" ht="15.95" customHeight="1">
      <c r="A63" s="408" t="s">
        <v>1087</v>
      </c>
      <c r="B63" s="409" t="s">
        <v>1088</v>
      </c>
      <c r="C63" s="410">
        <v>3515.48</v>
      </c>
      <c r="D63" s="410"/>
      <c r="E63" s="411">
        <f>E64+E67+E100+E97</f>
        <v>332115126</v>
      </c>
      <c r="F63" s="412"/>
      <c r="G63" s="412"/>
      <c r="H63" s="412"/>
      <c r="I63" s="412"/>
      <c r="J63" s="412"/>
      <c r="K63" s="412"/>
      <c r="L63" s="412"/>
      <c r="M63" s="412"/>
      <c r="N63" s="412"/>
      <c r="O63" s="430"/>
    </row>
    <row r="64" spans="1:15" ht="15.95" customHeight="1" outlineLevel="1">
      <c r="A64" s="413">
        <v>1</v>
      </c>
      <c r="B64" s="414" t="s">
        <v>1089</v>
      </c>
      <c r="C64" s="415">
        <v>135.21</v>
      </c>
      <c r="D64" s="415"/>
      <c r="E64" s="416">
        <f>IF($O$2="元",成本明细!F228/10000,成本明细!F228)</f>
        <v>8362141</v>
      </c>
      <c r="F64" s="417"/>
      <c r="G64" s="417"/>
      <c r="H64" s="417"/>
      <c r="I64" s="417"/>
      <c r="J64" s="417"/>
      <c r="K64" s="417"/>
      <c r="L64" s="417"/>
      <c r="M64" s="417"/>
      <c r="N64" s="417"/>
      <c r="O64" s="429"/>
    </row>
    <row r="65" spans="1:19" ht="15.95" customHeight="1" outlineLevel="2">
      <c r="A65" s="418" t="s">
        <v>1019</v>
      </c>
      <c r="B65" s="423" t="s">
        <v>1090</v>
      </c>
      <c r="C65" s="420">
        <v>132.94999999999999</v>
      </c>
      <c r="D65" s="420"/>
      <c r="E65" s="421">
        <f>IF($O$2="元",成本明细!F229/10000,成本明细!F229)</f>
        <v>5764660</v>
      </c>
      <c r="F65" s="422"/>
      <c r="G65" s="422"/>
      <c r="H65" s="422"/>
      <c r="I65" s="422"/>
      <c r="J65" s="422"/>
      <c r="K65" s="422"/>
      <c r="L65" s="422"/>
      <c r="M65" s="422"/>
      <c r="N65" s="422"/>
      <c r="O65" s="431"/>
    </row>
    <row r="66" spans="1:19" ht="15.95" customHeight="1" outlineLevel="2">
      <c r="A66" s="418" t="s">
        <v>1021</v>
      </c>
      <c r="B66" s="423" t="s">
        <v>1091</v>
      </c>
      <c r="C66" s="420">
        <v>2.27</v>
      </c>
      <c r="D66" s="420"/>
      <c r="E66" s="421">
        <f>IF($O$2="元",成本明细!F232/10000,成本明细!F232)</f>
        <v>184940</v>
      </c>
      <c r="F66" s="422"/>
      <c r="G66" s="422"/>
      <c r="H66" s="422"/>
      <c r="I66" s="422"/>
      <c r="J66" s="422"/>
      <c r="K66" s="422"/>
      <c r="L66" s="422"/>
      <c r="M66" s="422"/>
      <c r="N66" s="422"/>
      <c r="O66" s="431"/>
    </row>
    <row r="67" spans="1:19" ht="15.95" customHeight="1" outlineLevel="1">
      <c r="A67" s="413">
        <v>2</v>
      </c>
      <c r="B67" s="414" t="s">
        <v>1092</v>
      </c>
      <c r="C67" s="415">
        <v>3226.88</v>
      </c>
      <c r="D67" s="415"/>
      <c r="E67" s="416">
        <f>IF($O$2="元",成本明细!F257/10000,成本明细!F257)</f>
        <v>289611669</v>
      </c>
      <c r="F67" s="417"/>
      <c r="G67" s="417"/>
      <c r="H67" s="417"/>
      <c r="I67" s="417"/>
      <c r="J67" s="417"/>
      <c r="K67" s="417"/>
      <c r="L67" s="417"/>
      <c r="M67" s="417"/>
      <c r="N67" s="417"/>
      <c r="O67" s="429"/>
    </row>
    <row r="68" spans="1:19" s="387" customFormat="1" ht="12.75" outlineLevel="2">
      <c r="A68" s="418" t="s">
        <v>1019</v>
      </c>
      <c r="B68" s="433" t="s">
        <v>1093</v>
      </c>
      <c r="C68" s="434">
        <v>1150.02</v>
      </c>
      <c r="D68" s="434"/>
      <c r="E68" s="421">
        <f>IF($O$2="元",成本明细!F258/10000,成本明细!F258)</f>
        <v>239900072</v>
      </c>
      <c r="F68" s="421"/>
      <c r="G68" s="421"/>
      <c r="H68" s="421"/>
      <c r="I68" s="421"/>
      <c r="J68" s="421"/>
      <c r="K68" s="421"/>
      <c r="L68" s="421"/>
      <c r="M68" s="421"/>
      <c r="N68" s="421"/>
      <c r="O68" s="434"/>
      <c r="P68" s="436"/>
      <c r="Q68" s="443"/>
      <c r="R68" s="443"/>
    </row>
    <row r="69" spans="1:19" s="387" customFormat="1" ht="12.75" outlineLevel="2">
      <c r="A69" s="418" t="s">
        <v>1021</v>
      </c>
      <c r="B69" s="433" t="s">
        <v>1094</v>
      </c>
      <c r="C69" s="434">
        <v>27.06</v>
      </c>
      <c r="D69" s="434"/>
      <c r="E69" s="421">
        <f>IF($O$2="元",成本明细!F266/10000,成本明细!F266)</f>
        <v>149014</v>
      </c>
      <c r="F69" s="421"/>
      <c r="G69" s="421"/>
      <c r="H69" s="421"/>
      <c r="I69" s="421"/>
      <c r="J69" s="421"/>
      <c r="K69" s="421"/>
      <c r="L69" s="421"/>
      <c r="M69" s="421"/>
      <c r="N69" s="421"/>
      <c r="O69" s="434"/>
      <c r="Q69" s="443"/>
      <c r="R69" s="443"/>
    </row>
    <row r="70" spans="1:19" s="387" customFormat="1" ht="12.75" outlineLevel="2">
      <c r="A70" s="418" t="s">
        <v>1026</v>
      </c>
      <c r="B70" s="433" t="s">
        <v>1095</v>
      </c>
      <c r="C70" s="434">
        <v>586.28</v>
      </c>
      <c r="D70" s="434"/>
      <c r="E70" s="421">
        <f>IF($O$2="元",成本明细!F285/10000,成本明细!F285)</f>
        <v>2049582</v>
      </c>
      <c r="F70" s="421"/>
      <c r="G70" s="421"/>
      <c r="H70" s="421"/>
      <c r="I70" s="421"/>
      <c r="J70" s="421"/>
      <c r="K70" s="421"/>
      <c r="L70" s="421"/>
      <c r="M70" s="421"/>
      <c r="N70" s="421"/>
      <c r="O70" s="434"/>
      <c r="P70" s="436"/>
      <c r="Q70" s="443"/>
      <c r="R70" s="443"/>
    </row>
    <row r="71" spans="1:19" s="387" customFormat="1" ht="12.75" outlineLevel="2">
      <c r="A71" s="418" t="s">
        <v>1028</v>
      </c>
      <c r="B71" s="435" t="s">
        <v>1096</v>
      </c>
      <c r="C71" s="434">
        <v>27.06</v>
      </c>
      <c r="D71" s="434"/>
      <c r="E71" s="421" t="e">
        <f>IF($O$2="元",成本明细!#REF!/10000,成本明细!#REF!)</f>
        <v>#REF!</v>
      </c>
      <c r="F71" s="421"/>
      <c r="G71" s="421"/>
      <c r="H71" s="421"/>
      <c r="I71" s="421"/>
      <c r="J71" s="421"/>
      <c r="K71" s="421"/>
      <c r="L71" s="421"/>
      <c r="M71" s="421"/>
      <c r="N71" s="421"/>
      <c r="O71" s="434"/>
      <c r="Q71" s="443"/>
      <c r="R71" s="443"/>
    </row>
    <row r="72" spans="1:19" s="387" customFormat="1" ht="12.75" outlineLevel="2">
      <c r="A72" s="418" t="s">
        <v>1030</v>
      </c>
      <c r="B72" s="433" t="s">
        <v>1097</v>
      </c>
      <c r="C72" s="434">
        <v>18.62</v>
      </c>
      <c r="D72" s="434"/>
      <c r="E72" s="421" t="e">
        <f>IF($O$2="元",成本明细!#REF!/10000,成本明细!#REF!)</f>
        <v>#REF!</v>
      </c>
      <c r="F72" s="421"/>
      <c r="G72" s="421"/>
      <c r="H72" s="421"/>
      <c r="I72" s="421"/>
      <c r="J72" s="421"/>
      <c r="K72" s="421"/>
      <c r="L72" s="421"/>
      <c r="M72" s="421"/>
      <c r="N72" s="421"/>
      <c r="O72" s="434"/>
      <c r="P72" s="437"/>
      <c r="Q72" s="443"/>
      <c r="R72" s="443"/>
    </row>
    <row r="73" spans="1:19" s="387" customFormat="1" ht="12.75" outlineLevel="2">
      <c r="A73" s="418" t="s">
        <v>1032</v>
      </c>
      <c r="B73" s="433" t="s">
        <v>1098</v>
      </c>
      <c r="C73" s="434">
        <v>101.23</v>
      </c>
      <c r="D73" s="434"/>
      <c r="E73" s="421" t="e">
        <f>IF($O$2="元",成本明细!#REF!/10000,成本明细!#REF!)</f>
        <v>#REF!</v>
      </c>
      <c r="F73" s="421"/>
      <c r="G73" s="421"/>
      <c r="H73" s="421"/>
      <c r="I73" s="421"/>
      <c r="J73" s="421"/>
      <c r="K73" s="421"/>
      <c r="L73" s="421"/>
      <c r="M73" s="421"/>
      <c r="N73" s="421"/>
      <c r="O73" s="434"/>
      <c r="P73" s="438"/>
      <c r="Q73" s="443"/>
      <c r="R73" s="443"/>
    </row>
    <row r="74" spans="1:19" s="387" customFormat="1" ht="12.75" outlineLevel="2">
      <c r="A74" s="418" t="s">
        <v>1048</v>
      </c>
      <c r="B74" s="433" t="s">
        <v>1099</v>
      </c>
      <c r="C74" s="434">
        <v>24.89</v>
      </c>
      <c r="D74" s="434"/>
      <c r="E74" s="421" t="e">
        <f>IF($O$2="元",成本明细!#REF!/10000,成本明细!#REF!)</f>
        <v>#REF!</v>
      </c>
      <c r="F74" s="421"/>
      <c r="G74" s="421"/>
      <c r="H74" s="421"/>
      <c r="I74" s="421"/>
      <c r="J74" s="421"/>
      <c r="K74" s="421"/>
      <c r="L74" s="421"/>
      <c r="M74" s="421"/>
      <c r="N74" s="421"/>
      <c r="O74" s="434"/>
      <c r="P74" s="438"/>
      <c r="Q74" s="443"/>
      <c r="R74" s="443"/>
    </row>
    <row r="75" spans="1:19" s="387" customFormat="1" ht="12.75" outlineLevel="2">
      <c r="A75" s="418" t="s">
        <v>1050</v>
      </c>
      <c r="B75" s="433" t="s">
        <v>1100</v>
      </c>
      <c r="C75" s="434">
        <v>7.8</v>
      </c>
      <c r="D75" s="434"/>
      <c r="E75" s="421" t="e">
        <f>IF($O$2="元",成本明细!#REF!/10000,成本明细!#REF!)</f>
        <v>#REF!</v>
      </c>
      <c r="F75" s="421"/>
      <c r="G75" s="421"/>
      <c r="H75" s="421"/>
      <c r="I75" s="421"/>
      <c r="J75" s="421"/>
      <c r="K75" s="421"/>
      <c r="L75" s="421"/>
      <c r="M75" s="421"/>
      <c r="N75" s="421"/>
      <c r="O75" s="434"/>
      <c r="P75" s="438"/>
      <c r="Q75" s="443"/>
      <c r="R75" s="443"/>
    </row>
    <row r="76" spans="1:19" s="387" customFormat="1" ht="12.75" outlineLevel="2">
      <c r="A76" s="418" t="s">
        <v>1052</v>
      </c>
      <c r="B76" s="433" t="s">
        <v>1101</v>
      </c>
      <c r="C76" s="434">
        <v>21.65</v>
      </c>
      <c r="D76" s="434"/>
      <c r="E76" s="421" t="e">
        <f>IF($O$2="元",成本明细!#REF!/10000,成本明细!#REF!)</f>
        <v>#REF!</v>
      </c>
      <c r="F76" s="421"/>
      <c r="G76" s="421"/>
      <c r="H76" s="421"/>
      <c r="I76" s="421"/>
      <c r="J76" s="421"/>
      <c r="K76" s="421"/>
      <c r="L76" s="421"/>
      <c r="M76" s="421"/>
      <c r="N76" s="421"/>
      <c r="O76" s="434"/>
      <c r="P76" s="438"/>
      <c r="Q76" s="443"/>
      <c r="R76" s="443"/>
    </row>
    <row r="77" spans="1:19" s="387" customFormat="1" ht="12.75" outlineLevel="2">
      <c r="A77" s="418" t="s">
        <v>1054</v>
      </c>
      <c r="B77" s="433" t="s">
        <v>1102</v>
      </c>
      <c r="C77" s="434">
        <v>98.65</v>
      </c>
      <c r="D77" s="434"/>
      <c r="E77" s="421" t="e">
        <f>IF($O$2="元",成本明细!#REF!/10000,成本明细!#REF!)</f>
        <v>#REF!</v>
      </c>
      <c r="F77" s="421"/>
      <c r="G77" s="421"/>
      <c r="H77" s="421"/>
      <c r="I77" s="421"/>
      <c r="J77" s="421"/>
      <c r="K77" s="421"/>
      <c r="L77" s="421"/>
      <c r="M77" s="421"/>
      <c r="N77" s="421"/>
      <c r="O77" s="434"/>
      <c r="P77" s="438"/>
      <c r="Q77" s="443"/>
      <c r="R77" s="443"/>
    </row>
    <row r="78" spans="1:19" s="387" customFormat="1" ht="12.75" outlineLevel="2">
      <c r="A78" s="418" t="s">
        <v>1056</v>
      </c>
      <c r="B78" s="435" t="s">
        <v>1103</v>
      </c>
      <c r="C78" s="434">
        <v>268.93</v>
      </c>
      <c r="D78" s="434"/>
      <c r="E78" s="421" t="e">
        <f>IF($O$2="元",成本明细!#REF!/10000,成本明细!#REF!)</f>
        <v>#REF!</v>
      </c>
      <c r="F78" s="421"/>
      <c r="G78" s="421"/>
      <c r="H78" s="421"/>
      <c r="I78" s="421"/>
      <c r="J78" s="421"/>
      <c r="K78" s="421"/>
      <c r="L78" s="421"/>
      <c r="M78" s="421"/>
      <c r="N78" s="421"/>
      <c r="O78" s="434"/>
      <c r="P78" s="438"/>
      <c r="Q78" s="443"/>
      <c r="R78" s="443"/>
    </row>
    <row r="79" spans="1:19" s="387" customFormat="1" ht="12.75" outlineLevel="2">
      <c r="A79" s="418" t="s">
        <v>1058</v>
      </c>
      <c r="B79" s="435" t="s">
        <v>1104</v>
      </c>
      <c r="C79" s="434">
        <v>79.819999999999993</v>
      </c>
      <c r="D79" s="434"/>
      <c r="E79" s="421" t="e">
        <f>IF($O$2="元",成本明细!#REF!/10000,成本明细!#REF!)</f>
        <v>#REF!</v>
      </c>
      <c r="F79" s="421"/>
      <c r="G79" s="421"/>
      <c r="H79" s="421"/>
      <c r="I79" s="421"/>
      <c r="J79" s="421"/>
      <c r="K79" s="421"/>
      <c r="L79" s="421"/>
      <c r="M79" s="421"/>
      <c r="N79" s="421"/>
      <c r="O79" s="434"/>
      <c r="P79" s="438"/>
      <c r="Q79" s="443"/>
      <c r="R79" s="443"/>
      <c r="S79" s="4"/>
    </row>
    <row r="80" spans="1:19" s="387" customFormat="1" ht="12.75" outlineLevel="2">
      <c r="A80" s="418" t="s">
        <v>1060</v>
      </c>
      <c r="B80" s="435" t="s">
        <v>1105</v>
      </c>
      <c r="C80" s="434">
        <v>200</v>
      </c>
      <c r="D80" s="434"/>
      <c r="E80" s="421" t="e">
        <f>IF($O$2="元",成本明细!#REF!/10000,成本明细!#REF!)</f>
        <v>#REF!</v>
      </c>
      <c r="F80" s="421"/>
      <c r="G80" s="421"/>
      <c r="H80" s="421"/>
      <c r="I80" s="421"/>
      <c r="J80" s="421"/>
      <c r="K80" s="421"/>
      <c r="L80" s="421"/>
      <c r="M80" s="421"/>
      <c r="N80" s="421"/>
      <c r="O80" s="434"/>
      <c r="P80" s="436"/>
      <c r="Q80" s="443"/>
      <c r="R80" s="443"/>
      <c r="S80" s="4"/>
    </row>
    <row r="81" spans="1:18" s="387" customFormat="1" ht="12.75" outlineLevel="2">
      <c r="A81" s="418" t="s">
        <v>1062</v>
      </c>
      <c r="B81" s="433" t="s">
        <v>1106</v>
      </c>
      <c r="C81" s="434">
        <v>586</v>
      </c>
      <c r="D81" s="434"/>
      <c r="E81" s="421" t="e">
        <f>IF($O$2="元",成本明细!#REF!/10000,成本明细!#REF!)</f>
        <v>#REF!</v>
      </c>
      <c r="F81" s="421"/>
      <c r="G81" s="421"/>
      <c r="H81" s="421"/>
      <c r="I81" s="421"/>
      <c r="J81" s="421"/>
      <c r="K81" s="421"/>
      <c r="L81" s="421"/>
      <c r="M81" s="421"/>
      <c r="N81" s="421"/>
      <c r="O81" s="434"/>
      <c r="P81" s="436"/>
      <c r="Q81" s="443"/>
      <c r="R81" s="443"/>
    </row>
    <row r="82" spans="1:18" s="387" customFormat="1" ht="12.75" outlineLevel="2">
      <c r="A82" s="418" t="s">
        <v>1064</v>
      </c>
      <c r="B82" s="433" t="s">
        <v>1107</v>
      </c>
      <c r="C82" s="434">
        <v>428</v>
      </c>
      <c r="D82" s="434"/>
      <c r="E82" s="421" t="e">
        <f>IF($O$2="元",成本明细!#REF!/10000,成本明细!#REF!)</f>
        <v>#REF!</v>
      </c>
      <c r="F82" s="421"/>
      <c r="G82" s="421"/>
      <c r="H82" s="421"/>
      <c r="I82" s="421"/>
      <c r="J82" s="421"/>
      <c r="K82" s="421"/>
      <c r="L82" s="421"/>
      <c r="M82" s="421"/>
      <c r="N82" s="421"/>
      <c r="O82" s="434"/>
      <c r="P82" s="437"/>
      <c r="Q82" s="443"/>
      <c r="R82" s="443"/>
    </row>
    <row r="83" spans="1:18" s="387" customFormat="1" ht="12.75" outlineLevel="2">
      <c r="A83" s="418" t="s">
        <v>1066</v>
      </c>
      <c r="B83" s="433" t="s">
        <v>1108</v>
      </c>
      <c r="C83" s="434">
        <v>200</v>
      </c>
      <c r="D83" s="434"/>
      <c r="E83" s="421" t="e">
        <f>IF($O$2="元",成本明细!#REF!/10000,成本明细!#REF!)</f>
        <v>#REF!</v>
      </c>
      <c r="F83" s="421"/>
      <c r="G83" s="421"/>
      <c r="H83" s="421"/>
      <c r="I83" s="421"/>
      <c r="J83" s="421"/>
      <c r="K83" s="421"/>
      <c r="L83" s="421"/>
      <c r="M83" s="421"/>
      <c r="N83" s="421"/>
      <c r="O83" s="434"/>
      <c r="P83" s="436"/>
      <c r="Q83" s="444"/>
      <c r="R83" s="444"/>
    </row>
    <row r="84" spans="1:18" s="387" customFormat="1" ht="12.75" outlineLevel="2">
      <c r="A84" s="418" t="s">
        <v>1068</v>
      </c>
      <c r="B84" s="435" t="s">
        <v>1109</v>
      </c>
      <c r="C84" s="434">
        <v>0</v>
      </c>
      <c r="D84" s="434"/>
      <c r="E84" s="421" t="e">
        <f>IF($O$2="元",成本明细!#REF!/10000,成本明细!#REF!)</f>
        <v>#REF!</v>
      </c>
      <c r="F84" s="421"/>
      <c r="G84" s="421"/>
      <c r="H84" s="421"/>
      <c r="I84" s="421"/>
      <c r="J84" s="421"/>
      <c r="K84" s="421"/>
      <c r="L84" s="421"/>
      <c r="M84" s="421"/>
      <c r="N84" s="421"/>
      <c r="O84" s="434"/>
      <c r="P84" s="436"/>
      <c r="Q84" s="443"/>
      <c r="R84" s="443"/>
    </row>
    <row r="85" spans="1:18" s="387" customFormat="1" ht="12.75" outlineLevel="2">
      <c r="A85" s="418" t="s">
        <v>1070</v>
      </c>
      <c r="B85" s="433" t="s">
        <v>1110</v>
      </c>
      <c r="C85" s="434">
        <v>771.05</v>
      </c>
      <c r="D85" s="434"/>
      <c r="E85" s="421" t="e">
        <f>IF($O$2="元",成本明细!#REF!/10000,成本明细!#REF!)</f>
        <v>#REF!</v>
      </c>
      <c r="F85" s="421"/>
      <c r="G85" s="421"/>
      <c r="H85" s="421"/>
      <c r="I85" s="421"/>
      <c r="J85" s="421"/>
      <c r="K85" s="421"/>
      <c r="L85" s="421"/>
      <c r="M85" s="421"/>
      <c r="N85" s="421"/>
      <c r="O85" s="434"/>
      <c r="P85" s="436"/>
      <c r="Q85" s="443"/>
      <c r="R85" s="443"/>
    </row>
    <row r="86" spans="1:18" s="387" customFormat="1" ht="12.75" outlineLevel="2">
      <c r="A86" s="418" t="s">
        <v>1072</v>
      </c>
      <c r="B86" s="433" t="s">
        <v>1111</v>
      </c>
      <c r="C86" s="434">
        <v>757.51</v>
      </c>
      <c r="D86" s="434"/>
      <c r="E86" s="421" t="e">
        <f>IF($O$2="元",成本明细!#REF!/10000,成本明细!#REF!)</f>
        <v>#REF!</v>
      </c>
      <c r="F86" s="421"/>
      <c r="G86" s="421"/>
      <c r="H86" s="421"/>
      <c r="I86" s="421"/>
      <c r="J86" s="421"/>
      <c r="K86" s="421"/>
      <c r="L86" s="421"/>
      <c r="M86" s="421"/>
      <c r="N86" s="421"/>
      <c r="O86" s="434"/>
      <c r="P86" s="436"/>
      <c r="Q86" s="443"/>
      <c r="R86" s="443"/>
    </row>
    <row r="87" spans="1:18" s="387" customFormat="1" ht="12.75" outlineLevel="2">
      <c r="A87" s="418" t="s">
        <v>1074</v>
      </c>
      <c r="B87" s="433" t="s">
        <v>1112</v>
      </c>
      <c r="C87" s="434">
        <v>200</v>
      </c>
      <c r="D87" s="434"/>
      <c r="E87" s="421" t="e">
        <f>IF($O$2="元",成本明细!#REF!/10000,成本明细!#REF!)</f>
        <v>#REF!</v>
      </c>
      <c r="F87" s="421"/>
      <c r="G87" s="421"/>
      <c r="H87" s="421"/>
      <c r="I87" s="421"/>
      <c r="J87" s="421"/>
      <c r="K87" s="421"/>
      <c r="L87" s="421"/>
      <c r="M87" s="421"/>
      <c r="N87" s="421"/>
      <c r="O87" s="434"/>
      <c r="P87" s="436"/>
      <c r="Q87" s="443"/>
      <c r="R87" s="443"/>
    </row>
    <row r="88" spans="1:18" s="387" customFormat="1" ht="12.75" outlineLevel="2">
      <c r="A88" s="418" t="s">
        <v>1076</v>
      </c>
      <c r="B88" s="433" t="s">
        <v>1113</v>
      </c>
      <c r="C88" s="434">
        <v>200</v>
      </c>
      <c r="D88" s="434"/>
      <c r="E88" s="421" t="e">
        <f>IF($O$2="元",成本明细!#REF!/10000,成本明细!#REF!)</f>
        <v>#REF!</v>
      </c>
      <c r="F88" s="421"/>
      <c r="G88" s="421"/>
      <c r="H88" s="421"/>
      <c r="I88" s="421"/>
      <c r="J88" s="421"/>
      <c r="K88" s="421"/>
      <c r="L88" s="421"/>
      <c r="M88" s="421"/>
      <c r="N88" s="421"/>
      <c r="O88" s="434"/>
      <c r="P88" s="436"/>
      <c r="Q88" s="443"/>
      <c r="R88" s="443"/>
    </row>
    <row r="89" spans="1:18" s="387" customFormat="1" ht="12.75" outlineLevel="2">
      <c r="A89" s="418" t="s">
        <v>1078</v>
      </c>
      <c r="B89" s="433" t="s">
        <v>1114</v>
      </c>
      <c r="C89" s="434">
        <v>800</v>
      </c>
      <c r="D89" s="434"/>
      <c r="E89" s="421" t="e">
        <f>IF($O$2="元",成本明细!#REF!/10000,成本明细!#REF!)</f>
        <v>#REF!</v>
      </c>
      <c r="F89" s="421"/>
      <c r="G89" s="421"/>
      <c r="H89" s="421"/>
      <c r="I89" s="421"/>
      <c r="J89" s="421"/>
      <c r="K89" s="421"/>
      <c r="L89" s="421"/>
      <c r="M89" s="421"/>
      <c r="N89" s="421"/>
      <c r="O89" s="434"/>
      <c r="P89" s="436"/>
      <c r="Q89" s="443"/>
      <c r="R89" s="443"/>
    </row>
    <row r="90" spans="1:18" s="387" customFormat="1" ht="12.75" outlineLevel="2">
      <c r="A90" s="418" t="s">
        <v>1080</v>
      </c>
      <c r="B90" s="433" t="s">
        <v>1115</v>
      </c>
      <c r="C90" s="434">
        <v>500</v>
      </c>
      <c r="D90" s="434"/>
      <c r="E90" s="421" t="e">
        <f>IF($O$2="元",成本明细!#REF!/10000,成本明细!#REF!)</f>
        <v>#REF!</v>
      </c>
      <c r="F90" s="421"/>
      <c r="G90" s="421"/>
      <c r="H90" s="421"/>
      <c r="I90" s="421"/>
      <c r="J90" s="421"/>
      <c r="K90" s="421"/>
      <c r="L90" s="421"/>
      <c r="M90" s="421"/>
      <c r="N90" s="421"/>
      <c r="O90" s="434"/>
      <c r="P90" s="436"/>
      <c r="Q90" s="444"/>
      <c r="R90" s="444"/>
    </row>
    <row r="91" spans="1:18" s="387" customFormat="1" ht="12.75" outlineLevel="2">
      <c r="A91" s="418" t="s">
        <v>1116</v>
      </c>
      <c r="B91" s="435" t="s">
        <v>1117</v>
      </c>
      <c r="C91" s="434">
        <v>2500</v>
      </c>
      <c r="D91" s="434"/>
      <c r="E91" s="421" t="e">
        <f>IF($O$2="元",成本明细!#REF!/10000,成本明细!#REF!)</f>
        <v>#REF!</v>
      </c>
      <c r="F91" s="421"/>
      <c r="G91" s="421"/>
      <c r="H91" s="421"/>
      <c r="I91" s="421"/>
      <c r="J91" s="421"/>
      <c r="K91" s="421"/>
      <c r="L91" s="421"/>
      <c r="M91" s="421"/>
      <c r="N91" s="421"/>
      <c r="O91" s="434"/>
      <c r="P91" s="436"/>
      <c r="Q91" s="444"/>
      <c r="R91" s="444"/>
    </row>
    <row r="92" spans="1:18" s="387" customFormat="1" ht="12.75" outlineLevel="2">
      <c r="A92" s="418" t="s">
        <v>1118</v>
      </c>
      <c r="B92" s="433" t="s">
        <v>1119</v>
      </c>
      <c r="C92" s="434">
        <v>900</v>
      </c>
      <c r="D92" s="434"/>
      <c r="E92" s="421" t="e">
        <f>IF($O$2="元",成本明细!#REF!/10000,成本明细!#REF!)</f>
        <v>#REF!</v>
      </c>
      <c r="F92" s="421"/>
      <c r="G92" s="421"/>
      <c r="H92" s="421"/>
      <c r="I92" s="421"/>
      <c r="J92" s="421"/>
      <c r="K92" s="421"/>
      <c r="L92" s="421"/>
      <c r="M92" s="421"/>
      <c r="N92" s="421"/>
      <c r="O92" s="434"/>
      <c r="P92" s="436"/>
      <c r="Q92" s="443"/>
      <c r="R92" s="443"/>
    </row>
    <row r="93" spans="1:18" s="387" customFormat="1" ht="12.75" outlineLevel="2">
      <c r="A93" s="418" t="s">
        <v>1120</v>
      </c>
      <c r="B93" s="433" t="s">
        <v>1121</v>
      </c>
      <c r="C93" s="434">
        <v>0</v>
      </c>
      <c r="D93" s="434"/>
      <c r="E93" s="421" t="e">
        <f>IF($O$2="元",成本明细!#REF!/10000,成本明细!#REF!)</f>
        <v>#REF!</v>
      </c>
      <c r="F93" s="421"/>
      <c r="G93" s="421"/>
      <c r="H93" s="421"/>
      <c r="I93" s="421"/>
      <c r="J93" s="421"/>
      <c r="K93" s="421"/>
      <c r="L93" s="421"/>
      <c r="M93" s="421"/>
      <c r="N93" s="421"/>
      <c r="O93" s="434"/>
      <c r="P93" s="436"/>
      <c r="Q93" s="443"/>
      <c r="R93" s="443"/>
    </row>
    <row r="94" spans="1:18" s="387" customFormat="1" ht="12.75" outlineLevel="2">
      <c r="A94" s="418" t="s">
        <v>1122</v>
      </c>
      <c r="B94" s="433" t="s">
        <v>1123</v>
      </c>
      <c r="C94" s="434">
        <v>438</v>
      </c>
      <c r="D94" s="434"/>
      <c r="E94" s="421" t="e">
        <f>IF($O$2="元",成本明细!#REF!/10000,成本明细!#REF!)</f>
        <v>#REF!</v>
      </c>
      <c r="F94" s="421"/>
      <c r="G94" s="421"/>
      <c r="H94" s="421"/>
      <c r="I94" s="421"/>
      <c r="J94" s="421"/>
      <c r="K94" s="421"/>
      <c r="L94" s="421"/>
      <c r="M94" s="421"/>
      <c r="N94" s="421"/>
      <c r="O94" s="434"/>
      <c r="P94" s="436"/>
      <c r="Q94" s="443"/>
      <c r="R94" s="443"/>
    </row>
    <row r="95" spans="1:18" s="387" customFormat="1" ht="12.75" outlineLevel="2">
      <c r="A95" s="418" t="s">
        <v>1124</v>
      </c>
      <c r="B95" s="433" t="s">
        <v>1125</v>
      </c>
      <c r="C95" s="434">
        <v>0</v>
      </c>
      <c r="D95" s="434"/>
      <c r="E95" s="421" t="e">
        <f>IF($O$2="元",成本明细!#REF!/10000,成本明细!#REF!)</f>
        <v>#REF!</v>
      </c>
      <c r="F95" s="421"/>
      <c r="G95" s="421"/>
      <c r="H95" s="421"/>
      <c r="I95" s="421"/>
      <c r="J95" s="421"/>
      <c r="K95" s="421"/>
      <c r="L95" s="421"/>
      <c r="M95" s="421"/>
      <c r="N95" s="421"/>
      <c r="O95" s="434"/>
      <c r="P95" s="436"/>
      <c r="Q95" s="443"/>
      <c r="R95" s="443"/>
    </row>
    <row r="96" spans="1:18" s="387" customFormat="1" ht="12.75" outlineLevel="2">
      <c r="A96" s="418" t="s">
        <v>1126</v>
      </c>
      <c r="B96" s="433" t="s">
        <v>1127</v>
      </c>
      <c r="C96" s="434">
        <v>553.66</v>
      </c>
      <c r="D96" s="434"/>
      <c r="E96" s="421" t="e">
        <f>IF($O$2="元",成本明细!#REF!/10000,成本明细!#REF!)</f>
        <v>#REF!</v>
      </c>
      <c r="F96" s="421"/>
      <c r="G96" s="421"/>
      <c r="H96" s="421"/>
      <c r="I96" s="421"/>
      <c r="J96" s="421"/>
      <c r="K96" s="421"/>
      <c r="L96" s="421"/>
      <c r="M96" s="421"/>
      <c r="N96" s="421"/>
      <c r="O96" s="434"/>
      <c r="P96" s="436"/>
      <c r="Q96" s="443"/>
      <c r="R96" s="443"/>
    </row>
    <row r="97" spans="1:15" s="234" customFormat="1" ht="15.95" customHeight="1" outlineLevel="1">
      <c r="A97" s="413">
        <v>3</v>
      </c>
      <c r="B97" s="414" t="s">
        <v>1128</v>
      </c>
      <c r="C97" s="415">
        <v>135.30000000000001</v>
      </c>
      <c r="D97" s="415"/>
      <c r="E97" s="416">
        <f>IF($O$2="元",成本明细!F322/10000,成本明细!F322)</f>
        <v>31570059</v>
      </c>
      <c r="F97" s="417"/>
      <c r="G97" s="417"/>
      <c r="H97" s="417"/>
      <c r="I97" s="417"/>
      <c r="J97" s="417"/>
      <c r="K97" s="417"/>
      <c r="L97" s="417"/>
      <c r="M97" s="417"/>
      <c r="N97" s="417"/>
      <c r="O97" s="429"/>
    </row>
    <row r="98" spans="1:15" s="234" customFormat="1" ht="15.95" customHeight="1" outlineLevel="2">
      <c r="A98" s="418" t="s">
        <v>1019</v>
      </c>
      <c r="B98" s="84" t="s">
        <v>1129</v>
      </c>
      <c r="C98" s="420">
        <v>27.06</v>
      </c>
      <c r="D98" s="420"/>
      <c r="E98" s="421">
        <f>IF($O$2="元",成本明细!F323/10000,成本明细!F323)</f>
        <v>19388094</v>
      </c>
      <c r="F98" s="422"/>
      <c r="G98" s="422"/>
      <c r="H98" s="422"/>
      <c r="I98" s="422"/>
      <c r="J98" s="422"/>
      <c r="K98" s="422"/>
      <c r="L98" s="422"/>
      <c r="M98" s="422"/>
      <c r="N98" s="422"/>
      <c r="O98" s="431"/>
    </row>
    <row r="99" spans="1:15" s="234" customFormat="1" ht="15.95" customHeight="1" outlineLevel="2">
      <c r="A99" s="418" t="s">
        <v>1021</v>
      </c>
      <c r="B99" s="423" t="s">
        <v>1130</v>
      </c>
      <c r="C99" s="420">
        <v>108.24</v>
      </c>
      <c r="D99" s="420"/>
      <c r="E99" s="421">
        <f>IF($O$2="元",成本明细!F328/10000,成本明细!F328)</f>
        <v>9081965</v>
      </c>
      <c r="F99" s="422"/>
      <c r="G99" s="422"/>
      <c r="H99" s="422"/>
      <c r="I99" s="422"/>
      <c r="J99" s="422"/>
      <c r="K99" s="422"/>
      <c r="L99" s="422"/>
      <c r="M99" s="422"/>
      <c r="N99" s="422"/>
      <c r="O99" s="431"/>
    </row>
    <row r="100" spans="1:15" ht="15.95" customHeight="1" outlineLevel="1" collapsed="1">
      <c r="A100" s="413">
        <v>4</v>
      </c>
      <c r="B100" s="414" t="s">
        <v>1131</v>
      </c>
      <c r="C100" s="415">
        <v>18.09</v>
      </c>
      <c r="D100" s="415"/>
      <c r="E100" s="416">
        <f>IF($O$2="元",成本明细!F337/10000,成本明细!F337)</f>
        <v>2571257</v>
      </c>
      <c r="F100" s="417"/>
      <c r="G100" s="417"/>
      <c r="H100" s="417"/>
      <c r="I100" s="417"/>
      <c r="J100" s="417"/>
      <c r="K100" s="417"/>
      <c r="L100" s="417"/>
      <c r="M100" s="417"/>
      <c r="N100" s="417"/>
      <c r="O100" s="429"/>
    </row>
    <row r="101" spans="1:15" ht="19.5" customHeight="1">
      <c r="A101" s="408" t="s">
        <v>1132</v>
      </c>
      <c r="B101" s="409" t="s">
        <v>1133</v>
      </c>
      <c r="C101" s="410">
        <v>474.68</v>
      </c>
      <c r="D101" s="410"/>
      <c r="E101" s="411" t="e">
        <f>E102+E110+E114+E115+E122+E127+E130+E134</f>
        <v>#REF!</v>
      </c>
      <c r="F101" s="412"/>
      <c r="G101" s="412"/>
      <c r="H101" s="412"/>
      <c r="I101" s="412"/>
      <c r="J101" s="412"/>
      <c r="K101" s="412"/>
      <c r="L101" s="412"/>
      <c r="M101" s="412"/>
      <c r="N101" s="412"/>
      <c r="O101" s="439"/>
    </row>
    <row r="102" spans="1:15" ht="18.75" customHeight="1" outlineLevel="1">
      <c r="A102" s="413">
        <v>1</v>
      </c>
      <c r="B102" s="414" t="s">
        <v>1134</v>
      </c>
      <c r="C102" s="415">
        <v>198.27</v>
      </c>
      <c r="D102" s="415"/>
      <c r="E102" s="416">
        <f>IF($O$2="元",成本明细!F350/10000,成本明细!F350)</f>
        <v>7006790</v>
      </c>
      <c r="F102" s="417"/>
      <c r="G102" s="417"/>
      <c r="H102" s="417"/>
      <c r="I102" s="417"/>
      <c r="J102" s="417"/>
      <c r="K102" s="417"/>
      <c r="L102" s="417"/>
      <c r="M102" s="417"/>
      <c r="N102" s="417"/>
      <c r="O102" s="440"/>
    </row>
    <row r="103" spans="1:15" ht="17.25" customHeight="1" outlineLevel="2">
      <c r="A103" s="418" t="s">
        <v>1019</v>
      </c>
      <c r="B103" s="423" t="s">
        <v>1135</v>
      </c>
      <c r="C103" s="420">
        <v>102.02</v>
      </c>
      <c r="D103" s="420"/>
      <c r="E103" s="421">
        <f>IF($O$2="元",成本明细!F351/10000,成本明细!F351)</f>
        <v>6660990</v>
      </c>
      <c r="F103" s="422"/>
      <c r="G103" s="422"/>
      <c r="H103" s="422"/>
      <c r="I103" s="422"/>
      <c r="J103" s="422"/>
      <c r="K103" s="422"/>
      <c r="L103" s="422"/>
      <c r="M103" s="422"/>
      <c r="N103" s="422"/>
      <c r="O103" s="431"/>
    </row>
    <row r="104" spans="1:15" ht="15.95" customHeight="1" outlineLevel="2">
      <c r="A104" s="418" t="s">
        <v>1021</v>
      </c>
      <c r="B104" s="423" t="s">
        <v>1136</v>
      </c>
      <c r="C104" s="420">
        <v>6.94</v>
      </c>
      <c r="D104" s="420"/>
      <c r="E104" s="421">
        <f>IF($O$2="元",成本明细!F354/10000,成本明细!F354)</f>
        <v>0</v>
      </c>
      <c r="F104" s="422"/>
      <c r="G104" s="422"/>
      <c r="H104" s="422"/>
      <c r="I104" s="422"/>
      <c r="J104" s="422"/>
      <c r="K104" s="422"/>
      <c r="L104" s="422"/>
      <c r="M104" s="422"/>
      <c r="N104" s="422"/>
      <c r="O104" s="431"/>
    </row>
    <row r="105" spans="1:15" ht="15.95" customHeight="1" outlineLevel="2">
      <c r="A105" s="418" t="s">
        <v>1026</v>
      </c>
      <c r="B105" s="423" t="s">
        <v>1137</v>
      </c>
      <c r="C105" s="420">
        <v>0</v>
      </c>
      <c r="D105" s="420"/>
      <c r="E105" s="421">
        <f>IF($O$2="元",成本明细!F357/10000,成本明细!F357)</f>
        <v>0</v>
      </c>
      <c r="F105" s="422"/>
      <c r="G105" s="422"/>
      <c r="H105" s="422"/>
      <c r="I105" s="422"/>
      <c r="J105" s="422"/>
      <c r="K105" s="422"/>
      <c r="L105" s="422"/>
      <c r="M105" s="422"/>
      <c r="N105" s="422"/>
      <c r="O105" s="431"/>
    </row>
    <row r="106" spans="1:15" ht="15.95" customHeight="1" outlineLevel="2">
      <c r="A106" s="418" t="s">
        <v>1028</v>
      </c>
      <c r="B106" s="423" t="s">
        <v>1138</v>
      </c>
      <c r="C106" s="420">
        <v>10.93</v>
      </c>
      <c r="D106" s="420"/>
      <c r="E106" s="421">
        <f>IF($O$2="元",成本明细!F360/10000,成本明细!F360)</f>
        <v>0</v>
      </c>
      <c r="F106" s="422"/>
      <c r="G106" s="422"/>
      <c r="H106" s="422"/>
      <c r="I106" s="422"/>
      <c r="J106" s="422"/>
      <c r="K106" s="422"/>
      <c r="L106" s="422"/>
      <c r="M106" s="422"/>
      <c r="N106" s="422"/>
      <c r="O106" s="431"/>
    </row>
    <row r="107" spans="1:15" ht="15.95" customHeight="1" outlineLevel="2">
      <c r="A107" s="418" t="s">
        <v>1030</v>
      </c>
      <c r="B107" s="423" t="s">
        <v>1139</v>
      </c>
      <c r="C107" s="420">
        <v>23.36</v>
      </c>
      <c r="D107" s="420"/>
      <c r="E107" s="421">
        <f>IF($O$2="元",成本明细!F363/10000,成本明细!F363)</f>
        <v>0</v>
      </c>
      <c r="F107" s="422"/>
      <c r="G107" s="422"/>
      <c r="H107" s="422"/>
      <c r="I107" s="422"/>
      <c r="J107" s="422"/>
      <c r="K107" s="422"/>
      <c r="L107" s="422"/>
      <c r="M107" s="422"/>
      <c r="N107" s="422"/>
      <c r="O107" s="431"/>
    </row>
    <row r="108" spans="1:15" ht="15.95" customHeight="1" outlineLevel="2">
      <c r="A108" s="418" t="s">
        <v>1032</v>
      </c>
      <c r="B108" s="423" t="s">
        <v>1140</v>
      </c>
      <c r="C108" s="420">
        <v>31.57</v>
      </c>
      <c r="D108" s="420"/>
      <c r="E108" s="421">
        <f>IF($O$2="元",成本明细!F366/10000,成本明细!F366)</f>
        <v>345800</v>
      </c>
      <c r="F108" s="422"/>
      <c r="G108" s="422"/>
      <c r="H108" s="422"/>
      <c r="I108" s="422"/>
      <c r="J108" s="422"/>
      <c r="K108" s="422"/>
      <c r="L108" s="422"/>
      <c r="M108" s="422"/>
      <c r="N108" s="422"/>
      <c r="O108" s="431"/>
    </row>
    <row r="109" spans="1:15" ht="15.95" customHeight="1" outlineLevel="2">
      <c r="A109" s="418" t="s">
        <v>1048</v>
      </c>
      <c r="B109" s="423" t="s">
        <v>1141</v>
      </c>
      <c r="C109" s="420">
        <v>23.45</v>
      </c>
      <c r="D109" s="420"/>
      <c r="E109" s="421">
        <f>IF($O$2="元",成本明细!F370/10000,成本明细!F370)</f>
        <v>0</v>
      </c>
      <c r="F109" s="422"/>
      <c r="G109" s="422"/>
      <c r="H109" s="422"/>
      <c r="I109" s="422"/>
      <c r="J109" s="422"/>
      <c r="K109" s="422"/>
      <c r="L109" s="422"/>
      <c r="M109" s="422"/>
      <c r="N109" s="422"/>
      <c r="O109" s="431"/>
    </row>
    <row r="110" spans="1:15" ht="15.95" customHeight="1" outlineLevel="1">
      <c r="A110" s="413">
        <v>2</v>
      </c>
      <c r="B110" s="414" t="s">
        <v>1142</v>
      </c>
      <c r="C110" s="415">
        <v>37</v>
      </c>
      <c r="D110" s="415"/>
      <c r="E110" s="416">
        <f>IF($O$2="元",成本明细!F373/10000,成本明细!F373)</f>
        <v>10607953.460000001</v>
      </c>
      <c r="F110" s="417"/>
      <c r="G110" s="417"/>
      <c r="H110" s="417"/>
      <c r="I110" s="417"/>
      <c r="J110" s="417"/>
      <c r="K110" s="417"/>
      <c r="L110" s="417"/>
      <c r="M110" s="417"/>
      <c r="N110" s="417"/>
      <c r="O110" s="429"/>
    </row>
    <row r="111" spans="1:15" ht="15.95" customHeight="1" outlineLevel="2">
      <c r="A111" s="418" t="s">
        <v>1019</v>
      </c>
      <c r="B111" s="423" t="s">
        <v>1143</v>
      </c>
      <c r="C111" s="420">
        <v>22.4</v>
      </c>
      <c r="D111" s="420"/>
      <c r="E111" s="421">
        <f>IF($O$2="元",成本明细!F374/10000,成本明细!F374)</f>
        <v>1888940.46</v>
      </c>
      <c r="F111" s="422"/>
      <c r="G111" s="422"/>
      <c r="H111" s="422"/>
      <c r="I111" s="422"/>
      <c r="J111" s="422"/>
      <c r="K111" s="422"/>
      <c r="L111" s="422"/>
      <c r="M111" s="422"/>
      <c r="N111" s="422"/>
      <c r="O111" s="431"/>
    </row>
    <row r="112" spans="1:15" ht="15.95" customHeight="1" outlineLevel="2">
      <c r="A112" s="418" t="s">
        <v>1021</v>
      </c>
      <c r="B112" s="423" t="s">
        <v>1144</v>
      </c>
      <c r="C112" s="420">
        <v>4.2699999999999996</v>
      </c>
      <c r="D112" s="420"/>
      <c r="E112" s="421">
        <f>IF($O$2="元",成本明细!F380/10000,成本明细!F380)</f>
        <v>0</v>
      </c>
      <c r="F112" s="422"/>
      <c r="G112" s="422"/>
      <c r="H112" s="422"/>
      <c r="I112" s="422"/>
      <c r="J112" s="422"/>
      <c r="K112" s="422"/>
      <c r="L112" s="422"/>
      <c r="M112" s="422"/>
      <c r="N112" s="422"/>
      <c r="O112" s="431"/>
    </row>
    <row r="113" spans="1:16" ht="15.95" customHeight="1" outlineLevel="2">
      <c r="A113" s="418" t="s">
        <v>1026</v>
      </c>
      <c r="B113" s="423" t="s">
        <v>1145</v>
      </c>
      <c r="C113" s="420">
        <v>10.33</v>
      </c>
      <c r="D113" s="420"/>
      <c r="E113" s="421">
        <f>IF($O$2="元",成本明细!F399/10000,成本明细!F399)</f>
        <v>1178000</v>
      </c>
      <c r="F113" s="422"/>
      <c r="G113" s="422"/>
      <c r="H113" s="422"/>
      <c r="I113" s="422"/>
      <c r="J113" s="422"/>
      <c r="K113" s="422"/>
      <c r="L113" s="422"/>
      <c r="M113" s="422"/>
      <c r="N113" s="422"/>
      <c r="O113" s="431"/>
    </row>
    <row r="114" spans="1:16" ht="15.95" customHeight="1" outlineLevel="1">
      <c r="A114" s="413">
        <v>3</v>
      </c>
      <c r="B114" s="414" t="s">
        <v>1146</v>
      </c>
      <c r="C114" s="415">
        <v>25.45</v>
      </c>
      <c r="D114" s="415"/>
      <c r="E114" s="416" t="e">
        <f>IF($O$2="元",成本明细!#REF!/10000,成本明细!#REF!)</f>
        <v>#REF!</v>
      </c>
      <c r="F114" s="417"/>
      <c r="G114" s="417"/>
      <c r="H114" s="417"/>
      <c r="I114" s="417"/>
      <c r="J114" s="417"/>
      <c r="K114" s="417"/>
      <c r="L114" s="417"/>
      <c r="M114" s="417"/>
      <c r="N114" s="417"/>
      <c r="O114" s="429"/>
      <c r="P114" s="441"/>
    </row>
    <row r="115" spans="1:16" ht="15.95" customHeight="1" outlineLevel="1">
      <c r="A115" s="413">
        <v>4</v>
      </c>
      <c r="B115" s="414" t="s">
        <v>1147</v>
      </c>
      <c r="C115" s="415">
        <v>58.56</v>
      </c>
      <c r="D115" s="415"/>
      <c r="E115" s="416">
        <f>IF($O$2="元",成本明细!F435/10000,成本明细!F435)</f>
        <v>4483527.8</v>
      </c>
      <c r="F115" s="417"/>
      <c r="G115" s="417"/>
      <c r="H115" s="417"/>
      <c r="I115" s="417"/>
      <c r="J115" s="417"/>
      <c r="K115" s="417"/>
      <c r="L115" s="417"/>
      <c r="M115" s="417"/>
      <c r="N115" s="417"/>
      <c r="O115" s="429"/>
    </row>
    <row r="116" spans="1:16" ht="15.95" customHeight="1" outlineLevel="2">
      <c r="A116" s="418" t="s">
        <v>1019</v>
      </c>
      <c r="B116" s="423" t="s">
        <v>1148</v>
      </c>
      <c r="C116" s="420">
        <v>33.57</v>
      </c>
      <c r="D116" s="420"/>
      <c r="E116" s="421">
        <f>IF($O$2="元",成本明细!F436/10000,成本明细!F436)</f>
        <v>1870635.7999999998</v>
      </c>
      <c r="F116" s="422"/>
      <c r="G116" s="422"/>
      <c r="H116" s="422"/>
      <c r="I116" s="422"/>
      <c r="J116" s="422"/>
      <c r="K116" s="422"/>
      <c r="L116" s="422"/>
      <c r="M116" s="422"/>
      <c r="N116" s="422"/>
      <c r="O116" s="431"/>
    </row>
    <row r="117" spans="1:16" ht="15.95" customHeight="1" outlineLevel="2">
      <c r="A117" s="418" t="s">
        <v>1021</v>
      </c>
      <c r="B117" s="423" t="s">
        <v>1149</v>
      </c>
      <c r="C117" s="420">
        <v>2.17</v>
      </c>
      <c r="D117" s="420"/>
      <c r="E117" s="421">
        <f>IF($O$2="元",成本明细!F440/10000,成本明细!F440)</f>
        <v>2430392</v>
      </c>
      <c r="F117" s="422"/>
      <c r="G117" s="422"/>
      <c r="H117" s="422"/>
      <c r="I117" s="422"/>
      <c r="J117" s="422"/>
      <c r="K117" s="422"/>
      <c r="L117" s="422"/>
      <c r="M117" s="422"/>
      <c r="N117" s="422"/>
      <c r="O117" s="431"/>
    </row>
    <row r="118" spans="1:16" ht="15.95" customHeight="1" outlineLevel="2">
      <c r="A118" s="418" t="s">
        <v>1026</v>
      </c>
      <c r="B118" s="423" t="s">
        <v>1150</v>
      </c>
      <c r="C118" s="420">
        <v>3.18</v>
      </c>
      <c r="D118" s="420"/>
      <c r="E118" s="421">
        <f>IF($O$2="元",成本明细!F443/10000,成本明细!F443)</f>
        <v>0</v>
      </c>
      <c r="F118" s="422"/>
      <c r="G118" s="422"/>
      <c r="H118" s="422"/>
      <c r="I118" s="422"/>
      <c r="J118" s="422"/>
      <c r="K118" s="422"/>
      <c r="L118" s="422"/>
      <c r="M118" s="422"/>
      <c r="N118" s="422"/>
      <c r="O118" s="431"/>
    </row>
    <row r="119" spans="1:16" ht="15.95" customHeight="1" outlineLevel="2">
      <c r="A119" s="418" t="s">
        <v>1028</v>
      </c>
      <c r="B119" s="423" t="s">
        <v>1151</v>
      </c>
      <c r="C119" s="420">
        <v>18.38</v>
      </c>
      <c r="D119" s="420"/>
      <c r="E119" s="421">
        <f>IF($O$2="元",成本明细!F446/10000,成本明细!F446)</f>
        <v>182500</v>
      </c>
      <c r="F119" s="422"/>
      <c r="G119" s="422"/>
      <c r="H119" s="422"/>
      <c r="I119" s="422"/>
      <c r="J119" s="422"/>
      <c r="K119" s="422"/>
      <c r="L119" s="422"/>
      <c r="M119" s="422"/>
      <c r="N119" s="422"/>
      <c r="O119" s="431"/>
    </row>
    <row r="120" spans="1:16" ht="15.95" customHeight="1" outlineLevel="2">
      <c r="A120" s="418" t="s">
        <v>1030</v>
      </c>
      <c r="B120" s="423" t="s">
        <v>1152</v>
      </c>
      <c r="C120" s="420">
        <v>0.9</v>
      </c>
      <c r="D120" s="420"/>
      <c r="E120" s="421">
        <f>IF($O$2="元",成本明细!F449/10000,成本明细!F449)</f>
        <v>0</v>
      </c>
      <c r="F120" s="422"/>
      <c r="G120" s="422"/>
      <c r="H120" s="422"/>
      <c r="I120" s="422"/>
      <c r="J120" s="422"/>
      <c r="K120" s="422"/>
      <c r="L120" s="422"/>
      <c r="M120" s="422"/>
      <c r="N120" s="422"/>
      <c r="O120" s="431"/>
    </row>
    <row r="121" spans="1:16" ht="19.5" customHeight="1" outlineLevel="2">
      <c r="A121" s="418" t="s">
        <v>1032</v>
      </c>
      <c r="B121" s="423" t="s">
        <v>1153</v>
      </c>
      <c r="C121" s="420">
        <v>0.37</v>
      </c>
      <c r="D121" s="420"/>
      <c r="E121" s="421">
        <f>IF($O$2="元",成本明细!F452/10000,成本明细!F452)</f>
        <v>0</v>
      </c>
      <c r="F121" s="422"/>
      <c r="G121" s="422"/>
      <c r="H121" s="422"/>
      <c r="I121" s="422"/>
      <c r="J121" s="422"/>
      <c r="K121" s="422"/>
      <c r="L121" s="422"/>
      <c r="M121" s="422"/>
      <c r="N121" s="422"/>
      <c r="O121" s="431"/>
    </row>
    <row r="122" spans="1:16" ht="15.95" customHeight="1" outlineLevel="1">
      <c r="A122" s="413">
        <v>5</v>
      </c>
      <c r="B122" s="414" t="s">
        <v>1154</v>
      </c>
      <c r="C122" s="415">
        <v>119.08</v>
      </c>
      <c r="D122" s="415"/>
      <c r="E122" s="416">
        <f>IF($O$2="元",成本明细!F425/10000,成本明细!F425)</f>
        <v>17275215.969999999</v>
      </c>
      <c r="F122" s="417"/>
      <c r="G122" s="417"/>
      <c r="H122" s="417"/>
      <c r="I122" s="417"/>
      <c r="J122" s="417"/>
      <c r="K122" s="417"/>
      <c r="L122" s="417"/>
      <c r="M122" s="417"/>
      <c r="N122" s="417"/>
      <c r="O122" s="429"/>
    </row>
    <row r="123" spans="1:16" ht="15.95" customHeight="1" outlineLevel="2">
      <c r="A123" s="418" t="s">
        <v>1019</v>
      </c>
      <c r="B123" s="423" t="s">
        <v>1155</v>
      </c>
      <c r="C123" s="420">
        <v>87.97</v>
      </c>
      <c r="D123" s="420"/>
      <c r="E123" s="421">
        <f>IF($O$2="元",成本明细!F426/10000,成本明细!F426)</f>
        <v>13252746.24</v>
      </c>
      <c r="F123" s="422"/>
      <c r="G123" s="422"/>
      <c r="H123" s="422"/>
      <c r="I123" s="422"/>
      <c r="J123" s="422"/>
      <c r="K123" s="422"/>
      <c r="L123" s="422"/>
      <c r="M123" s="422"/>
      <c r="N123" s="422"/>
      <c r="O123" s="431"/>
    </row>
    <row r="124" spans="1:16" ht="15.95" customHeight="1" outlineLevel="2">
      <c r="A124" s="418" t="s">
        <v>1021</v>
      </c>
      <c r="B124" s="423" t="s">
        <v>1156</v>
      </c>
      <c r="C124" s="420">
        <v>22.04</v>
      </c>
      <c r="D124" s="420"/>
      <c r="E124" s="421">
        <f>IF($O$2="元",成本明细!F429/10000,成本明细!F429)</f>
        <v>2873069.73</v>
      </c>
      <c r="F124" s="422"/>
      <c r="G124" s="422"/>
      <c r="H124" s="422"/>
      <c r="I124" s="422"/>
      <c r="J124" s="422"/>
      <c r="K124" s="422"/>
      <c r="L124" s="422"/>
      <c r="M124" s="422"/>
      <c r="N124" s="422"/>
      <c r="O124" s="431"/>
    </row>
    <row r="125" spans="1:16" ht="19.5" customHeight="1" outlineLevel="2">
      <c r="A125" s="418" t="s">
        <v>1026</v>
      </c>
      <c r="B125" s="423" t="s">
        <v>1157</v>
      </c>
      <c r="C125" s="420">
        <v>9.08</v>
      </c>
      <c r="D125" s="420"/>
      <c r="E125" s="421">
        <f>IF($O$2="元",成本明细!F432/10000,成本明细!F432)</f>
        <v>1149400</v>
      </c>
      <c r="F125" s="422"/>
      <c r="G125" s="422"/>
      <c r="H125" s="422"/>
      <c r="I125" s="422"/>
      <c r="J125" s="422"/>
      <c r="K125" s="422"/>
      <c r="L125" s="422"/>
      <c r="M125" s="422"/>
      <c r="N125" s="422"/>
      <c r="O125" s="431"/>
    </row>
    <row r="126" spans="1:16" ht="15.95" customHeight="1" outlineLevel="2">
      <c r="A126" s="418" t="s">
        <v>1028</v>
      </c>
      <c r="B126" s="423" t="s">
        <v>1158</v>
      </c>
      <c r="C126" s="420">
        <v>0</v>
      </c>
      <c r="D126" s="420"/>
      <c r="E126" s="421" t="e">
        <f>IF($O$2="元",成本明细!#REF!/10000,成本明细!#REF!)</f>
        <v>#REF!</v>
      </c>
      <c r="F126" s="422"/>
      <c r="G126" s="422"/>
      <c r="H126" s="422"/>
      <c r="I126" s="422"/>
      <c r="J126" s="422"/>
      <c r="K126" s="422"/>
      <c r="L126" s="422"/>
      <c r="M126" s="422"/>
      <c r="N126" s="422"/>
      <c r="O126" s="431"/>
    </row>
    <row r="127" spans="1:16" ht="15.95" customHeight="1" outlineLevel="1">
      <c r="A127" s="413">
        <v>6</v>
      </c>
      <c r="B127" s="414" t="s">
        <v>1159</v>
      </c>
      <c r="C127" s="415">
        <v>29.57</v>
      </c>
      <c r="D127" s="415"/>
      <c r="E127" s="416">
        <f>IF($O$2="元",成本明细!F416/10000,成本明细!F416)</f>
        <v>3358830</v>
      </c>
      <c r="F127" s="417"/>
      <c r="G127" s="417"/>
      <c r="H127" s="417"/>
      <c r="I127" s="417"/>
      <c r="J127" s="417"/>
      <c r="K127" s="417"/>
      <c r="L127" s="417"/>
      <c r="M127" s="417"/>
      <c r="N127" s="417"/>
      <c r="O127" s="442"/>
    </row>
    <row r="128" spans="1:16" s="234" customFormat="1" ht="15.95" customHeight="1" outlineLevel="1">
      <c r="A128" s="418" t="s">
        <v>1019</v>
      </c>
      <c r="B128" s="423" t="s">
        <v>1160</v>
      </c>
      <c r="C128" s="420">
        <v>16.04</v>
      </c>
      <c r="D128" s="420"/>
      <c r="E128" s="421">
        <f>IF($O$2="元",成本明细!F417/10000,成本明细!F417)</f>
        <v>3358830</v>
      </c>
      <c r="F128" s="422"/>
      <c r="G128" s="422"/>
      <c r="H128" s="422"/>
      <c r="I128" s="422"/>
      <c r="J128" s="422"/>
      <c r="K128" s="422"/>
      <c r="L128" s="422"/>
      <c r="M128" s="422"/>
      <c r="N128" s="422"/>
      <c r="O128" s="432"/>
    </row>
    <row r="129" spans="1:15" s="234" customFormat="1" ht="15.95" customHeight="1" outlineLevel="1">
      <c r="A129" s="418" t="s">
        <v>1021</v>
      </c>
      <c r="B129" s="423" t="s">
        <v>1161</v>
      </c>
      <c r="C129" s="420">
        <v>13.53</v>
      </c>
      <c r="D129" s="420"/>
      <c r="E129" s="421">
        <f>IF($O$2="元",成本明细!F422/10000,成本明细!F422)</f>
        <v>0</v>
      </c>
      <c r="F129" s="422"/>
      <c r="G129" s="422"/>
      <c r="H129" s="422"/>
      <c r="I129" s="422"/>
      <c r="J129" s="422"/>
      <c r="K129" s="422"/>
      <c r="L129" s="422"/>
      <c r="M129" s="422"/>
      <c r="N129" s="422"/>
      <c r="O129" s="432"/>
    </row>
    <row r="130" spans="1:15" ht="15.75" customHeight="1" outlineLevel="1">
      <c r="A130" s="413">
        <v>7</v>
      </c>
      <c r="B130" s="414" t="s">
        <v>1162</v>
      </c>
      <c r="C130" s="415">
        <v>4.17</v>
      </c>
      <c r="D130" s="415"/>
      <c r="E130" s="416">
        <f>IF($O$2="元",成本明细!F455/10000,成本明细!F455)</f>
        <v>604900</v>
      </c>
      <c r="F130" s="417"/>
      <c r="G130" s="417"/>
      <c r="H130" s="417"/>
      <c r="I130" s="417"/>
      <c r="J130" s="417"/>
      <c r="K130" s="417"/>
      <c r="L130" s="417"/>
      <c r="M130" s="417"/>
      <c r="N130" s="417"/>
      <c r="O130" s="429"/>
    </row>
    <row r="131" spans="1:15" ht="15.95" customHeight="1" outlineLevel="2">
      <c r="A131" s="418" t="s">
        <v>1019</v>
      </c>
      <c r="B131" s="423" t="s">
        <v>1163</v>
      </c>
      <c r="C131" s="420">
        <v>2.41</v>
      </c>
      <c r="D131" s="420"/>
      <c r="E131" s="421">
        <f>IF($O$2="元",成本明细!F456/10000,成本明细!F456)</f>
        <v>0</v>
      </c>
      <c r="F131" s="422"/>
      <c r="G131" s="422"/>
      <c r="H131" s="422"/>
      <c r="I131" s="422"/>
      <c r="J131" s="422"/>
      <c r="K131" s="422"/>
      <c r="L131" s="422"/>
      <c r="M131" s="422"/>
      <c r="N131" s="422"/>
      <c r="O131" s="431"/>
    </row>
    <row r="132" spans="1:15" ht="15.95" customHeight="1" outlineLevel="2">
      <c r="A132" s="418" t="s">
        <v>1021</v>
      </c>
      <c r="B132" s="423" t="s">
        <v>1164</v>
      </c>
      <c r="C132" s="420">
        <v>1.76</v>
      </c>
      <c r="D132" s="420"/>
      <c r="E132" s="421">
        <f>IF($O$2="元",成本明细!F459/10000,成本明细!F459)</f>
        <v>0</v>
      </c>
      <c r="F132" s="422"/>
      <c r="G132" s="422"/>
      <c r="H132" s="422"/>
      <c r="I132" s="422"/>
      <c r="J132" s="422"/>
      <c r="K132" s="422"/>
      <c r="L132" s="422"/>
      <c r="M132" s="422"/>
      <c r="N132" s="422"/>
      <c r="O132" s="431"/>
    </row>
    <row r="133" spans="1:15" ht="12.75" outlineLevel="2">
      <c r="A133" s="418" t="s">
        <v>1026</v>
      </c>
      <c r="B133" s="423" t="s">
        <v>1165</v>
      </c>
      <c r="C133" s="420">
        <v>0</v>
      </c>
      <c r="D133" s="420"/>
      <c r="E133" s="421">
        <f>IF($O$2="元",成本明细!F462/10000,成本明细!F462)</f>
        <v>604900</v>
      </c>
      <c r="F133" s="422"/>
      <c r="G133" s="422"/>
      <c r="H133" s="422"/>
      <c r="I133" s="422"/>
      <c r="J133" s="422"/>
      <c r="K133" s="422"/>
      <c r="L133" s="422"/>
      <c r="M133" s="422"/>
      <c r="N133" s="422"/>
      <c r="O133" s="431"/>
    </row>
    <row r="134" spans="1:15" ht="15.95" customHeight="1" outlineLevel="1">
      <c r="A134" s="413">
        <v>8</v>
      </c>
      <c r="B134" s="414" t="s">
        <v>1166</v>
      </c>
      <c r="C134" s="415">
        <v>2.58314373981047</v>
      </c>
      <c r="D134" s="415"/>
      <c r="E134" s="416">
        <f>IF($O$2="元",成本明细!F476/10000,成本明细!F476)</f>
        <v>0</v>
      </c>
      <c r="F134" s="417"/>
      <c r="G134" s="417"/>
      <c r="H134" s="417"/>
      <c r="I134" s="417"/>
      <c r="J134" s="417"/>
      <c r="K134" s="417"/>
      <c r="L134" s="417"/>
      <c r="M134" s="417"/>
      <c r="N134" s="417"/>
      <c r="O134" s="477"/>
    </row>
    <row r="135" spans="1:15" ht="15.75" customHeight="1" outlineLevel="2">
      <c r="A135" s="418" t="s">
        <v>1019</v>
      </c>
      <c r="B135" s="423" t="s">
        <v>1167</v>
      </c>
      <c r="C135" s="420">
        <v>0.73804106851727602</v>
      </c>
      <c r="D135" s="420"/>
      <c r="E135" s="421">
        <f>IF($O$2="元",成本明细!F477/10000,成本明细!F477)</f>
        <v>0</v>
      </c>
      <c r="F135" s="422"/>
      <c r="G135" s="422"/>
      <c r="H135" s="422"/>
      <c r="I135" s="422"/>
      <c r="J135" s="422"/>
      <c r="K135" s="422"/>
      <c r="L135" s="422"/>
      <c r="M135" s="422"/>
      <c r="N135" s="422"/>
      <c r="O135" s="431"/>
    </row>
    <row r="136" spans="1:15" ht="15.95" customHeight="1" outlineLevel="2">
      <c r="A136" s="418" t="s">
        <v>1021</v>
      </c>
      <c r="B136" s="423" t="s">
        <v>1168</v>
      </c>
      <c r="C136" s="420">
        <v>0.73804106851727602</v>
      </c>
      <c r="D136" s="420"/>
      <c r="E136" s="421">
        <f>IF($O$2="元",成本明细!F480/10000,成本明细!F480)</f>
        <v>0</v>
      </c>
      <c r="F136" s="422"/>
      <c r="G136" s="422"/>
      <c r="H136" s="422"/>
      <c r="I136" s="422"/>
      <c r="J136" s="422"/>
      <c r="K136" s="422"/>
      <c r="L136" s="422"/>
      <c r="M136" s="422"/>
      <c r="N136" s="422"/>
      <c r="O136" s="431"/>
    </row>
    <row r="137" spans="1:15" ht="15.95" customHeight="1" outlineLevel="2">
      <c r="A137" s="418" t="s">
        <v>1026</v>
      </c>
      <c r="B137" s="423" t="s">
        <v>1015</v>
      </c>
      <c r="C137" s="420">
        <v>1.1070616027759199</v>
      </c>
      <c r="D137" s="420"/>
      <c r="E137" s="421">
        <f>IF($O$2="元",成本明细!F483/10000,成本明细!F483)</f>
        <v>0</v>
      </c>
      <c r="F137" s="422"/>
      <c r="G137" s="422"/>
      <c r="H137" s="422"/>
      <c r="I137" s="422"/>
      <c r="J137" s="422"/>
      <c r="K137" s="422"/>
      <c r="L137" s="422"/>
      <c r="M137" s="422"/>
      <c r="N137" s="422"/>
      <c r="O137" s="478"/>
    </row>
    <row r="138" spans="1:15" ht="15.95" customHeight="1">
      <c r="A138" s="408" t="s">
        <v>1169</v>
      </c>
      <c r="B138" s="409" t="s">
        <v>1170</v>
      </c>
      <c r="C138" s="410">
        <v>74.94</v>
      </c>
      <c r="D138" s="410"/>
      <c r="E138" s="411" t="e">
        <f>E139+E140+E146</f>
        <v>#REF!</v>
      </c>
      <c r="F138" s="412"/>
      <c r="G138" s="412"/>
      <c r="H138" s="412"/>
      <c r="I138" s="412"/>
      <c r="J138" s="412"/>
      <c r="K138" s="412"/>
      <c r="L138" s="412"/>
      <c r="M138" s="412"/>
      <c r="N138" s="412"/>
      <c r="O138" s="479"/>
    </row>
    <row r="139" spans="1:15" ht="15.95" customHeight="1" outlineLevel="1" collapsed="1">
      <c r="A139" s="413">
        <v>1</v>
      </c>
      <c r="B139" s="414" t="s">
        <v>1171</v>
      </c>
      <c r="C139" s="415">
        <v>38.74</v>
      </c>
      <c r="D139" s="415"/>
      <c r="E139" s="416">
        <f>IF($O$2="元",成本明细!F486/10000,成本明细!F486)</f>
        <v>6481753.0500000007</v>
      </c>
      <c r="F139" s="417"/>
      <c r="G139" s="417"/>
      <c r="H139" s="417"/>
      <c r="I139" s="417"/>
      <c r="J139" s="417"/>
      <c r="K139" s="417"/>
      <c r="L139" s="417"/>
      <c r="M139" s="417"/>
      <c r="N139" s="417"/>
      <c r="O139" s="477"/>
    </row>
    <row r="140" spans="1:15" ht="15.95" customHeight="1" outlineLevel="1">
      <c r="A140" s="413">
        <v>2</v>
      </c>
      <c r="B140" s="414" t="s">
        <v>1172</v>
      </c>
      <c r="C140" s="415">
        <v>36.200000000000003</v>
      </c>
      <c r="D140" s="415"/>
      <c r="E140" s="416" t="e">
        <f>IF($O$2="元",成本明细!#REF!/10000,成本明细!#REF!)</f>
        <v>#REF!</v>
      </c>
      <c r="F140" s="417"/>
      <c r="G140" s="417"/>
      <c r="H140" s="417"/>
      <c r="I140" s="417"/>
      <c r="J140" s="417"/>
      <c r="K140" s="417"/>
      <c r="L140" s="417"/>
      <c r="M140" s="417"/>
      <c r="N140" s="417"/>
      <c r="O140" s="477"/>
    </row>
    <row r="141" spans="1:15" ht="12.75" outlineLevel="2">
      <c r="A141" s="418" t="s">
        <v>1019</v>
      </c>
      <c r="B141" s="423" t="s">
        <v>1173</v>
      </c>
      <c r="C141" s="420">
        <v>16.690000000000001</v>
      </c>
      <c r="D141" s="420"/>
      <c r="E141" s="421" t="e">
        <f>IF($O$2="元",成本明细!#REF!/10000,成本明细!#REF!)</f>
        <v>#REF!</v>
      </c>
      <c r="F141" s="422"/>
      <c r="G141" s="422"/>
      <c r="H141" s="422"/>
      <c r="I141" s="422"/>
      <c r="J141" s="422"/>
      <c r="K141" s="422"/>
      <c r="L141" s="422"/>
      <c r="M141" s="422"/>
      <c r="N141" s="422"/>
      <c r="O141" s="431"/>
    </row>
    <row r="142" spans="1:15" ht="12.75" outlineLevel="2">
      <c r="A142" s="418" t="s">
        <v>1021</v>
      </c>
      <c r="B142" s="423" t="s">
        <v>1174</v>
      </c>
      <c r="C142" s="420">
        <v>0.74</v>
      </c>
      <c r="D142" s="420"/>
      <c r="E142" s="421" t="e">
        <f>IF($O$2="元",成本明细!#REF!/10000,成本明细!#REF!)</f>
        <v>#REF!</v>
      </c>
      <c r="F142" s="422"/>
      <c r="G142" s="422"/>
      <c r="H142" s="422"/>
      <c r="I142" s="422"/>
      <c r="J142" s="422"/>
      <c r="K142" s="422"/>
      <c r="L142" s="422"/>
      <c r="M142" s="422"/>
      <c r="N142" s="422"/>
      <c r="O142" s="431"/>
    </row>
    <row r="143" spans="1:15" ht="12.75" outlineLevel="2">
      <c r="A143" s="418" t="s">
        <v>1026</v>
      </c>
      <c r="B143" s="423" t="s">
        <v>1175</v>
      </c>
      <c r="C143" s="420">
        <v>0.74</v>
      </c>
      <c r="D143" s="420"/>
      <c r="E143" s="421" t="e">
        <f>IF($O$2="元",成本明细!#REF!/10000,成本明细!#REF!)</f>
        <v>#REF!</v>
      </c>
      <c r="F143" s="422"/>
      <c r="G143" s="422"/>
      <c r="H143" s="422"/>
      <c r="I143" s="422"/>
      <c r="J143" s="422"/>
      <c r="K143" s="422"/>
      <c r="L143" s="422"/>
      <c r="M143" s="422"/>
      <c r="N143" s="422"/>
      <c r="O143" s="431"/>
    </row>
    <row r="144" spans="1:15" ht="12.75" outlineLevel="2">
      <c r="A144" s="418" t="s">
        <v>1028</v>
      </c>
      <c r="B144" s="423" t="s">
        <v>1176</v>
      </c>
      <c r="C144" s="420">
        <v>18.04</v>
      </c>
      <c r="D144" s="420"/>
      <c r="E144" s="421" t="e">
        <f>IF($O$2="元",成本明细!#REF!/10000,成本明细!#REF!)</f>
        <v>#REF!</v>
      </c>
      <c r="F144" s="422"/>
      <c r="G144" s="422"/>
      <c r="H144" s="422"/>
      <c r="I144" s="422"/>
      <c r="J144" s="422"/>
      <c r="K144" s="422"/>
      <c r="L144" s="422"/>
      <c r="M144" s="422"/>
      <c r="N144" s="422"/>
      <c r="O144" s="431"/>
    </row>
    <row r="145" spans="1:15" ht="12.75" outlineLevel="2">
      <c r="A145" s="418" t="s">
        <v>1030</v>
      </c>
      <c r="B145" s="423" t="s">
        <v>1015</v>
      </c>
      <c r="C145" s="420">
        <v>0</v>
      </c>
      <c r="D145" s="420"/>
      <c r="E145" s="421" t="e">
        <f>IF($O$2="元",成本明细!#REF!/10000,成本明细!#REF!)</f>
        <v>#REF!</v>
      </c>
      <c r="F145" s="422"/>
      <c r="G145" s="422"/>
      <c r="H145" s="422"/>
      <c r="I145" s="422"/>
      <c r="J145" s="422"/>
      <c r="K145" s="422"/>
      <c r="L145" s="422"/>
      <c r="M145" s="422"/>
      <c r="N145" s="422"/>
      <c r="O145" s="431"/>
    </row>
    <row r="146" spans="1:15" ht="12.75" outlineLevel="1">
      <c r="A146" s="413">
        <v>3</v>
      </c>
      <c r="B146" s="414" t="s">
        <v>1177</v>
      </c>
      <c r="C146" s="415">
        <v>0</v>
      </c>
      <c r="D146" s="415"/>
      <c r="E146" s="416">
        <f>IF($O$2="元",成本明细!F490/10000,成本明细!F490)</f>
        <v>0</v>
      </c>
      <c r="F146" s="417"/>
      <c r="G146" s="417"/>
      <c r="H146" s="417"/>
      <c r="I146" s="417"/>
      <c r="J146" s="417"/>
      <c r="K146" s="417"/>
      <c r="L146" s="417"/>
      <c r="M146" s="417"/>
      <c r="N146" s="417"/>
      <c r="O146" s="429"/>
    </row>
    <row r="147" spans="1:15" ht="12.75">
      <c r="A147" s="408" t="s">
        <v>1178</v>
      </c>
      <c r="B147" s="409" t="s">
        <v>1179</v>
      </c>
      <c r="C147" s="410">
        <v>72.16</v>
      </c>
      <c r="D147" s="410"/>
      <c r="E147" s="411">
        <f>IF($O$2="元",成本明细!F510/10000,成本明细!F510)</f>
        <v>317649</v>
      </c>
      <c r="F147" s="412"/>
      <c r="G147" s="412"/>
      <c r="H147" s="412"/>
      <c r="I147" s="412"/>
      <c r="J147" s="412"/>
      <c r="K147" s="412"/>
      <c r="L147" s="412"/>
      <c r="M147" s="412"/>
      <c r="N147" s="412"/>
      <c r="O147" s="430"/>
    </row>
    <row r="148" spans="1:15" ht="12.75">
      <c r="A148" s="445" t="s">
        <v>1180</v>
      </c>
      <c r="B148" s="446" t="s">
        <v>1181</v>
      </c>
      <c r="C148" s="447">
        <f>C9+C15+C63+C101+C138+C147</f>
        <v>9395.5057963174422</v>
      </c>
      <c r="D148" s="447"/>
      <c r="E148" s="448">
        <f>IF($O$2="元",成本明细!F521/10000,成本明细!F521)</f>
        <v>828044626.13</v>
      </c>
      <c r="F148" s="449"/>
      <c r="G148" s="449"/>
      <c r="H148" s="449"/>
      <c r="I148" s="449"/>
      <c r="J148" s="449"/>
      <c r="K148" s="449"/>
      <c r="L148" s="449"/>
      <c r="M148" s="449"/>
      <c r="N148" s="449"/>
      <c r="O148" s="480"/>
    </row>
    <row r="149" spans="1:15" ht="24">
      <c r="A149" s="445" t="s">
        <v>1182</v>
      </c>
      <c r="B149" s="450" t="s">
        <v>1183</v>
      </c>
      <c r="C149" s="447">
        <v>265.47000000000003</v>
      </c>
      <c r="D149" s="447"/>
      <c r="E149" s="448">
        <f>IF($O$2="元",成本明细!F522/10000,成本明细!F522)</f>
        <v>0</v>
      </c>
      <c r="F149" s="449"/>
      <c r="G149" s="449"/>
      <c r="H149" s="449"/>
      <c r="I149" s="449"/>
      <c r="J149" s="449"/>
      <c r="K149" s="449"/>
      <c r="L149" s="449"/>
      <c r="M149" s="449"/>
      <c r="N149" s="449"/>
      <c r="O149" s="480"/>
    </row>
    <row r="150" spans="1:15" ht="12">
      <c r="A150" s="451" t="s">
        <v>1184</v>
      </c>
      <c r="B150" s="452" t="s">
        <v>1185</v>
      </c>
      <c r="C150" s="453"/>
      <c r="D150" s="453"/>
      <c r="E150" s="454" t="e">
        <f>IF($O$2="元",成本明细!#REF!/10000,成本明细!#REF!)</f>
        <v>#REF!</v>
      </c>
      <c r="F150" s="455"/>
      <c r="G150" s="455"/>
      <c r="H150" s="455"/>
      <c r="I150" s="455"/>
      <c r="J150" s="455"/>
      <c r="K150" s="455"/>
      <c r="L150" s="455"/>
      <c r="M150" s="455"/>
      <c r="N150" s="455"/>
      <c r="O150" s="481"/>
    </row>
    <row r="151" spans="1:15" ht="12.75">
      <c r="A151" s="445" t="s">
        <v>1186</v>
      </c>
      <c r="B151" s="450" t="s">
        <v>979</v>
      </c>
      <c r="C151" s="447">
        <v>299.85000000000002</v>
      </c>
      <c r="D151" s="447"/>
      <c r="E151" s="448">
        <f>IF($O$2="元",成本明细!F523/10000,成本明细!F523)</f>
        <v>400000</v>
      </c>
      <c r="F151" s="449"/>
      <c r="G151" s="449"/>
      <c r="H151" s="449"/>
      <c r="I151" s="449"/>
      <c r="J151" s="449"/>
      <c r="K151" s="449"/>
      <c r="L151" s="449"/>
      <c r="M151" s="449"/>
      <c r="N151" s="449"/>
      <c r="O151" s="480"/>
    </row>
    <row r="152" spans="1:15" ht="12.75">
      <c r="A152" s="445" t="s">
        <v>1187</v>
      </c>
      <c r="B152" s="450" t="s">
        <v>1188</v>
      </c>
      <c r="C152" s="447">
        <v>219.95</v>
      </c>
      <c r="D152" s="447"/>
      <c r="E152" s="448">
        <f>IF($O$2="元",成本明细!F548/10000,成本明细!F548)</f>
        <v>0</v>
      </c>
      <c r="F152" s="449"/>
      <c r="G152" s="449"/>
      <c r="H152" s="449"/>
      <c r="I152" s="449"/>
      <c r="J152" s="449"/>
      <c r="K152" s="449"/>
      <c r="L152" s="449"/>
      <c r="M152" s="449"/>
      <c r="N152" s="449"/>
      <c r="O152" s="480"/>
    </row>
    <row r="153" spans="1:15" ht="12.75">
      <c r="A153" s="445" t="s">
        <v>1189</v>
      </c>
      <c r="B153" s="450" t="s">
        <v>1190</v>
      </c>
      <c r="C153" s="447">
        <v>105.35</v>
      </c>
      <c r="D153" s="447"/>
      <c r="E153" s="448">
        <f>IF($O$2="元",成本明细!F608/10000,成本明细!F608)</f>
        <v>0</v>
      </c>
      <c r="F153" s="449"/>
      <c r="G153" s="449"/>
      <c r="H153" s="449"/>
      <c r="I153" s="449"/>
      <c r="J153" s="449"/>
      <c r="K153" s="449"/>
      <c r="L153" s="449"/>
      <c r="M153" s="449"/>
      <c r="N153" s="449"/>
      <c r="O153" s="480"/>
    </row>
    <row r="154" spans="1:15" ht="12.75">
      <c r="A154" s="408" t="s">
        <v>1191</v>
      </c>
      <c r="B154" s="409" t="s">
        <v>1192</v>
      </c>
      <c r="C154" s="410">
        <v>546.09</v>
      </c>
      <c r="D154" s="410"/>
      <c r="E154" s="411">
        <f>IF($O$2="元",成本明细!F621/10000,成本明细!F621)</f>
        <v>383546.13</v>
      </c>
      <c r="F154" s="412"/>
      <c r="G154" s="412"/>
      <c r="H154" s="412"/>
      <c r="I154" s="412"/>
      <c r="J154" s="412"/>
      <c r="K154" s="412"/>
      <c r="L154" s="412"/>
      <c r="M154" s="412"/>
      <c r="N154" s="412"/>
      <c r="O154" s="430"/>
    </row>
    <row r="155" spans="1:15" ht="12.75">
      <c r="A155" s="445" t="s">
        <v>1193</v>
      </c>
      <c r="B155" s="450" t="s">
        <v>1194</v>
      </c>
      <c r="C155" s="447">
        <v>663.43</v>
      </c>
      <c r="D155" s="447"/>
      <c r="E155" s="448">
        <f>IF($O$2="元",成本明细!F641/10000,成本明细!F641)</f>
        <v>828828172.25999999</v>
      </c>
      <c r="F155" s="449"/>
      <c r="G155" s="449"/>
      <c r="H155" s="449"/>
      <c r="I155" s="449"/>
      <c r="J155" s="449"/>
      <c r="K155" s="449"/>
      <c r="L155" s="449"/>
      <c r="M155" s="449"/>
      <c r="N155" s="449"/>
      <c r="O155" s="480"/>
    </row>
    <row r="156" spans="1:15" ht="12.75">
      <c r="A156" s="445" t="s">
        <v>1195</v>
      </c>
      <c r="B156" s="450" t="s">
        <v>1196</v>
      </c>
      <c r="C156" s="447">
        <v>1054.75</v>
      </c>
      <c r="D156" s="447"/>
      <c r="E156" s="448">
        <f>IF($O$2="元",成本明细!F642/10000,成本明细!F642)</f>
        <v>-828828172.25999999</v>
      </c>
      <c r="F156" s="449"/>
      <c r="G156" s="449"/>
      <c r="H156" s="449"/>
      <c r="I156" s="449"/>
      <c r="J156" s="449"/>
      <c r="K156" s="449"/>
      <c r="L156" s="449"/>
      <c r="M156" s="449"/>
      <c r="N156" s="449"/>
      <c r="O156" s="480"/>
    </row>
    <row r="157" spans="1:15" ht="24">
      <c r="A157" s="445" t="s">
        <v>1197</v>
      </c>
      <c r="B157" s="450" t="s">
        <v>1198</v>
      </c>
      <c r="C157" s="447">
        <v>15.1</v>
      </c>
      <c r="D157" s="447"/>
      <c r="E157" s="448" t="e">
        <f>IF($O$2="元",成本明细!F643/10000,成本明细!F643)</f>
        <v>#DIV/0!</v>
      </c>
      <c r="F157" s="449"/>
      <c r="G157" s="449"/>
      <c r="H157" s="449"/>
      <c r="I157" s="449"/>
      <c r="J157" s="449"/>
      <c r="K157" s="449"/>
      <c r="L157" s="449"/>
      <c r="M157" s="449"/>
      <c r="N157" s="449"/>
      <c r="O157" s="480"/>
    </row>
    <row r="158" spans="1:15" ht="12.75">
      <c r="A158" s="445" t="s">
        <v>1199</v>
      </c>
      <c r="B158" s="450" t="s">
        <v>1200</v>
      </c>
      <c r="C158" s="447">
        <v>952.73</v>
      </c>
      <c r="D158" s="447"/>
      <c r="E158" s="448">
        <f>IF($O$2="元",成本明细!F644/10000,成本明细!F644)</f>
        <v>829211718.38999999</v>
      </c>
      <c r="F158" s="449"/>
      <c r="G158" s="449"/>
      <c r="H158" s="449"/>
      <c r="I158" s="449"/>
      <c r="J158" s="449"/>
      <c r="K158" s="449"/>
      <c r="L158" s="449"/>
      <c r="M158" s="449"/>
      <c r="N158" s="449"/>
      <c r="O158" s="480"/>
    </row>
    <row r="159" spans="1:15" ht="12.75">
      <c r="A159" s="456" t="s">
        <v>1201</v>
      </c>
      <c r="B159" s="457" t="s">
        <v>1202</v>
      </c>
      <c r="C159" s="458">
        <v>13518.23</v>
      </c>
      <c r="D159" s="458"/>
      <c r="E159" s="459">
        <f>IF($O$2="元",成本明细!F645/10000,成本明细!F645)</f>
        <v>-829211718.38999999</v>
      </c>
      <c r="F159" s="460"/>
      <c r="G159" s="460"/>
      <c r="H159" s="460"/>
      <c r="I159" s="460"/>
      <c r="J159" s="460"/>
      <c r="K159" s="460"/>
      <c r="L159" s="460"/>
      <c r="M159" s="460"/>
      <c r="N159" s="460"/>
      <c r="O159" s="482"/>
    </row>
    <row r="160" spans="1:15" ht="12.75">
      <c r="A160" s="461" t="s">
        <v>1203</v>
      </c>
      <c r="B160" s="462" t="s">
        <v>1204</v>
      </c>
      <c r="C160" s="420"/>
      <c r="D160" s="420"/>
      <c r="E160" s="421" t="e">
        <f>IF($O$2="元",成本明细!F646/10000,成本明细!F646)</f>
        <v>#DIV/0!</v>
      </c>
      <c r="F160" s="422"/>
      <c r="G160" s="422"/>
      <c r="H160" s="422"/>
      <c r="I160" s="422"/>
      <c r="J160" s="422"/>
      <c r="K160" s="422"/>
      <c r="L160" s="422"/>
      <c r="M160" s="422"/>
      <c r="N160" s="422"/>
      <c r="O160" s="431"/>
    </row>
    <row r="161" spans="1:17" ht="15.95" customHeight="1">
      <c r="A161" s="463" t="s">
        <v>1205</v>
      </c>
      <c r="B161" s="464" t="s">
        <v>1206</v>
      </c>
      <c r="C161" s="465"/>
      <c r="D161" s="465"/>
      <c r="E161" s="466" t="e">
        <f>IF($O$2="元",成本明细!#REF!/10000,成本明细!#REF!)</f>
        <v>#REF!</v>
      </c>
      <c r="F161" s="467"/>
      <c r="G161" s="467"/>
      <c r="H161" s="467"/>
      <c r="I161" s="467"/>
      <c r="J161" s="467"/>
      <c r="K161" s="467"/>
      <c r="L161" s="467"/>
      <c r="M161" s="467"/>
      <c r="N161" s="467"/>
      <c r="O161" s="483"/>
    </row>
    <row r="162" spans="1:17" ht="15.95" customHeight="1"/>
    <row r="163" spans="1:17" ht="15.95" customHeight="1"/>
    <row r="164" spans="1:17" ht="15.95" customHeight="1"/>
    <row r="165" spans="1:17" ht="15.95" customHeight="1"/>
    <row r="166" spans="1:17" ht="15.95" customHeight="1"/>
    <row r="167" spans="1:17" ht="15.95" customHeight="1">
      <c r="C167" s="468" t="s">
        <v>968</v>
      </c>
      <c r="D167" s="468"/>
      <c r="E167" s="469" t="s">
        <v>1207</v>
      </c>
      <c r="F167" s="470"/>
      <c r="G167" s="470"/>
      <c r="H167" s="470"/>
      <c r="I167" s="470"/>
      <c r="J167" s="470"/>
      <c r="K167" s="470"/>
      <c r="L167" s="470"/>
      <c r="M167" s="470"/>
      <c r="N167" s="470"/>
    </row>
    <row r="168" spans="1:17" ht="15.95" customHeight="1">
      <c r="C168" s="471">
        <f>C9*O9/10000</f>
        <v>0</v>
      </c>
      <c r="D168" s="471"/>
      <c r="E168" s="472">
        <f>E9</f>
        <v>404290897.56999999</v>
      </c>
      <c r="F168" s="473"/>
      <c r="G168" s="473"/>
      <c r="H168" s="473"/>
      <c r="I168" s="473"/>
      <c r="J168" s="473"/>
      <c r="K168" s="473"/>
      <c r="L168" s="473"/>
      <c r="M168" s="473"/>
      <c r="N168" s="473"/>
    </row>
    <row r="169" spans="1:17" ht="15.95" customHeight="1">
      <c r="C169" s="471" t="e">
        <f>SUM(C135:C136,C127:C133,#REF!,C27,#REF!,#REF!,C40:C49,#REF!,C35,C36:C38)*O9/10000</f>
        <v>#REF!</v>
      </c>
      <c r="D169" s="471"/>
      <c r="E169" s="472" t="e">
        <f>SUM(E135:E136,E127:E133,#REF!,E27,#REF!,#REF!,E40:E49,#REF!,E35,E36:E38)</f>
        <v>#REF!</v>
      </c>
      <c r="F169" s="473"/>
      <c r="G169" s="473"/>
      <c r="H169" s="473"/>
      <c r="I169" s="473"/>
      <c r="J169" s="473"/>
      <c r="K169" s="473"/>
      <c r="L169" s="473"/>
      <c r="M169" s="473"/>
      <c r="N169" s="473"/>
    </row>
    <row r="170" spans="1:17" ht="15.95" customHeight="1">
      <c r="C170" s="471" t="e">
        <f>SUM(C61:C133,C121:C132,C47:C47,C29:C45,C23:C45,C32,C34,#REF!)*O9/10000</f>
        <v>#REF!</v>
      </c>
      <c r="D170" s="471"/>
      <c r="E170" s="472" t="e">
        <f>SUM(E61:E133,E121:E132,E47:E47,E29:E45,E23:E45,E32,E34,#REF!)</f>
        <v>#REF!</v>
      </c>
      <c r="F170" s="473"/>
      <c r="G170" s="473"/>
      <c r="H170" s="473"/>
      <c r="I170" s="473"/>
      <c r="J170" s="473"/>
      <c r="K170" s="473"/>
      <c r="L170" s="473"/>
      <c r="M170" s="473"/>
      <c r="N170" s="473"/>
    </row>
    <row r="171" spans="1:17" ht="15.95" customHeight="1">
      <c r="C171" s="471">
        <f>SUM(C16:C45)*O9/10000</f>
        <v>0</v>
      </c>
      <c r="D171" s="471"/>
      <c r="E171" s="472" t="e">
        <f>SUM(E16:E45)</f>
        <v>#REF!</v>
      </c>
      <c r="F171" s="473"/>
      <c r="G171" s="473"/>
      <c r="H171" s="473"/>
      <c r="I171" s="473"/>
      <c r="J171" s="473"/>
      <c r="K171" s="473"/>
      <c r="L171" s="473"/>
      <c r="M171" s="473"/>
      <c r="N171" s="473"/>
    </row>
    <row r="172" spans="1:17" ht="15.95" customHeight="1">
      <c r="C172" s="474">
        <f>SUM(C140,C45:C46)*O9/10000</f>
        <v>0</v>
      </c>
      <c r="D172" s="474"/>
      <c r="E172" s="475" t="e">
        <f>SUM(E140,E45:E46)</f>
        <v>#REF!</v>
      </c>
      <c r="F172" s="473"/>
      <c r="G172" s="473"/>
      <c r="H172" s="473"/>
      <c r="I172" s="473"/>
      <c r="J172" s="473"/>
      <c r="K172" s="473"/>
      <c r="L172" s="473"/>
      <c r="M172" s="473"/>
      <c r="N172" s="473"/>
    </row>
    <row r="173" spans="1:17" s="388" customFormat="1" ht="15.95" customHeight="1">
      <c r="A173" s="389"/>
      <c r="B173" s="201"/>
      <c r="C173" s="390"/>
      <c r="D173" s="390"/>
      <c r="E173" s="391"/>
      <c r="F173" s="391"/>
      <c r="G173" s="391"/>
      <c r="H173" s="391"/>
      <c r="I173" s="391"/>
      <c r="J173" s="391"/>
      <c r="K173" s="391"/>
      <c r="L173" s="391"/>
      <c r="M173" s="391"/>
      <c r="N173" s="391"/>
      <c r="O173" s="389"/>
      <c r="P173" s="484"/>
      <c r="Q173" s="484"/>
    </row>
    <row r="174" spans="1:17" s="388" customFormat="1" ht="15.95" customHeight="1">
      <c r="A174" s="389"/>
      <c r="B174" s="201"/>
      <c r="C174" s="390"/>
      <c r="D174" s="390"/>
      <c r="E174" s="391"/>
      <c r="F174" s="391"/>
      <c r="G174" s="391"/>
      <c r="H174" s="391"/>
      <c r="I174" s="391"/>
      <c r="J174" s="391"/>
      <c r="K174" s="391"/>
      <c r="L174" s="391"/>
      <c r="M174" s="391"/>
      <c r="N174" s="391"/>
      <c r="O174" s="389"/>
      <c r="P174" s="484"/>
      <c r="Q174" s="484"/>
    </row>
    <row r="175" spans="1:17" s="388" customFormat="1" ht="15.95" customHeight="1">
      <c r="A175" s="476"/>
      <c r="C175" s="390"/>
      <c r="D175" s="390"/>
      <c r="E175" s="391"/>
      <c r="F175" s="391"/>
      <c r="G175" s="391"/>
      <c r="H175" s="391"/>
      <c r="I175" s="391"/>
      <c r="J175" s="391"/>
      <c r="K175" s="391"/>
      <c r="L175" s="391"/>
      <c r="M175" s="391"/>
      <c r="N175" s="391"/>
      <c r="O175" s="389"/>
      <c r="P175" s="484"/>
      <c r="Q175" s="484"/>
    </row>
    <row r="176" spans="1:17" s="388" customFormat="1" ht="15.95" customHeight="1">
      <c r="A176" s="476"/>
      <c r="C176" s="390"/>
      <c r="D176" s="390"/>
      <c r="E176" s="391"/>
      <c r="F176" s="391"/>
      <c r="G176" s="391"/>
      <c r="H176" s="391"/>
      <c r="I176" s="391"/>
      <c r="J176" s="391"/>
      <c r="K176" s="391"/>
      <c r="L176" s="391"/>
      <c r="M176" s="391"/>
      <c r="N176" s="391"/>
      <c r="O176" s="389"/>
      <c r="P176" s="484"/>
      <c r="Q176" s="484"/>
    </row>
    <row r="177" spans="1:17" s="388" customFormat="1" ht="15.95" customHeight="1">
      <c r="A177" s="476"/>
      <c r="C177" s="390"/>
      <c r="D177" s="390"/>
      <c r="E177" s="391"/>
      <c r="F177" s="391"/>
      <c r="G177" s="391"/>
      <c r="H177" s="391"/>
      <c r="I177" s="391"/>
      <c r="J177" s="391"/>
      <c r="K177" s="391"/>
      <c r="L177" s="391"/>
      <c r="M177" s="391"/>
      <c r="N177" s="391"/>
      <c r="O177" s="389"/>
      <c r="P177" s="484"/>
      <c r="Q177" s="484"/>
    </row>
    <row r="178" spans="1:17" ht="15.95" customHeight="1">
      <c r="A178" s="476"/>
      <c r="B178" s="388"/>
    </row>
    <row r="179" spans="1:17" ht="15" customHeight="1">
      <c r="A179" s="476"/>
      <c r="B179" s="388"/>
    </row>
  </sheetData>
  <mergeCells count="17">
    <mergeCell ref="A1:O1"/>
    <mergeCell ref="C2:E2"/>
    <mergeCell ref="A3:B3"/>
    <mergeCell ref="A4:B4"/>
    <mergeCell ref="A6:B6"/>
    <mergeCell ref="C6:D6"/>
    <mergeCell ref="E6:J6"/>
    <mergeCell ref="K6:L6"/>
    <mergeCell ref="L7:L8"/>
    <mergeCell ref="M6:M8"/>
    <mergeCell ref="N6:N8"/>
    <mergeCell ref="O6:O8"/>
    <mergeCell ref="E7:F7"/>
    <mergeCell ref="G7:H7"/>
    <mergeCell ref="I7:I8"/>
    <mergeCell ref="J7:J8"/>
    <mergeCell ref="K7:K8"/>
  </mergeCells>
  <phoneticPr fontId="40" type="noConversion"/>
  <printOptions horizontalCentered="1"/>
  <pageMargins left="0.195138888888889" right="0.195138888888889" top="0.195138888888889" bottom="0.195138888888889" header="0.51180555555555596" footer="0.51180555555555596"/>
  <pageSetup paperSize="9" orientation="landscape" useFirstPageNumber="1" r:id="rId1"/>
  <headerFooter alignWithMargins="0">
    <oddFooter>&amp;C第&amp;"Times New Roman,常规"&amp;P&amp;"宋体,常规"页&amp;"Times New Roman,常规"     &amp;"宋体,常规"共&amp;"Times New Roman,常规"&amp;N&amp;"宋体,常规"页</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5"/>
  <sheetViews>
    <sheetView topLeftCell="BG37" workbookViewId="0">
      <selection activeCell="BK63" sqref="BK63"/>
    </sheetView>
  </sheetViews>
  <sheetFormatPr defaultColWidth="8.875" defaultRowHeight="12"/>
  <cols>
    <col min="1" max="3" width="8.875" style="279"/>
    <col min="4" max="4" width="8.875" style="278"/>
    <col min="5" max="17" width="8.875" style="279"/>
    <col min="18" max="18" width="8.875" style="280"/>
    <col min="19" max="16384" width="8.875" style="279"/>
  </cols>
  <sheetData>
    <row r="1" spans="1:149">
      <c r="A1" s="281"/>
      <c r="B1" s="282"/>
      <c r="C1" s="282"/>
      <c r="D1" s="283"/>
      <c r="E1" s="794" t="s">
        <v>1208</v>
      </c>
      <c r="F1" s="794"/>
      <c r="G1" s="794"/>
      <c r="H1" s="794"/>
      <c r="I1" s="794"/>
      <c r="J1" s="795" t="s">
        <v>1209</v>
      </c>
      <c r="K1" s="795"/>
      <c r="L1" s="795"/>
      <c r="M1" s="795"/>
      <c r="N1" s="795"/>
      <c r="O1" s="795"/>
      <c r="P1" s="795"/>
      <c r="Q1" s="795"/>
      <c r="R1" s="795"/>
      <c r="S1" s="795"/>
      <c r="T1" s="795"/>
      <c r="U1" s="795"/>
      <c r="V1" s="795"/>
      <c r="W1" s="795" t="s">
        <v>1210</v>
      </c>
      <c r="X1" s="795"/>
      <c r="Y1" s="795"/>
      <c r="Z1" s="795"/>
      <c r="AA1" s="795"/>
      <c r="AB1" s="795"/>
      <c r="AC1" s="795"/>
      <c r="AD1" s="795"/>
      <c r="AE1" s="795"/>
      <c r="AF1" s="795"/>
      <c r="AG1" s="795"/>
      <c r="AH1" s="795"/>
      <c r="AI1" s="795"/>
      <c r="AJ1" s="795" t="s">
        <v>1211</v>
      </c>
      <c r="AK1" s="795"/>
      <c r="AL1" s="795"/>
      <c r="AM1" s="795"/>
      <c r="AN1" s="795"/>
      <c r="AO1" s="795"/>
      <c r="AP1" s="795"/>
      <c r="AQ1" s="795"/>
      <c r="AR1" s="795"/>
      <c r="AS1" s="795"/>
      <c r="AT1" s="795"/>
      <c r="AU1" s="795"/>
      <c r="AV1" s="795"/>
      <c r="AW1" s="795" t="s">
        <v>1212</v>
      </c>
      <c r="AX1" s="795"/>
      <c r="AY1" s="795"/>
      <c r="AZ1" s="795"/>
      <c r="BA1" s="795"/>
      <c r="BB1" s="795"/>
      <c r="BC1" s="795"/>
      <c r="BD1" s="795"/>
      <c r="BE1" s="795"/>
      <c r="BF1" s="795"/>
      <c r="BG1" s="795"/>
      <c r="BH1" s="795"/>
      <c r="BI1" s="795"/>
      <c r="BJ1" s="789" t="s">
        <v>1213</v>
      </c>
      <c r="BK1" s="790"/>
      <c r="BL1" s="790"/>
      <c r="BM1" s="790"/>
      <c r="BN1" s="790"/>
      <c r="BO1" s="791"/>
      <c r="BP1" s="369" t="s">
        <v>1214</v>
      </c>
    </row>
    <row r="2" spans="1:149" s="276" customFormat="1" ht="24.75">
      <c r="A2" s="284"/>
      <c r="B2" s="285"/>
      <c r="C2" s="286"/>
      <c r="D2" s="287" t="s">
        <v>1215</v>
      </c>
      <c r="E2" s="288" t="s">
        <v>1216</v>
      </c>
      <c r="F2" s="288" t="s">
        <v>1217</v>
      </c>
      <c r="G2" s="288" t="s">
        <v>1218</v>
      </c>
      <c r="H2" s="288" t="s">
        <v>1219</v>
      </c>
      <c r="I2" s="317" t="s">
        <v>1220</v>
      </c>
      <c r="J2" s="299" t="s">
        <v>1221</v>
      </c>
      <c r="K2" s="299" t="s">
        <v>1222</v>
      </c>
      <c r="L2" s="299" t="s">
        <v>1223</v>
      </c>
      <c r="M2" s="299" t="s">
        <v>1224</v>
      </c>
      <c r="N2" s="299" t="s">
        <v>1225</v>
      </c>
      <c r="O2" s="299" t="s">
        <v>1226</v>
      </c>
      <c r="P2" s="318">
        <v>42210</v>
      </c>
      <c r="Q2" s="299" t="s">
        <v>1227</v>
      </c>
      <c r="R2" s="299" t="s">
        <v>1228</v>
      </c>
      <c r="S2" s="299" t="s">
        <v>1217</v>
      </c>
      <c r="T2" s="299" t="s">
        <v>1218</v>
      </c>
      <c r="U2" s="299" t="s">
        <v>1219</v>
      </c>
      <c r="V2" s="317" t="s">
        <v>1229</v>
      </c>
      <c r="W2" s="299" t="s">
        <v>1221</v>
      </c>
      <c r="X2" s="299" t="s">
        <v>1222</v>
      </c>
      <c r="Y2" s="299" t="s">
        <v>1223</v>
      </c>
      <c r="Z2" s="299" t="s">
        <v>1224</v>
      </c>
      <c r="AA2" s="299" t="s">
        <v>1230</v>
      </c>
      <c r="AB2" s="299" t="s">
        <v>1226</v>
      </c>
      <c r="AC2" s="299" t="s">
        <v>1231</v>
      </c>
      <c r="AD2" s="299" t="s">
        <v>1227</v>
      </c>
      <c r="AE2" s="299" t="s">
        <v>1216</v>
      </c>
      <c r="AF2" s="299" t="s">
        <v>1232</v>
      </c>
      <c r="AG2" s="299" t="s">
        <v>1233</v>
      </c>
      <c r="AH2" s="299" t="s">
        <v>1234</v>
      </c>
      <c r="AI2" s="317" t="s">
        <v>1235</v>
      </c>
      <c r="AJ2" s="299" t="s">
        <v>1221</v>
      </c>
      <c r="AK2" s="299" t="s">
        <v>1222</v>
      </c>
      <c r="AL2" s="299" t="s">
        <v>1223</v>
      </c>
      <c r="AM2" s="299" t="s">
        <v>1224</v>
      </c>
      <c r="AN2" s="299" t="s">
        <v>1225</v>
      </c>
      <c r="AO2" s="299" t="s">
        <v>1226</v>
      </c>
      <c r="AP2" s="299" t="s">
        <v>1231</v>
      </c>
      <c r="AQ2" s="299" t="s">
        <v>1227</v>
      </c>
      <c r="AR2" s="299" t="s">
        <v>1228</v>
      </c>
      <c r="AS2" s="299" t="s">
        <v>1217</v>
      </c>
      <c r="AT2" s="299" t="s">
        <v>1218</v>
      </c>
      <c r="AU2" s="299" t="s">
        <v>1219</v>
      </c>
      <c r="AV2" s="317" t="s">
        <v>1236</v>
      </c>
      <c r="AW2" s="299" t="s">
        <v>1221</v>
      </c>
      <c r="AX2" s="299" t="s">
        <v>1222</v>
      </c>
      <c r="AY2" s="299" t="s">
        <v>1223</v>
      </c>
      <c r="AZ2" s="299" t="s">
        <v>1224</v>
      </c>
      <c r="BA2" s="299" t="s">
        <v>1225</v>
      </c>
      <c r="BB2" s="299" t="s">
        <v>1226</v>
      </c>
      <c r="BC2" s="299" t="s">
        <v>1231</v>
      </c>
      <c r="BD2" s="299" t="s">
        <v>1227</v>
      </c>
      <c r="BE2" s="299" t="s">
        <v>1228</v>
      </c>
      <c r="BF2" s="299" t="s">
        <v>1217</v>
      </c>
      <c r="BG2" s="299" t="s">
        <v>1218</v>
      </c>
      <c r="BH2" s="299" t="s">
        <v>1219</v>
      </c>
      <c r="BI2" s="317" t="s">
        <v>1237</v>
      </c>
      <c r="BJ2" s="351" t="s">
        <v>1238</v>
      </c>
      <c r="BK2" s="351" t="s">
        <v>1239</v>
      </c>
      <c r="BL2" s="351" t="s">
        <v>1240</v>
      </c>
      <c r="BM2" s="351" t="s">
        <v>1241</v>
      </c>
      <c r="BN2" s="351" t="s">
        <v>1242</v>
      </c>
      <c r="BO2" s="351" t="s">
        <v>1243</v>
      </c>
      <c r="BP2" s="370" t="s">
        <v>968</v>
      </c>
    </row>
    <row r="3" spans="1:149" s="276" customFormat="1" ht="48">
      <c r="A3" s="792" t="s">
        <v>1244</v>
      </c>
      <c r="B3" s="793"/>
      <c r="C3" s="793"/>
      <c r="D3" s="793"/>
      <c r="E3" s="289"/>
      <c r="F3" s="289"/>
      <c r="H3" s="289"/>
      <c r="I3" s="319"/>
      <c r="J3" s="289"/>
      <c r="K3" s="289"/>
      <c r="L3" s="289"/>
      <c r="O3" s="320" t="s">
        <v>1245</v>
      </c>
      <c r="P3" s="321" t="s">
        <v>1246</v>
      </c>
      <c r="Q3" s="289"/>
      <c r="S3" s="321" t="s">
        <v>1247</v>
      </c>
      <c r="U3" s="333"/>
      <c r="V3" s="334"/>
      <c r="W3" s="321" t="s">
        <v>1248</v>
      </c>
      <c r="X3" s="289"/>
      <c r="Y3" s="333"/>
      <c r="Z3" s="333"/>
      <c r="AA3" s="321" t="s">
        <v>1249</v>
      </c>
      <c r="AB3" s="333"/>
      <c r="AC3" s="333"/>
      <c r="AD3" s="333" t="s">
        <v>1250</v>
      </c>
      <c r="AE3" s="321" t="s">
        <v>1251</v>
      </c>
      <c r="AG3" s="289"/>
      <c r="AH3" s="289"/>
      <c r="AI3" s="334"/>
      <c r="AJ3" s="289"/>
      <c r="AK3" s="289"/>
      <c r="AL3" s="297"/>
      <c r="AM3" s="321" t="s">
        <v>1247</v>
      </c>
      <c r="AN3" s="289"/>
      <c r="AO3" s="289"/>
      <c r="AP3" s="289"/>
      <c r="AQ3" s="289"/>
      <c r="AR3" s="321" t="s">
        <v>1247</v>
      </c>
      <c r="AS3" s="297"/>
      <c r="AT3" s="289"/>
      <c r="AU3" s="289"/>
      <c r="AV3" s="350"/>
      <c r="AW3" s="289"/>
      <c r="AX3" s="289"/>
      <c r="AY3" s="297"/>
      <c r="AZ3" s="297"/>
      <c r="BA3" s="297"/>
      <c r="BB3" s="297"/>
      <c r="BC3" s="297"/>
      <c r="BD3" s="297"/>
      <c r="BE3" s="297"/>
      <c r="BF3" s="297"/>
      <c r="BG3" s="297"/>
      <c r="BH3" s="297"/>
      <c r="BI3" s="352"/>
      <c r="BJ3" s="353"/>
      <c r="BK3" s="353"/>
      <c r="BL3" s="353"/>
      <c r="BM3" s="353"/>
      <c r="BN3" s="353"/>
      <c r="BO3" s="353"/>
      <c r="BP3" s="371"/>
    </row>
    <row r="4" spans="1:149">
      <c r="A4" s="769" t="s">
        <v>1252</v>
      </c>
      <c r="B4" s="769" t="s">
        <v>1253</v>
      </c>
      <c r="C4" s="290" t="s">
        <v>1254</v>
      </c>
      <c r="D4" s="291">
        <v>192</v>
      </c>
      <c r="E4" s="292">
        <v>0</v>
      </c>
      <c r="F4" s="292">
        <v>0</v>
      </c>
      <c r="G4" s="292">
        <v>0</v>
      </c>
      <c r="H4" s="292">
        <v>0</v>
      </c>
      <c r="I4" s="293">
        <f t="shared" ref="I4:I9" si="0">SUM(E4:H4)</f>
        <v>0</v>
      </c>
      <c r="J4" s="292">
        <v>0</v>
      </c>
      <c r="K4" s="292">
        <v>0</v>
      </c>
      <c r="L4" s="292">
        <v>0</v>
      </c>
      <c r="M4" s="292">
        <v>0</v>
      </c>
      <c r="N4" s="292"/>
      <c r="O4" s="292"/>
      <c r="P4" s="322">
        <v>17</v>
      </c>
      <c r="Q4" s="322">
        <v>9</v>
      </c>
      <c r="R4" s="322">
        <v>9</v>
      </c>
      <c r="S4" s="322">
        <v>19</v>
      </c>
      <c r="T4" s="322">
        <v>2</v>
      </c>
      <c r="U4" s="322">
        <v>4</v>
      </c>
      <c r="V4" s="293">
        <f t="shared" ref="V4:V9" si="1">SUM(J4:U4)</f>
        <v>60</v>
      </c>
      <c r="W4" s="292">
        <v>8</v>
      </c>
      <c r="X4" s="292">
        <v>4</v>
      </c>
      <c r="Y4" s="292">
        <v>5</v>
      </c>
      <c r="Z4" s="292">
        <v>5</v>
      </c>
      <c r="AA4" s="292">
        <v>5</v>
      </c>
      <c r="AB4" s="292">
        <v>6</v>
      </c>
      <c r="AC4" s="292">
        <v>5</v>
      </c>
      <c r="AD4" s="292">
        <v>5</v>
      </c>
      <c r="AE4" s="292">
        <v>7</v>
      </c>
      <c r="AF4" s="292">
        <v>5</v>
      </c>
      <c r="AG4" s="292">
        <v>5</v>
      </c>
      <c r="AH4" s="292">
        <v>5</v>
      </c>
      <c r="AI4" s="293">
        <f t="shared" ref="AI4:AI9" si="2">SUM(W4:AH4)</f>
        <v>65</v>
      </c>
      <c r="AJ4" s="292">
        <v>5</v>
      </c>
      <c r="AK4" s="292">
        <v>4</v>
      </c>
      <c r="AL4" s="292">
        <v>5</v>
      </c>
      <c r="AM4" s="292">
        <v>7</v>
      </c>
      <c r="AN4" s="292">
        <v>5</v>
      </c>
      <c r="AO4" s="292">
        <v>5</v>
      </c>
      <c r="AP4" s="292">
        <v>5</v>
      </c>
      <c r="AQ4" s="292">
        <v>4</v>
      </c>
      <c r="AR4" s="292">
        <v>7</v>
      </c>
      <c r="AS4" s="292">
        <v>5</v>
      </c>
      <c r="AT4" s="292">
        <v>4</v>
      </c>
      <c r="AU4" s="292">
        <v>5</v>
      </c>
      <c r="AV4" s="293">
        <f t="shared" ref="AV4:AV9" si="3">SUM(AJ4:AU4)</f>
        <v>61</v>
      </c>
      <c r="AW4" s="292">
        <v>5</v>
      </c>
      <c r="AX4" s="292">
        <v>1</v>
      </c>
      <c r="AY4" s="292">
        <v>0</v>
      </c>
      <c r="AZ4" s="292">
        <v>0</v>
      </c>
      <c r="BA4" s="292">
        <v>0</v>
      </c>
      <c r="BB4" s="292">
        <v>0</v>
      </c>
      <c r="BC4" s="292">
        <v>0</v>
      </c>
      <c r="BD4" s="292">
        <v>0</v>
      </c>
      <c r="BE4" s="292">
        <v>0</v>
      </c>
      <c r="BF4" s="292">
        <v>0</v>
      </c>
      <c r="BG4" s="292"/>
      <c r="BH4" s="292"/>
      <c r="BI4" s="293">
        <f t="shared" ref="BI4:BI9" si="4">SUM(AW4:BH4)</f>
        <v>6</v>
      </c>
      <c r="BJ4" s="354"/>
      <c r="BK4" s="354"/>
      <c r="BL4" s="354"/>
      <c r="BM4" s="354"/>
      <c r="BN4" s="354"/>
      <c r="BO4" s="354"/>
      <c r="BP4" s="372">
        <f t="shared" ref="BP4:BP9" si="5">I4+V4+AI4+AV4+BI4</f>
        <v>192</v>
      </c>
      <c r="BQ4" s="373">
        <f>BP4-D4</f>
        <v>0</v>
      </c>
      <c r="BR4" s="373"/>
      <c r="BS4" s="373"/>
      <c r="BT4" s="373"/>
      <c r="BU4" s="373"/>
      <c r="BV4" s="373"/>
      <c r="BW4" s="373"/>
      <c r="BX4" s="373"/>
      <c r="BY4" s="373"/>
      <c r="BZ4" s="373"/>
      <c r="CA4" s="373"/>
      <c r="CB4" s="373"/>
      <c r="CC4" s="373"/>
      <c r="CD4" s="373"/>
      <c r="CE4" s="373"/>
      <c r="CF4" s="373"/>
      <c r="CG4" s="373"/>
      <c r="CH4" s="373"/>
      <c r="CI4" s="373"/>
      <c r="CJ4" s="373"/>
      <c r="CK4" s="373"/>
      <c r="CL4" s="373"/>
      <c r="CM4" s="373"/>
      <c r="CN4" s="373"/>
      <c r="CO4" s="373"/>
      <c r="CP4" s="373"/>
      <c r="CQ4" s="373"/>
      <c r="CR4" s="373"/>
      <c r="CS4" s="373"/>
      <c r="CT4" s="373"/>
      <c r="CU4" s="373"/>
      <c r="CV4" s="373"/>
      <c r="CW4" s="373"/>
      <c r="CX4" s="373"/>
      <c r="CY4" s="373"/>
      <c r="CZ4" s="373"/>
      <c r="DA4" s="373"/>
      <c r="DB4" s="373"/>
      <c r="DC4" s="373"/>
      <c r="DD4" s="373"/>
      <c r="DE4" s="373"/>
      <c r="DF4" s="373"/>
      <c r="DG4" s="373"/>
      <c r="DH4" s="373"/>
      <c r="DI4" s="373"/>
      <c r="DJ4" s="373"/>
      <c r="DK4" s="373"/>
      <c r="DL4" s="373"/>
      <c r="DM4" s="373"/>
      <c r="DN4" s="373"/>
      <c r="DO4" s="373"/>
      <c r="DP4" s="373"/>
      <c r="DQ4" s="373"/>
      <c r="DR4" s="373"/>
      <c r="DS4" s="373"/>
      <c r="DT4" s="373"/>
      <c r="DU4" s="373"/>
      <c r="DV4" s="373"/>
      <c r="DW4" s="373"/>
      <c r="DX4" s="373"/>
      <c r="DY4" s="373"/>
      <c r="DZ4" s="373"/>
      <c r="EA4" s="373"/>
      <c r="EB4" s="373"/>
      <c r="EC4" s="373"/>
      <c r="ED4" s="373"/>
      <c r="EE4" s="373"/>
      <c r="EF4" s="373"/>
      <c r="EG4" s="373"/>
      <c r="EH4" s="373"/>
      <c r="EI4" s="373"/>
      <c r="EJ4" s="373"/>
      <c r="EK4" s="373"/>
      <c r="EL4" s="373"/>
      <c r="EM4" s="373"/>
      <c r="EN4" s="373"/>
      <c r="EO4" s="373"/>
      <c r="EP4" s="373"/>
      <c r="EQ4" s="373"/>
      <c r="ER4" s="373"/>
      <c r="ES4" s="373"/>
    </row>
    <row r="5" spans="1:149">
      <c r="A5" s="769"/>
      <c r="B5" s="769"/>
      <c r="C5" s="290" t="s">
        <v>1255</v>
      </c>
      <c r="D5" s="291">
        <v>143</v>
      </c>
      <c r="E5" s="292">
        <f>E4*D5</f>
        <v>0</v>
      </c>
      <c r="F5" s="292">
        <f>F4*D5</f>
        <v>0</v>
      </c>
      <c r="G5" s="292">
        <f>G4*D5</f>
        <v>0</v>
      </c>
      <c r="H5" s="292">
        <f>H4*D5</f>
        <v>0</v>
      </c>
      <c r="I5" s="293">
        <f t="shared" si="0"/>
        <v>0</v>
      </c>
      <c r="J5" s="292">
        <f>J4*D5</f>
        <v>0</v>
      </c>
      <c r="K5" s="292">
        <f>K4*D5</f>
        <v>0</v>
      </c>
      <c r="L5" s="292">
        <f>L4*D5</f>
        <v>0</v>
      </c>
      <c r="M5" s="292">
        <f>M4*D5</f>
        <v>0</v>
      </c>
      <c r="N5" s="292">
        <f>N4*D5</f>
        <v>0</v>
      </c>
      <c r="O5" s="292">
        <f>O4*D5</f>
        <v>0</v>
      </c>
      <c r="P5" s="292">
        <f>P4*D5</f>
        <v>2431</v>
      </c>
      <c r="Q5" s="292">
        <f>Q4*D5</f>
        <v>1287</v>
      </c>
      <c r="R5" s="292">
        <f>R4*D5</f>
        <v>1287</v>
      </c>
      <c r="S5" s="292">
        <f>S4*D5</f>
        <v>2717</v>
      </c>
      <c r="T5" s="292">
        <f>T4*D5</f>
        <v>286</v>
      </c>
      <c r="U5" s="292">
        <f>U4*D5</f>
        <v>572</v>
      </c>
      <c r="V5" s="293">
        <f t="shared" si="1"/>
        <v>8580</v>
      </c>
      <c r="W5" s="292">
        <f>W4*D5</f>
        <v>1144</v>
      </c>
      <c r="X5" s="292">
        <f>X4*D5</f>
        <v>572</v>
      </c>
      <c r="Y5" s="292">
        <f>Y4*D5</f>
        <v>715</v>
      </c>
      <c r="Z5" s="292">
        <f>Z4*D5</f>
        <v>715</v>
      </c>
      <c r="AA5" s="292">
        <f>AA4*D5</f>
        <v>715</v>
      </c>
      <c r="AB5" s="292">
        <f>AB4*D5</f>
        <v>858</v>
      </c>
      <c r="AC5" s="292">
        <f>AC4*D5</f>
        <v>715</v>
      </c>
      <c r="AD5" s="292">
        <f>AD4*D5</f>
        <v>715</v>
      </c>
      <c r="AE5" s="292">
        <f>AE4*D5</f>
        <v>1001</v>
      </c>
      <c r="AF5" s="292">
        <f>AF4*D5</f>
        <v>715</v>
      </c>
      <c r="AG5" s="292">
        <f>AG4*D5</f>
        <v>715</v>
      </c>
      <c r="AH5" s="292">
        <f>AH4*D5</f>
        <v>715</v>
      </c>
      <c r="AI5" s="293">
        <f t="shared" si="2"/>
        <v>9295</v>
      </c>
      <c r="AJ5" s="292">
        <f>AJ4*D5</f>
        <v>715</v>
      </c>
      <c r="AK5" s="292">
        <f>AK4*D5</f>
        <v>572</v>
      </c>
      <c r="AL5" s="292">
        <f>AL4*D5</f>
        <v>715</v>
      </c>
      <c r="AM5" s="292">
        <f>AM4*D5</f>
        <v>1001</v>
      </c>
      <c r="AN5" s="292">
        <f>AN4*D5</f>
        <v>715</v>
      </c>
      <c r="AO5" s="292">
        <f>AO4*D5</f>
        <v>715</v>
      </c>
      <c r="AP5" s="292">
        <f>AP4*D5</f>
        <v>715</v>
      </c>
      <c r="AQ5" s="292">
        <f>AQ4*D5</f>
        <v>572</v>
      </c>
      <c r="AR5" s="292">
        <f>AR4*D5</f>
        <v>1001</v>
      </c>
      <c r="AS5" s="292">
        <f>AS4*D5</f>
        <v>715</v>
      </c>
      <c r="AT5" s="292">
        <f>AT4*D5</f>
        <v>572</v>
      </c>
      <c r="AU5" s="292">
        <f>AU4*D5</f>
        <v>715</v>
      </c>
      <c r="AV5" s="293">
        <f t="shared" si="3"/>
        <v>8723</v>
      </c>
      <c r="AW5" s="292">
        <f>AW4*D5</f>
        <v>715</v>
      </c>
      <c r="AX5" s="292">
        <f>AX4*D5</f>
        <v>143</v>
      </c>
      <c r="AY5" s="292">
        <f>AY4*D5</f>
        <v>0</v>
      </c>
      <c r="AZ5" s="292">
        <f>AZ4*D5</f>
        <v>0</v>
      </c>
      <c r="BA5" s="292">
        <f>BA4*D5</f>
        <v>0</v>
      </c>
      <c r="BB5" s="292">
        <f>BB4*D5</f>
        <v>0</v>
      </c>
      <c r="BC5" s="292">
        <f>BC4*D5</f>
        <v>0</v>
      </c>
      <c r="BD5" s="292">
        <f>BD4*D5</f>
        <v>0</v>
      </c>
      <c r="BE5" s="292">
        <f>BE4*D5</f>
        <v>0</v>
      </c>
      <c r="BF5" s="292">
        <f>BF4*D5</f>
        <v>0</v>
      </c>
      <c r="BG5" s="292">
        <f>BG4*D5</f>
        <v>0</v>
      </c>
      <c r="BH5" s="292">
        <f>BH4*D5</f>
        <v>0</v>
      </c>
      <c r="BI5" s="293">
        <f t="shared" si="4"/>
        <v>858</v>
      </c>
      <c r="BJ5" s="355"/>
      <c r="BK5" s="355"/>
      <c r="BL5" s="355"/>
      <c r="BM5" s="355"/>
      <c r="BN5" s="355"/>
      <c r="BO5" s="355"/>
      <c r="BP5" s="374">
        <f t="shared" si="5"/>
        <v>27456</v>
      </c>
      <c r="BQ5" s="373"/>
      <c r="BR5" s="373"/>
      <c r="BS5" s="373"/>
      <c r="BT5" s="373"/>
      <c r="BU5" s="373"/>
      <c r="BV5" s="373"/>
      <c r="BW5" s="373"/>
      <c r="BX5" s="373"/>
      <c r="BY5" s="373"/>
      <c r="BZ5" s="373"/>
      <c r="CA5" s="373"/>
      <c r="CB5" s="373"/>
      <c r="CC5" s="373"/>
      <c r="CD5" s="373"/>
      <c r="CE5" s="373"/>
      <c r="CF5" s="373"/>
      <c r="CG5" s="373"/>
      <c r="CH5" s="373"/>
      <c r="CI5" s="373"/>
      <c r="CJ5" s="373"/>
      <c r="CK5" s="373"/>
      <c r="CL5" s="373"/>
      <c r="CM5" s="373"/>
      <c r="CN5" s="373"/>
      <c r="CO5" s="373"/>
      <c r="CP5" s="373"/>
      <c r="CQ5" s="373"/>
      <c r="CR5" s="373"/>
      <c r="CS5" s="373"/>
      <c r="CT5" s="373"/>
      <c r="CU5" s="373"/>
      <c r="CV5" s="373"/>
      <c r="CW5" s="373"/>
      <c r="CX5" s="373"/>
      <c r="CY5" s="373"/>
      <c r="CZ5" s="373"/>
      <c r="DA5" s="373"/>
      <c r="DB5" s="373"/>
      <c r="DC5" s="373"/>
      <c r="DD5" s="373"/>
      <c r="DE5" s="373"/>
      <c r="DF5" s="373"/>
      <c r="DG5" s="373"/>
      <c r="DH5" s="373"/>
      <c r="DI5" s="373"/>
      <c r="DJ5" s="373"/>
      <c r="DK5" s="373"/>
      <c r="DL5" s="373"/>
      <c r="DM5" s="373"/>
      <c r="DN5" s="373"/>
      <c r="DO5" s="373"/>
      <c r="DP5" s="373"/>
      <c r="DQ5" s="373"/>
      <c r="DR5" s="373"/>
      <c r="DS5" s="373"/>
      <c r="DT5" s="373"/>
      <c r="DU5" s="373"/>
      <c r="DV5" s="373"/>
      <c r="DW5" s="373"/>
      <c r="DX5" s="373"/>
      <c r="DY5" s="373"/>
      <c r="DZ5" s="373"/>
      <c r="EA5" s="373"/>
      <c r="EB5" s="373"/>
      <c r="EC5" s="373"/>
      <c r="ED5" s="373"/>
      <c r="EE5" s="373"/>
      <c r="EF5" s="373"/>
      <c r="EG5" s="373"/>
      <c r="EH5" s="373"/>
      <c r="EI5" s="373"/>
      <c r="EJ5" s="373"/>
      <c r="EK5" s="373"/>
      <c r="EL5" s="373"/>
      <c r="EM5" s="373"/>
      <c r="EN5" s="373"/>
      <c r="EO5" s="373"/>
      <c r="EP5" s="373"/>
      <c r="EQ5" s="373"/>
      <c r="ER5" s="373"/>
      <c r="ES5" s="373"/>
    </row>
    <row r="6" spans="1:149">
      <c r="A6" s="769"/>
      <c r="B6" s="769"/>
      <c r="C6" s="783" t="s">
        <v>1256</v>
      </c>
      <c r="D6" s="784"/>
      <c r="E6" s="293">
        <v>0</v>
      </c>
      <c r="F6" s="292">
        <v>0</v>
      </c>
      <c r="G6" s="292">
        <v>0</v>
      </c>
      <c r="H6" s="292">
        <v>0</v>
      </c>
      <c r="I6" s="323" t="e">
        <f>I7/I5*10000</f>
        <v>#DIV/0!</v>
      </c>
      <c r="J6" s="292">
        <v>0</v>
      </c>
      <c r="K6" s="292">
        <v>0</v>
      </c>
      <c r="L6" s="292">
        <v>0</v>
      </c>
      <c r="M6" s="292"/>
      <c r="N6" s="292"/>
      <c r="O6" s="292"/>
      <c r="P6" s="322">
        <v>11333</v>
      </c>
      <c r="Q6" s="322">
        <v>10800</v>
      </c>
      <c r="R6" s="322">
        <v>10925</v>
      </c>
      <c r="S6" s="322">
        <v>11940</v>
      </c>
      <c r="T6" s="322">
        <v>11760</v>
      </c>
      <c r="U6" s="322">
        <f t="shared" ref="U6:Z6" si="6">T6</f>
        <v>11760</v>
      </c>
      <c r="V6" s="323">
        <f>V7/V5*10000</f>
        <v>11426.766666666668</v>
      </c>
      <c r="W6" s="292">
        <f>U6+400</f>
        <v>12160</v>
      </c>
      <c r="X6" s="292">
        <f t="shared" si="6"/>
        <v>12160</v>
      </c>
      <c r="Y6" s="292">
        <f t="shared" si="6"/>
        <v>12160</v>
      </c>
      <c r="Z6" s="292">
        <f t="shared" si="6"/>
        <v>12160</v>
      </c>
      <c r="AA6" s="292">
        <f>Z6+200</f>
        <v>12360</v>
      </c>
      <c r="AB6" s="292">
        <f t="shared" ref="AB6:AD6" si="7">AA6</f>
        <v>12360</v>
      </c>
      <c r="AC6" s="292">
        <f t="shared" si="7"/>
        <v>12360</v>
      </c>
      <c r="AD6" s="292">
        <f t="shared" si="7"/>
        <v>12360</v>
      </c>
      <c r="AE6" s="292">
        <f>AD6+200</f>
        <v>12560</v>
      </c>
      <c r="AF6" s="292">
        <f t="shared" ref="AF6:AH6" si="8">AE6</f>
        <v>12560</v>
      </c>
      <c r="AG6" s="292">
        <f t="shared" si="8"/>
        <v>12560</v>
      </c>
      <c r="AH6" s="292">
        <f t="shared" si="8"/>
        <v>12560</v>
      </c>
      <c r="AI6" s="323">
        <f>AI7/AI5*10000</f>
        <v>12360.000000000002</v>
      </c>
      <c r="AJ6" s="292">
        <f>AH6</f>
        <v>12560</v>
      </c>
      <c r="AK6" s="292">
        <f t="shared" ref="AK6:AQ6" si="9">AJ6</f>
        <v>12560</v>
      </c>
      <c r="AL6" s="292">
        <f t="shared" si="9"/>
        <v>12560</v>
      </c>
      <c r="AM6" s="292">
        <f>AL6+200</f>
        <v>12760</v>
      </c>
      <c r="AN6" s="292">
        <f t="shared" si="9"/>
        <v>12760</v>
      </c>
      <c r="AO6" s="292">
        <f t="shared" si="9"/>
        <v>12760</v>
      </c>
      <c r="AP6" s="292">
        <f t="shared" si="9"/>
        <v>12760</v>
      </c>
      <c r="AQ6" s="292">
        <f t="shared" si="9"/>
        <v>12760</v>
      </c>
      <c r="AR6" s="292">
        <f>AQ6+200</f>
        <v>12960</v>
      </c>
      <c r="AS6" s="292">
        <f t="shared" ref="AS6:AU6" si="10">AR6</f>
        <v>12960</v>
      </c>
      <c r="AT6" s="292">
        <f t="shared" si="10"/>
        <v>12960</v>
      </c>
      <c r="AU6" s="292">
        <f t="shared" si="10"/>
        <v>12960</v>
      </c>
      <c r="AV6" s="323">
        <f>AV7/AV5*10000</f>
        <v>12782.950819672129</v>
      </c>
      <c r="AW6" s="292">
        <f>AU6+200</f>
        <v>13160</v>
      </c>
      <c r="AX6" s="292">
        <f t="shared" ref="AX6:BH6" si="11">AW6</f>
        <v>13160</v>
      </c>
      <c r="AY6" s="292">
        <f t="shared" si="11"/>
        <v>13160</v>
      </c>
      <c r="AZ6" s="292">
        <f t="shared" si="11"/>
        <v>13160</v>
      </c>
      <c r="BA6" s="292">
        <f t="shared" si="11"/>
        <v>13160</v>
      </c>
      <c r="BB6" s="292">
        <f t="shared" si="11"/>
        <v>13160</v>
      </c>
      <c r="BC6" s="292">
        <f t="shared" si="11"/>
        <v>13160</v>
      </c>
      <c r="BD6" s="292">
        <f t="shared" si="11"/>
        <v>13160</v>
      </c>
      <c r="BE6" s="292">
        <f t="shared" si="11"/>
        <v>13160</v>
      </c>
      <c r="BF6" s="292">
        <f t="shared" si="11"/>
        <v>13160</v>
      </c>
      <c r="BG6" s="292">
        <f t="shared" si="11"/>
        <v>13160</v>
      </c>
      <c r="BH6" s="292">
        <f t="shared" si="11"/>
        <v>13160</v>
      </c>
      <c r="BI6" s="323">
        <f>BI7/BI5*10000</f>
        <v>13160.000000000004</v>
      </c>
      <c r="BJ6" s="356"/>
      <c r="BK6" s="356"/>
      <c r="BL6" s="356"/>
      <c r="BM6" s="356"/>
      <c r="BN6" s="356"/>
      <c r="BO6" s="356"/>
      <c r="BP6" s="375">
        <f>BP7/BP5*10000</f>
        <v>12227.739583333334</v>
      </c>
      <c r="BQ6" s="373"/>
      <c r="BR6" s="373"/>
      <c r="BS6" s="373"/>
      <c r="BT6" s="373"/>
      <c r="BU6" s="373"/>
      <c r="BV6" s="373"/>
      <c r="BW6" s="373"/>
      <c r="BX6" s="373"/>
      <c r="BY6" s="373"/>
      <c r="BZ6" s="373"/>
      <c r="CA6" s="373"/>
      <c r="CB6" s="373"/>
      <c r="CC6" s="373"/>
      <c r="CD6" s="373"/>
      <c r="CE6" s="373"/>
      <c r="CF6" s="373"/>
      <c r="CG6" s="373"/>
      <c r="CH6" s="373"/>
      <c r="CI6" s="373"/>
      <c r="CJ6" s="373"/>
      <c r="CK6" s="373"/>
      <c r="CL6" s="373"/>
      <c r="CM6" s="373"/>
      <c r="CN6" s="373"/>
      <c r="CO6" s="373"/>
      <c r="CP6" s="373"/>
      <c r="CQ6" s="373"/>
      <c r="CR6" s="373"/>
      <c r="CS6" s="373"/>
      <c r="CT6" s="373"/>
      <c r="CU6" s="373"/>
      <c r="CV6" s="373"/>
      <c r="CW6" s="373"/>
      <c r="CX6" s="373"/>
      <c r="CY6" s="373"/>
      <c r="CZ6" s="373"/>
      <c r="DA6" s="373"/>
      <c r="DB6" s="373"/>
      <c r="DC6" s="373"/>
      <c r="DD6" s="373"/>
      <c r="DE6" s="373"/>
      <c r="DF6" s="373"/>
      <c r="DG6" s="373"/>
      <c r="DH6" s="373"/>
      <c r="DI6" s="373"/>
      <c r="DJ6" s="373"/>
      <c r="DK6" s="373"/>
      <c r="DL6" s="373"/>
      <c r="DM6" s="373"/>
      <c r="DN6" s="373"/>
      <c r="DO6" s="373"/>
      <c r="DP6" s="373"/>
      <c r="DQ6" s="373"/>
      <c r="DR6" s="373"/>
      <c r="DS6" s="373"/>
      <c r="DT6" s="373"/>
      <c r="DU6" s="373"/>
      <c r="DV6" s="373"/>
      <c r="DW6" s="373"/>
      <c r="DX6" s="373"/>
      <c r="DY6" s="373"/>
      <c r="DZ6" s="373"/>
      <c r="EA6" s="373"/>
      <c r="EB6" s="373"/>
      <c r="EC6" s="373"/>
      <c r="ED6" s="373"/>
      <c r="EE6" s="373"/>
      <c r="EF6" s="373"/>
      <c r="EG6" s="373"/>
      <c r="EH6" s="373"/>
      <c r="EI6" s="373"/>
      <c r="EJ6" s="373"/>
      <c r="EK6" s="373"/>
      <c r="EL6" s="373"/>
      <c r="EM6" s="373"/>
      <c r="EN6" s="373"/>
      <c r="EO6" s="373"/>
      <c r="EP6" s="373"/>
      <c r="EQ6" s="373"/>
      <c r="ER6" s="373"/>
      <c r="ES6" s="373"/>
    </row>
    <row r="7" spans="1:149">
      <c r="A7" s="769"/>
      <c r="B7" s="769"/>
      <c r="C7" s="769" t="s">
        <v>1257</v>
      </c>
      <c r="D7" s="769"/>
      <c r="E7" s="290">
        <f t="shared" ref="E7:H7" si="12">E5*E6/10000</f>
        <v>0</v>
      </c>
      <c r="F7" s="290">
        <f t="shared" si="12"/>
        <v>0</v>
      </c>
      <c r="G7" s="290">
        <f t="shared" si="12"/>
        <v>0</v>
      </c>
      <c r="H7" s="290">
        <f t="shared" si="12"/>
        <v>0</v>
      </c>
      <c r="I7" s="293">
        <f t="shared" si="0"/>
        <v>0</v>
      </c>
      <c r="J7" s="292">
        <f t="shared" ref="J7:N7" si="13">J5*J6/10000</f>
        <v>0</v>
      </c>
      <c r="K7" s="292">
        <f t="shared" si="13"/>
        <v>0</v>
      </c>
      <c r="L7" s="292">
        <f t="shared" si="13"/>
        <v>0</v>
      </c>
      <c r="M7" s="292">
        <f t="shared" si="13"/>
        <v>0</v>
      </c>
      <c r="N7" s="292">
        <f t="shared" si="13"/>
        <v>0</v>
      </c>
      <c r="O7" s="292">
        <f t="shared" ref="O7:U7" si="14">O5*O6/10000</f>
        <v>0</v>
      </c>
      <c r="P7" s="292">
        <f t="shared" si="14"/>
        <v>2755.0522999999998</v>
      </c>
      <c r="Q7" s="292">
        <f t="shared" si="14"/>
        <v>1389.96</v>
      </c>
      <c r="R7" s="292">
        <f t="shared" si="14"/>
        <v>1406.0474999999999</v>
      </c>
      <c r="S7" s="292">
        <f t="shared" si="14"/>
        <v>3244.098</v>
      </c>
      <c r="T7" s="292">
        <f t="shared" si="14"/>
        <v>336.33600000000001</v>
      </c>
      <c r="U7" s="292">
        <f t="shared" si="14"/>
        <v>672.67200000000003</v>
      </c>
      <c r="V7" s="293">
        <f t="shared" si="1"/>
        <v>9804.1658000000007</v>
      </c>
      <c r="W7" s="292">
        <f t="shared" ref="W7:Y7" si="15">W5*W6/10000</f>
        <v>1391.104</v>
      </c>
      <c r="X7" s="292">
        <f t="shared" si="15"/>
        <v>695.55200000000002</v>
      </c>
      <c r="Y7" s="292">
        <f t="shared" si="15"/>
        <v>869.44</v>
      </c>
      <c r="Z7" s="292">
        <f t="shared" ref="Z7:AH7" si="16">Z5*Z6/10000</f>
        <v>869.44</v>
      </c>
      <c r="AA7" s="292">
        <f t="shared" si="16"/>
        <v>883.74</v>
      </c>
      <c r="AB7" s="292">
        <f t="shared" si="16"/>
        <v>1060.4880000000001</v>
      </c>
      <c r="AC7" s="292">
        <f t="shared" si="16"/>
        <v>883.74</v>
      </c>
      <c r="AD7" s="292">
        <f t="shared" si="16"/>
        <v>883.74</v>
      </c>
      <c r="AE7" s="292">
        <f t="shared" si="16"/>
        <v>1257.2560000000001</v>
      </c>
      <c r="AF7" s="292">
        <f t="shared" si="16"/>
        <v>898.04</v>
      </c>
      <c r="AG7" s="292">
        <f t="shared" si="16"/>
        <v>898.04</v>
      </c>
      <c r="AH7" s="292">
        <f t="shared" si="16"/>
        <v>898.04</v>
      </c>
      <c r="AI7" s="347">
        <f t="shared" si="2"/>
        <v>11488.620000000003</v>
      </c>
      <c r="AJ7" s="292">
        <f>AJ5*AJ6/10000</f>
        <v>898.04</v>
      </c>
      <c r="AK7" s="292">
        <f t="shared" ref="AK7:AU7" si="17">AK5*AK6/10000</f>
        <v>718.43200000000002</v>
      </c>
      <c r="AL7" s="292">
        <f t="shared" si="17"/>
        <v>898.04</v>
      </c>
      <c r="AM7" s="292">
        <f t="shared" si="17"/>
        <v>1277.2760000000001</v>
      </c>
      <c r="AN7" s="292">
        <f t="shared" si="17"/>
        <v>912.34</v>
      </c>
      <c r="AO7" s="292">
        <f t="shared" si="17"/>
        <v>912.34</v>
      </c>
      <c r="AP7" s="292">
        <f t="shared" si="17"/>
        <v>912.34</v>
      </c>
      <c r="AQ7" s="292">
        <f t="shared" si="17"/>
        <v>729.87199999999996</v>
      </c>
      <c r="AR7" s="292">
        <f t="shared" si="17"/>
        <v>1297.296</v>
      </c>
      <c r="AS7" s="292">
        <f t="shared" si="17"/>
        <v>926.64</v>
      </c>
      <c r="AT7" s="292">
        <f t="shared" si="17"/>
        <v>741.31200000000001</v>
      </c>
      <c r="AU7" s="292">
        <f t="shared" si="17"/>
        <v>926.64</v>
      </c>
      <c r="AV7" s="347">
        <f t="shared" si="3"/>
        <v>11150.567999999999</v>
      </c>
      <c r="AW7" s="292">
        <f>AW5*AW6/10000</f>
        <v>940.94</v>
      </c>
      <c r="AX7" s="292">
        <f t="shared" ref="AX7:BH7" si="18">AX5*AX6/10000</f>
        <v>188.18799999999999</v>
      </c>
      <c r="AY7" s="292">
        <f t="shared" si="18"/>
        <v>0</v>
      </c>
      <c r="AZ7" s="292">
        <f t="shared" si="18"/>
        <v>0</v>
      </c>
      <c r="BA7" s="292">
        <f t="shared" si="18"/>
        <v>0</v>
      </c>
      <c r="BB7" s="292">
        <f t="shared" si="18"/>
        <v>0</v>
      </c>
      <c r="BC7" s="292">
        <f t="shared" si="18"/>
        <v>0</v>
      </c>
      <c r="BD7" s="292">
        <f t="shared" si="18"/>
        <v>0</v>
      </c>
      <c r="BE7" s="292">
        <f t="shared" si="18"/>
        <v>0</v>
      </c>
      <c r="BF7" s="292">
        <f t="shared" si="18"/>
        <v>0</v>
      </c>
      <c r="BG7" s="292">
        <f t="shared" si="18"/>
        <v>0</v>
      </c>
      <c r="BH7" s="292">
        <f t="shared" si="18"/>
        <v>0</v>
      </c>
      <c r="BI7" s="293">
        <f t="shared" si="4"/>
        <v>1129.1280000000002</v>
      </c>
      <c r="BJ7" s="355"/>
      <c r="BK7" s="355"/>
      <c r="BL7" s="355"/>
      <c r="BM7" s="355"/>
      <c r="BN7" s="355"/>
      <c r="BO7" s="355"/>
      <c r="BP7" s="374">
        <f t="shared" si="5"/>
        <v>33572.481800000001</v>
      </c>
      <c r="BQ7" s="373"/>
      <c r="BR7" s="373"/>
      <c r="BS7" s="373"/>
      <c r="BT7" s="373"/>
      <c r="BU7" s="373"/>
      <c r="BV7" s="373"/>
      <c r="BW7" s="373"/>
      <c r="BX7" s="373"/>
      <c r="BY7" s="373"/>
      <c r="BZ7" s="373"/>
      <c r="CA7" s="373"/>
      <c r="CB7" s="373"/>
      <c r="CC7" s="373"/>
      <c r="CD7" s="373"/>
      <c r="CE7" s="373"/>
      <c r="CF7" s="373"/>
      <c r="CG7" s="373"/>
      <c r="CH7" s="373"/>
      <c r="CI7" s="373"/>
      <c r="CJ7" s="373"/>
      <c r="CK7" s="373"/>
      <c r="CL7" s="373"/>
      <c r="CM7" s="373"/>
      <c r="CN7" s="373"/>
      <c r="CO7" s="373"/>
      <c r="CP7" s="373"/>
      <c r="CQ7" s="373"/>
      <c r="CR7" s="373"/>
      <c r="CS7" s="373"/>
      <c r="CT7" s="373"/>
      <c r="CU7" s="373"/>
      <c r="CV7" s="373"/>
      <c r="CW7" s="373"/>
      <c r="CX7" s="373"/>
      <c r="CY7" s="373"/>
      <c r="CZ7" s="373"/>
      <c r="DA7" s="373"/>
      <c r="DB7" s="373"/>
      <c r="DC7" s="373"/>
      <c r="DD7" s="373"/>
      <c r="DE7" s="373"/>
      <c r="DF7" s="373"/>
      <c r="DG7" s="373"/>
      <c r="DH7" s="373"/>
      <c r="DI7" s="373"/>
      <c r="DJ7" s="373"/>
      <c r="DK7" s="373"/>
      <c r="DL7" s="373"/>
      <c r="DM7" s="373"/>
      <c r="DN7" s="373"/>
      <c r="DO7" s="373"/>
      <c r="DP7" s="373"/>
      <c r="DQ7" s="373"/>
      <c r="DR7" s="373"/>
      <c r="DS7" s="373"/>
      <c r="DT7" s="373"/>
      <c r="DU7" s="373"/>
      <c r="DV7" s="373"/>
      <c r="DW7" s="373"/>
      <c r="DX7" s="373"/>
      <c r="DY7" s="373"/>
      <c r="DZ7" s="373"/>
      <c r="EA7" s="373"/>
      <c r="EB7" s="373"/>
      <c r="EC7" s="373"/>
      <c r="ED7" s="373"/>
      <c r="EE7" s="373"/>
      <c r="EF7" s="373"/>
      <c r="EG7" s="373"/>
      <c r="EH7" s="373"/>
      <c r="EI7" s="373"/>
      <c r="EJ7" s="373"/>
      <c r="EK7" s="373"/>
      <c r="EL7" s="373"/>
      <c r="EM7" s="373"/>
      <c r="EN7" s="373"/>
      <c r="EO7" s="373"/>
      <c r="EP7" s="373"/>
      <c r="EQ7" s="373"/>
      <c r="ER7" s="373"/>
      <c r="ES7" s="373"/>
    </row>
    <row r="8" spans="1:149">
      <c r="A8" s="769"/>
      <c r="B8" s="769" t="s">
        <v>1258</v>
      </c>
      <c r="C8" s="290" t="s">
        <v>1254</v>
      </c>
      <c r="D8" s="291">
        <v>192</v>
      </c>
      <c r="E8" s="292">
        <v>0</v>
      </c>
      <c r="F8" s="292">
        <v>0</v>
      </c>
      <c r="G8" s="292">
        <v>0</v>
      </c>
      <c r="H8" s="292">
        <v>0</v>
      </c>
      <c r="I8" s="293">
        <f t="shared" si="0"/>
        <v>0</v>
      </c>
      <c r="J8" s="292">
        <v>0</v>
      </c>
      <c r="K8" s="292">
        <v>0</v>
      </c>
      <c r="L8" s="292">
        <v>0</v>
      </c>
      <c r="M8" s="292">
        <v>0</v>
      </c>
      <c r="N8" s="292"/>
      <c r="O8" s="292"/>
      <c r="P8" s="322">
        <v>10</v>
      </c>
      <c r="Q8" s="322">
        <v>5</v>
      </c>
      <c r="R8" s="322">
        <v>8</v>
      </c>
      <c r="S8" s="322">
        <v>10</v>
      </c>
      <c r="T8" s="322">
        <v>9</v>
      </c>
      <c r="U8" s="322">
        <v>3</v>
      </c>
      <c r="V8" s="293">
        <f t="shared" si="1"/>
        <v>45</v>
      </c>
      <c r="W8" s="292">
        <v>3</v>
      </c>
      <c r="X8" s="292">
        <v>4</v>
      </c>
      <c r="Y8" s="292">
        <v>5</v>
      </c>
      <c r="Z8" s="292">
        <v>5</v>
      </c>
      <c r="AA8" s="292">
        <v>4</v>
      </c>
      <c r="AB8" s="292">
        <v>4</v>
      </c>
      <c r="AC8" s="292">
        <v>4</v>
      </c>
      <c r="AD8" s="292">
        <v>4</v>
      </c>
      <c r="AE8" s="292">
        <v>5</v>
      </c>
      <c r="AF8" s="292">
        <v>5</v>
      </c>
      <c r="AG8" s="292">
        <v>4</v>
      </c>
      <c r="AH8" s="292">
        <v>5</v>
      </c>
      <c r="AI8" s="293">
        <f t="shared" si="2"/>
        <v>52</v>
      </c>
      <c r="AJ8" s="292">
        <v>4</v>
      </c>
      <c r="AK8" s="292">
        <v>4</v>
      </c>
      <c r="AL8" s="292">
        <v>4</v>
      </c>
      <c r="AM8" s="292">
        <v>3</v>
      </c>
      <c r="AN8" s="292">
        <v>5</v>
      </c>
      <c r="AO8" s="292">
        <v>5</v>
      </c>
      <c r="AP8" s="292">
        <v>5</v>
      </c>
      <c r="AQ8" s="292">
        <v>5</v>
      </c>
      <c r="AR8" s="292">
        <v>5</v>
      </c>
      <c r="AS8" s="292">
        <v>5</v>
      </c>
      <c r="AT8" s="292">
        <v>5</v>
      </c>
      <c r="AU8" s="292">
        <v>5</v>
      </c>
      <c r="AV8" s="293">
        <f t="shared" si="3"/>
        <v>55</v>
      </c>
      <c r="AW8" s="292">
        <v>5</v>
      </c>
      <c r="AX8" s="292">
        <v>5</v>
      </c>
      <c r="AY8" s="292">
        <v>5</v>
      </c>
      <c r="AZ8" s="292">
        <v>5</v>
      </c>
      <c r="BA8" s="292">
        <v>5</v>
      </c>
      <c r="BB8" s="292">
        <v>5</v>
      </c>
      <c r="BC8" s="292">
        <v>5</v>
      </c>
      <c r="BD8" s="292">
        <v>5</v>
      </c>
      <c r="BE8" s="292">
        <v>0</v>
      </c>
      <c r="BF8" s="292">
        <v>0</v>
      </c>
      <c r="BG8" s="292"/>
      <c r="BH8" s="292"/>
      <c r="BI8" s="293">
        <f t="shared" si="4"/>
        <v>40</v>
      </c>
      <c r="BJ8" s="354"/>
      <c r="BK8" s="354"/>
      <c r="BL8" s="354"/>
      <c r="BM8" s="354"/>
      <c r="BN8" s="354"/>
      <c r="BO8" s="354"/>
      <c r="BP8" s="372">
        <f t="shared" si="5"/>
        <v>192</v>
      </c>
      <c r="BQ8" s="373">
        <f>BP8-D8</f>
        <v>0</v>
      </c>
      <c r="BR8" s="373"/>
      <c r="BS8" s="373"/>
      <c r="BT8" s="373"/>
      <c r="BU8" s="373"/>
      <c r="BV8" s="373"/>
      <c r="BW8" s="373"/>
      <c r="BX8" s="373"/>
      <c r="BY8" s="373"/>
      <c r="BZ8" s="373"/>
      <c r="CA8" s="373"/>
      <c r="CB8" s="373"/>
      <c r="CC8" s="373"/>
      <c r="CD8" s="373"/>
      <c r="CE8" s="373"/>
      <c r="CF8" s="373"/>
      <c r="CG8" s="373"/>
      <c r="CH8" s="373"/>
      <c r="CI8" s="373"/>
      <c r="CJ8" s="373"/>
      <c r="CK8" s="373"/>
      <c r="CL8" s="373"/>
      <c r="CM8" s="373"/>
      <c r="CN8" s="373"/>
      <c r="CO8" s="373"/>
      <c r="CP8" s="373"/>
      <c r="CQ8" s="373"/>
      <c r="CR8" s="373"/>
      <c r="CS8" s="373"/>
      <c r="CT8" s="373"/>
      <c r="CU8" s="373"/>
      <c r="CV8" s="373"/>
      <c r="CW8" s="373"/>
      <c r="CX8" s="373"/>
      <c r="CY8" s="373"/>
      <c r="CZ8" s="373"/>
      <c r="DA8" s="373"/>
      <c r="DB8" s="373"/>
      <c r="DC8" s="373"/>
      <c r="DD8" s="373"/>
      <c r="DE8" s="373"/>
      <c r="DF8" s="373"/>
      <c r="DG8" s="373"/>
      <c r="DH8" s="373"/>
      <c r="DI8" s="373"/>
      <c r="DJ8" s="373"/>
      <c r="DK8" s="373"/>
      <c r="DL8" s="373"/>
      <c r="DM8" s="373"/>
      <c r="DN8" s="373"/>
      <c r="DO8" s="373"/>
      <c r="DP8" s="373"/>
      <c r="DQ8" s="373"/>
      <c r="DR8" s="373"/>
      <c r="DS8" s="373"/>
      <c r="DT8" s="373"/>
      <c r="DU8" s="373"/>
      <c r="DV8" s="373"/>
      <c r="DW8" s="373"/>
      <c r="DX8" s="373"/>
      <c r="DY8" s="373"/>
      <c r="DZ8" s="373"/>
      <c r="EA8" s="373"/>
      <c r="EB8" s="373"/>
      <c r="EC8" s="373"/>
      <c r="ED8" s="373"/>
      <c r="EE8" s="373"/>
      <c r="EF8" s="373"/>
      <c r="EG8" s="373"/>
      <c r="EH8" s="373"/>
      <c r="EI8" s="373"/>
      <c r="EJ8" s="373"/>
      <c r="EK8" s="373"/>
      <c r="EL8" s="373"/>
      <c r="EM8" s="373"/>
      <c r="EN8" s="373"/>
      <c r="EO8" s="373"/>
      <c r="EP8" s="373"/>
      <c r="EQ8" s="373"/>
      <c r="ER8" s="373"/>
      <c r="ES8" s="373"/>
    </row>
    <row r="9" spans="1:149">
      <c r="A9" s="769"/>
      <c r="B9" s="769"/>
      <c r="C9" s="290" t="s">
        <v>1255</v>
      </c>
      <c r="D9" s="291">
        <v>138.59</v>
      </c>
      <c r="E9" s="292">
        <f>E8*D9</f>
        <v>0</v>
      </c>
      <c r="F9" s="292">
        <f>F8*D9</f>
        <v>0</v>
      </c>
      <c r="G9" s="292">
        <f>G8*D9</f>
        <v>0</v>
      </c>
      <c r="H9" s="292">
        <f>H8*D9</f>
        <v>0</v>
      </c>
      <c r="I9" s="293">
        <f t="shared" si="0"/>
        <v>0</v>
      </c>
      <c r="J9" s="292">
        <f>J8*D9</f>
        <v>0</v>
      </c>
      <c r="K9" s="292">
        <f>K8*D9</f>
        <v>0</v>
      </c>
      <c r="L9" s="292">
        <f>L8*D9</f>
        <v>0</v>
      </c>
      <c r="M9" s="292">
        <f>M8*D9</f>
        <v>0</v>
      </c>
      <c r="N9" s="292">
        <f>N8*D9</f>
        <v>0</v>
      </c>
      <c r="O9" s="292">
        <f>O8*D9</f>
        <v>0</v>
      </c>
      <c r="P9" s="292">
        <f>P8*D9</f>
        <v>1385.9</v>
      </c>
      <c r="Q9" s="292">
        <f>Q8*D9</f>
        <v>692.95</v>
      </c>
      <c r="R9" s="292">
        <f>R8*D9</f>
        <v>1108.72</v>
      </c>
      <c r="S9" s="292">
        <f>S8*D9</f>
        <v>1385.9</v>
      </c>
      <c r="T9" s="292">
        <f>T8*D9</f>
        <v>1247.31</v>
      </c>
      <c r="U9" s="292">
        <f>U8*D9</f>
        <v>415.77</v>
      </c>
      <c r="V9" s="293">
        <f t="shared" si="1"/>
        <v>6236.5500000000011</v>
      </c>
      <c r="W9" s="292">
        <f>W8*D9</f>
        <v>415.77</v>
      </c>
      <c r="X9" s="292">
        <f>X8*D9</f>
        <v>554.36</v>
      </c>
      <c r="Y9" s="292">
        <f>Y8*D9</f>
        <v>692.95</v>
      </c>
      <c r="Z9" s="292">
        <f>Z8*D9</f>
        <v>692.95</v>
      </c>
      <c r="AA9" s="292">
        <f>AA8*D9</f>
        <v>554.36</v>
      </c>
      <c r="AB9" s="292">
        <f>AB8*D9</f>
        <v>554.36</v>
      </c>
      <c r="AC9" s="292">
        <f>AC8*D9</f>
        <v>554.36</v>
      </c>
      <c r="AD9" s="292">
        <f>AD8*D9</f>
        <v>554.36</v>
      </c>
      <c r="AE9" s="292">
        <f>AE8*D9</f>
        <v>692.95</v>
      </c>
      <c r="AF9" s="292">
        <f>AF8*D9</f>
        <v>692.95</v>
      </c>
      <c r="AG9" s="292">
        <f>AG8*D9</f>
        <v>554.36</v>
      </c>
      <c r="AH9" s="292">
        <f>AH8*D9</f>
        <v>692.95</v>
      </c>
      <c r="AI9" s="293">
        <f t="shared" si="2"/>
        <v>7206.6799999999994</v>
      </c>
      <c r="AJ9" s="292">
        <f>AJ8*D9</f>
        <v>554.36</v>
      </c>
      <c r="AK9" s="292">
        <f>AK8*D9</f>
        <v>554.36</v>
      </c>
      <c r="AL9" s="292">
        <f>AL8*D9</f>
        <v>554.36</v>
      </c>
      <c r="AM9" s="292">
        <f>AM8*D9</f>
        <v>415.77</v>
      </c>
      <c r="AN9" s="292">
        <f>AN8*D9</f>
        <v>692.95</v>
      </c>
      <c r="AO9" s="292">
        <f>AO8*D9</f>
        <v>692.95</v>
      </c>
      <c r="AP9" s="292">
        <f>AP8*D9</f>
        <v>692.95</v>
      </c>
      <c r="AQ9" s="292">
        <f>AQ8*D9</f>
        <v>692.95</v>
      </c>
      <c r="AR9" s="292">
        <f>AR8*D9</f>
        <v>692.95</v>
      </c>
      <c r="AS9" s="292">
        <f>AS8*D9</f>
        <v>692.95</v>
      </c>
      <c r="AT9" s="292">
        <f>AT8*D9</f>
        <v>692.95</v>
      </c>
      <c r="AU9" s="292">
        <f>AU8*D9</f>
        <v>692.95</v>
      </c>
      <c r="AV9" s="293">
        <f t="shared" si="3"/>
        <v>7622.4499999999989</v>
      </c>
      <c r="AW9" s="292">
        <f>AW8*D9</f>
        <v>692.95</v>
      </c>
      <c r="AX9" s="292">
        <f>AX8*D9</f>
        <v>692.95</v>
      </c>
      <c r="AY9" s="292">
        <f>AY8*D9</f>
        <v>692.95</v>
      </c>
      <c r="AZ9" s="292">
        <f>AZ8*D9</f>
        <v>692.95</v>
      </c>
      <c r="BA9" s="292">
        <f>BA8*D9</f>
        <v>692.95</v>
      </c>
      <c r="BB9" s="292">
        <f>BB8*D9</f>
        <v>692.95</v>
      </c>
      <c r="BC9" s="292">
        <f>BC8*D9</f>
        <v>692.95</v>
      </c>
      <c r="BD9" s="292">
        <f>BD8*D9</f>
        <v>692.95</v>
      </c>
      <c r="BE9" s="292">
        <f>BE8*D9</f>
        <v>0</v>
      </c>
      <c r="BF9" s="292">
        <f>BF8*D9</f>
        <v>0</v>
      </c>
      <c r="BG9" s="292">
        <f>BG8*D9</f>
        <v>0</v>
      </c>
      <c r="BH9" s="292">
        <f>BH8*D9</f>
        <v>0</v>
      </c>
      <c r="BI9" s="293">
        <f t="shared" si="4"/>
        <v>5543.5999999999995</v>
      </c>
      <c r="BJ9" s="355"/>
      <c r="BK9" s="355"/>
      <c r="BL9" s="355"/>
      <c r="BM9" s="355"/>
      <c r="BN9" s="355"/>
      <c r="BO9" s="355"/>
      <c r="BP9" s="374">
        <f t="shared" si="5"/>
        <v>26609.279999999999</v>
      </c>
      <c r="BQ9" s="373"/>
      <c r="BR9" s="373"/>
      <c r="BS9" s="373"/>
      <c r="BT9" s="373"/>
      <c r="BU9" s="373"/>
      <c r="BV9" s="373"/>
      <c r="BW9" s="373"/>
      <c r="BX9" s="373"/>
      <c r="BY9" s="373"/>
      <c r="BZ9" s="373"/>
      <c r="CA9" s="373"/>
      <c r="CB9" s="373"/>
      <c r="CC9" s="373"/>
      <c r="CD9" s="373"/>
      <c r="CE9" s="373"/>
      <c r="CF9" s="373"/>
      <c r="CG9" s="373"/>
      <c r="CH9" s="373"/>
      <c r="CI9" s="373"/>
      <c r="CJ9" s="373"/>
      <c r="CK9" s="373"/>
      <c r="CL9" s="373"/>
      <c r="CM9" s="373"/>
      <c r="CN9" s="373"/>
      <c r="CO9" s="373"/>
      <c r="CP9" s="373"/>
      <c r="CQ9" s="373"/>
      <c r="CR9" s="373"/>
      <c r="CS9" s="373"/>
      <c r="CT9" s="373"/>
      <c r="CU9" s="373"/>
      <c r="CV9" s="373"/>
      <c r="CW9" s="373"/>
      <c r="CX9" s="373"/>
      <c r="CY9" s="373"/>
      <c r="CZ9" s="373"/>
      <c r="DA9" s="373"/>
      <c r="DB9" s="373"/>
      <c r="DC9" s="373"/>
      <c r="DD9" s="373"/>
      <c r="DE9" s="373"/>
      <c r="DF9" s="373"/>
      <c r="DG9" s="373"/>
      <c r="DH9" s="373"/>
      <c r="DI9" s="373"/>
      <c r="DJ9" s="373"/>
      <c r="DK9" s="373"/>
      <c r="DL9" s="373"/>
      <c r="DM9" s="373"/>
      <c r="DN9" s="373"/>
      <c r="DO9" s="373"/>
      <c r="DP9" s="373"/>
      <c r="DQ9" s="373"/>
      <c r="DR9" s="373"/>
      <c r="DS9" s="373"/>
      <c r="DT9" s="373"/>
      <c r="DU9" s="373"/>
      <c r="DV9" s="373"/>
      <c r="DW9" s="373"/>
      <c r="DX9" s="373"/>
      <c r="DY9" s="373"/>
      <c r="DZ9" s="373"/>
      <c r="EA9" s="373"/>
      <c r="EB9" s="373"/>
      <c r="EC9" s="373"/>
      <c r="ED9" s="373"/>
      <c r="EE9" s="373"/>
      <c r="EF9" s="373"/>
      <c r="EG9" s="373"/>
      <c r="EH9" s="373"/>
      <c r="EI9" s="373"/>
      <c r="EJ9" s="373"/>
      <c r="EK9" s="373"/>
      <c r="EL9" s="373"/>
      <c r="EM9" s="373"/>
      <c r="EN9" s="373"/>
      <c r="EO9" s="373"/>
      <c r="EP9" s="373"/>
      <c r="EQ9" s="373"/>
      <c r="ER9" s="373"/>
      <c r="ES9" s="373"/>
    </row>
    <row r="10" spans="1:149">
      <c r="A10" s="769"/>
      <c r="B10" s="769"/>
      <c r="C10" s="783" t="s">
        <v>1256</v>
      </c>
      <c r="D10" s="784"/>
      <c r="E10" s="293">
        <v>0</v>
      </c>
      <c r="F10" s="292">
        <v>0</v>
      </c>
      <c r="G10" s="292">
        <v>0</v>
      </c>
      <c r="H10" s="292">
        <v>0</v>
      </c>
      <c r="I10" s="323" t="e">
        <f>I11/I9*10000</f>
        <v>#DIV/0!</v>
      </c>
      <c r="J10" s="292">
        <f>E10</f>
        <v>0</v>
      </c>
      <c r="K10" s="292">
        <f>J10</f>
        <v>0</v>
      </c>
      <c r="L10" s="292">
        <v>0</v>
      </c>
      <c r="M10" s="292"/>
      <c r="N10" s="292"/>
      <c r="O10" s="292"/>
      <c r="P10" s="322">
        <v>10250</v>
      </c>
      <c r="Q10" s="322">
        <f t="shared" ref="Q10:U10" si="19">P10</f>
        <v>10250</v>
      </c>
      <c r="R10" s="322">
        <f>Q10+200</f>
        <v>10450</v>
      </c>
      <c r="S10" s="322">
        <f t="shared" si="19"/>
        <v>10450</v>
      </c>
      <c r="T10" s="322">
        <f>S10+300</f>
        <v>10750</v>
      </c>
      <c r="U10" s="322">
        <f t="shared" si="19"/>
        <v>10750</v>
      </c>
      <c r="V10" s="323">
        <f>V11/V9*10000</f>
        <v>10463.333333333334</v>
      </c>
      <c r="W10" s="292">
        <f>U10+500</f>
        <v>11250</v>
      </c>
      <c r="X10" s="292">
        <f t="shared" ref="X10:Z10" si="20">W10</f>
        <v>11250</v>
      </c>
      <c r="Y10" s="292">
        <f t="shared" si="20"/>
        <v>11250</v>
      </c>
      <c r="Z10" s="292">
        <f t="shared" si="20"/>
        <v>11250</v>
      </c>
      <c r="AA10" s="292">
        <f>Z10+200</f>
        <v>11450</v>
      </c>
      <c r="AB10" s="292">
        <f t="shared" ref="AB10:AD10" si="21">AA10</f>
        <v>11450</v>
      </c>
      <c r="AC10" s="292">
        <f t="shared" si="21"/>
        <v>11450</v>
      </c>
      <c r="AD10" s="292">
        <f t="shared" si="21"/>
        <v>11450</v>
      </c>
      <c r="AE10" s="292">
        <f>AD10+200</f>
        <v>11650</v>
      </c>
      <c r="AF10" s="292">
        <f t="shared" ref="AF10:AH10" si="22">AE10</f>
        <v>11650</v>
      </c>
      <c r="AG10" s="292">
        <f t="shared" si="22"/>
        <v>11650</v>
      </c>
      <c r="AH10" s="292">
        <f t="shared" si="22"/>
        <v>11650</v>
      </c>
      <c r="AI10" s="323">
        <f>AI11/AI9*10000</f>
        <v>11457.692307692309</v>
      </c>
      <c r="AJ10" s="292">
        <f>AH10</f>
        <v>11650</v>
      </c>
      <c r="AK10" s="292">
        <f t="shared" ref="AK10:AQ10" si="23">AJ10</f>
        <v>11650</v>
      </c>
      <c r="AL10" s="292">
        <f t="shared" si="23"/>
        <v>11650</v>
      </c>
      <c r="AM10" s="292">
        <f>AL10+200</f>
        <v>11850</v>
      </c>
      <c r="AN10" s="292">
        <f t="shared" si="23"/>
        <v>11850</v>
      </c>
      <c r="AO10" s="292">
        <f t="shared" si="23"/>
        <v>11850</v>
      </c>
      <c r="AP10" s="292">
        <f t="shared" si="23"/>
        <v>11850</v>
      </c>
      <c r="AQ10" s="292">
        <f t="shared" si="23"/>
        <v>11850</v>
      </c>
      <c r="AR10" s="292">
        <f>AQ10+200</f>
        <v>12050</v>
      </c>
      <c r="AS10" s="292">
        <f t="shared" ref="AS10:AU10" si="24">AR10</f>
        <v>12050</v>
      </c>
      <c r="AT10" s="292">
        <f t="shared" si="24"/>
        <v>12050</v>
      </c>
      <c r="AU10" s="292">
        <f t="shared" si="24"/>
        <v>12050</v>
      </c>
      <c r="AV10" s="323">
        <f>AV11/AV9*10000</f>
        <v>11879.09090909091</v>
      </c>
      <c r="AW10" s="292">
        <f>AU10+200</f>
        <v>12250</v>
      </c>
      <c r="AX10" s="292">
        <f t="shared" ref="AX10:BH10" si="25">AW10</f>
        <v>12250</v>
      </c>
      <c r="AY10" s="292">
        <f t="shared" si="25"/>
        <v>12250</v>
      </c>
      <c r="AZ10" s="292">
        <f t="shared" si="25"/>
        <v>12250</v>
      </c>
      <c r="BA10" s="292">
        <f t="shared" si="25"/>
        <v>12250</v>
      </c>
      <c r="BB10" s="292">
        <f t="shared" si="25"/>
        <v>12250</v>
      </c>
      <c r="BC10" s="292">
        <f t="shared" si="25"/>
        <v>12250</v>
      </c>
      <c r="BD10" s="292">
        <f t="shared" si="25"/>
        <v>12250</v>
      </c>
      <c r="BE10" s="292">
        <f t="shared" si="25"/>
        <v>12250</v>
      </c>
      <c r="BF10" s="292">
        <f t="shared" si="25"/>
        <v>12250</v>
      </c>
      <c r="BG10" s="292">
        <f t="shared" si="25"/>
        <v>12250</v>
      </c>
      <c r="BH10" s="292">
        <f t="shared" si="25"/>
        <v>12250</v>
      </c>
      <c r="BI10" s="323">
        <f>BI11/BI9*10000</f>
        <v>12250.000000000005</v>
      </c>
      <c r="BJ10" s="356"/>
      <c r="BK10" s="356"/>
      <c r="BL10" s="356"/>
      <c r="BM10" s="356"/>
      <c r="BN10" s="356"/>
      <c r="BO10" s="356"/>
      <c r="BP10" s="375">
        <f>BP11/BP9*10000</f>
        <v>11510.416666666668</v>
      </c>
      <c r="BQ10" s="373"/>
      <c r="BR10" s="373"/>
      <c r="BS10" s="373"/>
      <c r="BT10" s="373"/>
      <c r="BU10" s="373"/>
      <c r="BV10" s="373"/>
      <c r="BW10" s="373"/>
      <c r="BX10" s="373"/>
      <c r="BY10" s="373"/>
      <c r="BZ10" s="373"/>
      <c r="CA10" s="373"/>
      <c r="CB10" s="373"/>
      <c r="CC10" s="373"/>
      <c r="CD10" s="373"/>
      <c r="CE10" s="373"/>
      <c r="CF10" s="373"/>
      <c r="CG10" s="373"/>
      <c r="CH10" s="373"/>
      <c r="CI10" s="373"/>
      <c r="CJ10" s="373"/>
      <c r="CK10" s="373"/>
      <c r="CL10" s="373"/>
      <c r="CM10" s="373"/>
      <c r="CN10" s="373"/>
      <c r="CO10" s="373"/>
      <c r="CP10" s="373"/>
      <c r="CQ10" s="373"/>
      <c r="CR10" s="373"/>
      <c r="CS10" s="373"/>
      <c r="CT10" s="373"/>
      <c r="CU10" s="373"/>
      <c r="CV10" s="373"/>
      <c r="CW10" s="373"/>
      <c r="CX10" s="373"/>
      <c r="CY10" s="373"/>
      <c r="CZ10" s="373"/>
      <c r="DA10" s="373"/>
      <c r="DB10" s="373"/>
      <c r="DC10" s="373"/>
      <c r="DD10" s="373"/>
      <c r="DE10" s="373"/>
      <c r="DF10" s="373"/>
      <c r="DG10" s="373"/>
      <c r="DH10" s="373"/>
      <c r="DI10" s="373"/>
      <c r="DJ10" s="373"/>
      <c r="DK10" s="373"/>
      <c r="DL10" s="373"/>
      <c r="DM10" s="373"/>
      <c r="DN10" s="373"/>
      <c r="DO10" s="373"/>
      <c r="DP10" s="373"/>
      <c r="DQ10" s="373"/>
      <c r="DR10" s="373"/>
      <c r="DS10" s="373"/>
      <c r="DT10" s="373"/>
      <c r="DU10" s="373"/>
      <c r="DV10" s="373"/>
      <c r="DW10" s="373"/>
      <c r="DX10" s="373"/>
      <c r="DY10" s="373"/>
      <c r="DZ10" s="373"/>
      <c r="EA10" s="373"/>
      <c r="EB10" s="373"/>
      <c r="EC10" s="373"/>
      <c r="ED10" s="373"/>
      <c r="EE10" s="373"/>
      <c r="EF10" s="373"/>
      <c r="EG10" s="373"/>
      <c r="EH10" s="373"/>
      <c r="EI10" s="373"/>
      <c r="EJ10" s="373"/>
      <c r="EK10" s="373"/>
      <c r="EL10" s="373"/>
      <c r="EM10" s="373"/>
      <c r="EN10" s="373"/>
      <c r="EO10" s="373"/>
      <c r="EP10" s="373"/>
      <c r="EQ10" s="373"/>
      <c r="ER10" s="373"/>
      <c r="ES10" s="373"/>
    </row>
    <row r="11" spans="1:149">
      <c r="A11" s="769"/>
      <c r="B11" s="769"/>
      <c r="C11" s="769" t="s">
        <v>1257</v>
      </c>
      <c r="D11" s="769"/>
      <c r="E11" s="290">
        <f t="shared" ref="E11:H11" si="26">E9*E10/10000</f>
        <v>0</v>
      </c>
      <c r="F11" s="290">
        <f t="shared" si="26"/>
        <v>0</v>
      </c>
      <c r="G11" s="290">
        <f t="shared" si="26"/>
        <v>0</v>
      </c>
      <c r="H11" s="290">
        <f t="shared" si="26"/>
        <v>0</v>
      </c>
      <c r="I11" s="293">
        <f>SUM(E11:H11)</f>
        <v>0</v>
      </c>
      <c r="J11" s="292">
        <f>J9*J10/10000</f>
        <v>0</v>
      </c>
      <c r="K11" s="292">
        <f t="shared" ref="K11:U11" si="27">K9*K10/10000</f>
        <v>0</v>
      </c>
      <c r="L11" s="292">
        <f t="shared" si="27"/>
        <v>0</v>
      </c>
      <c r="M11" s="292">
        <f t="shared" si="27"/>
        <v>0</v>
      </c>
      <c r="N11" s="292">
        <f t="shared" si="27"/>
        <v>0</v>
      </c>
      <c r="O11" s="292">
        <f t="shared" si="27"/>
        <v>0</v>
      </c>
      <c r="P11" s="292">
        <f t="shared" si="27"/>
        <v>1420.5475000000001</v>
      </c>
      <c r="Q11" s="292">
        <f t="shared" si="27"/>
        <v>710.27375000000006</v>
      </c>
      <c r="R11" s="292">
        <f t="shared" si="27"/>
        <v>1158.6124</v>
      </c>
      <c r="S11" s="292">
        <f t="shared" si="27"/>
        <v>1448.2655000000002</v>
      </c>
      <c r="T11" s="292">
        <f t="shared" si="27"/>
        <v>1340.85825</v>
      </c>
      <c r="U11" s="292">
        <f t="shared" si="27"/>
        <v>446.95274999999998</v>
      </c>
      <c r="V11" s="293">
        <f>SUM(J11:U11)</f>
        <v>6525.510150000001</v>
      </c>
      <c r="W11" s="292">
        <f>W9*W10/10000</f>
        <v>467.74124999999998</v>
      </c>
      <c r="X11" s="292">
        <f>X9*X10/10000</f>
        <v>623.65499999999997</v>
      </c>
      <c r="Y11" s="292">
        <f t="shared" ref="Y11:AH11" si="28">Y9*Y10/10000</f>
        <v>779.56875000000014</v>
      </c>
      <c r="Z11" s="292">
        <f t="shared" si="28"/>
        <v>779.56875000000014</v>
      </c>
      <c r="AA11" s="292">
        <f t="shared" si="28"/>
        <v>634.74220000000003</v>
      </c>
      <c r="AB11" s="292">
        <f t="shared" si="28"/>
        <v>634.74220000000003</v>
      </c>
      <c r="AC11" s="292">
        <f t="shared" si="28"/>
        <v>634.74220000000003</v>
      </c>
      <c r="AD11" s="292">
        <f t="shared" si="28"/>
        <v>634.74220000000003</v>
      </c>
      <c r="AE11" s="292">
        <f t="shared" si="28"/>
        <v>807.2867500000001</v>
      </c>
      <c r="AF11" s="292">
        <f t="shared" si="28"/>
        <v>807.2867500000001</v>
      </c>
      <c r="AG11" s="292">
        <f t="shared" si="28"/>
        <v>645.82939999999996</v>
      </c>
      <c r="AH11" s="292">
        <f t="shared" si="28"/>
        <v>807.2867500000001</v>
      </c>
      <c r="AI11" s="347">
        <f>SUM(W11:AH11)</f>
        <v>8257.1921999999995</v>
      </c>
      <c r="AJ11" s="292">
        <f>AJ9*AJ10/10000</f>
        <v>645.82939999999996</v>
      </c>
      <c r="AK11" s="292">
        <f t="shared" ref="AK11:AU11" si="29">AK9*AK10/10000</f>
        <v>645.82939999999996</v>
      </c>
      <c r="AL11" s="292">
        <f t="shared" si="29"/>
        <v>645.82939999999996</v>
      </c>
      <c r="AM11" s="292">
        <f t="shared" si="29"/>
        <v>492.68745000000001</v>
      </c>
      <c r="AN11" s="292">
        <f t="shared" si="29"/>
        <v>821.14575000000013</v>
      </c>
      <c r="AO11" s="292">
        <f t="shared" si="29"/>
        <v>821.14575000000013</v>
      </c>
      <c r="AP11" s="292">
        <f t="shared" si="29"/>
        <v>821.14575000000013</v>
      </c>
      <c r="AQ11" s="292">
        <f t="shared" si="29"/>
        <v>821.14575000000013</v>
      </c>
      <c r="AR11" s="292">
        <f t="shared" si="29"/>
        <v>835.00475000000006</v>
      </c>
      <c r="AS11" s="292">
        <f t="shared" si="29"/>
        <v>835.00475000000006</v>
      </c>
      <c r="AT11" s="292">
        <f t="shared" si="29"/>
        <v>835.00475000000006</v>
      </c>
      <c r="AU11" s="292">
        <f t="shared" si="29"/>
        <v>835.00475000000006</v>
      </c>
      <c r="AV11" s="347">
        <f>SUM(AJ11:AU11)</f>
        <v>9054.77765</v>
      </c>
      <c r="AW11" s="292">
        <f>AW9*AW10/10000</f>
        <v>848.86374999999998</v>
      </c>
      <c r="AX11" s="292">
        <f t="shared" ref="AX11:BH11" si="30">AX9*AX10/10000</f>
        <v>848.86374999999998</v>
      </c>
      <c r="AY11" s="292">
        <f t="shared" si="30"/>
        <v>848.86374999999998</v>
      </c>
      <c r="AZ11" s="292">
        <f t="shared" si="30"/>
        <v>848.86374999999998</v>
      </c>
      <c r="BA11" s="292">
        <f t="shared" si="30"/>
        <v>848.86374999999998</v>
      </c>
      <c r="BB11" s="292">
        <f t="shared" si="30"/>
        <v>848.86374999999998</v>
      </c>
      <c r="BC11" s="292">
        <f t="shared" si="30"/>
        <v>848.86374999999998</v>
      </c>
      <c r="BD11" s="292">
        <f t="shared" si="30"/>
        <v>848.86374999999998</v>
      </c>
      <c r="BE11" s="292">
        <f t="shared" si="30"/>
        <v>0</v>
      </c>
      <c r="BF11" s="292">
        <f t="shared" si="30"/>
        <v>0</v>
      </c>
      <c r="BG11" s="292">
        <f t="shared" si="30"/>
        <v>0</v>
      </c>
      <c r="BH11" s="292">
        <f t="shared" si="30"/>
        <v>0</v>
      </c>
      <c r="BI11" s="293">
        <f>SUM(AW11:BH11)</f>
        <v>6790.9100000000017</v>
      </c>
      <c r="BJ11" s="355"/>
      <c r="BK11" s="355"/>
      <c r="BL11" s="355"/>
      <c r="BM11" s="355"/>
      <c r="BN11" s="355"/>
      <c r="BO11" s="355"/>
      <c r="BP11" s="374">
        <f t="shared" ref="BP11:BP13" si="31">I11+V11+AI11+AV11+BI11</f>
        <v>30628.39</v>
      </c>
      <c r="BQ11" s="373"/>
      <c r="BR11" s="373"/>
      <c r="BS11" s="373"/>
      <c r="BT11" s="373"/>
      <c r="BU11" s="373"/>
      <c r="BV11" s="373"/>
      <c r="BW11" s="373"/>
      <c r="BX11" s="373"/>
      <c r="BY11" s="373"/>
      <c r="BZ11" s="373"/>
      <c r="CA11" s="373"/>
      <c r="CB11" s="373"/>
      <c r="CC11" s="373"/>
      <c r="CD11" s="373"/>
      <c r="CE11" s="373"/>
      <c r="CF11" s="373"/>
      <c r="CG11" s="373"/>
      <c r="CH11" s="373"/>
      <c r="CI11" s="373"/>
      <c r="CJ11" s="373"/>
      <c r="CK11" s="373"/>
      <c r="CL11" s="373"/>
      <c r="CM11" s="373"/>
      <c r="CN11" s="373"/>
      <c r="CO11" s="373"/>
      <c r="CP11" s="373"/>
      <c r="CQ11" s="373"/>
      <c r="CR11" s="373"/>
      <c r="CS11" s="373"/>
      <c r="CT11" s="373"/>
      <c r="CU11" s="373"/>
      <c r="CV11" s="373"/>
      <c r="CW11" s="373"/>
      <c r="CX11" s="373"/>
      <c r="CY11" s="373"/>
      <c r="CZ11" s="373"/>
      <c r="DA11" s="373"/>
      <c r="DB11" s="373"/>
      <c r="DC11" s="373"/>
      <c r="DD11" s="373"/>
      <c r="DE11" s="373"/>
      <c r="DF11" s="373"/>
      <c r="DG11" s="373"/>
      <c r="DH11" s="373"/>
      <c r="DI11" s="373"/>
      <c r="DJ11" s="373"/>
      <c r="DK11" s="373"/>
      <c r="DL11" s="373"/>
      <c r="DM11" s="373"/>
      <c r="DN11" s="373"/>
      <c r="DO11" s="373"/>
      <c r="DP11" s="373"/>
      <c r="DQ11" s="373"/>
      <c r="DR11" s="373"/>
      <c r="DS11" s="373"/>
      <c r="DT11" s="373"/>
      <c r="DU11" s="373"/>
      <c r="DV11" s="373"/>
      <c r="DW11" s="373"/>
      <c r="DX11" s="373"/>
      <c r="DY11" s="373"/>
      <c r="DZ11" s="373"/>
      <c r="EA11" s="373"/>
      <c r="EB11" s="373"/>
      <c r="EC11" s="373"/>
      <c r="ED11" s="373"/>
      <c r="EE11" s="373"/>
      <c r="EF11" s="373"/>
      <c r="EG11" s="373"/>
      <c r="EH11" s="373"/>
      <c r="EI11" s="373"/>
      <c r="EJ11" s="373"/>
      <c r="EK11" s="373"/>
      <c r="EL11" s="373"/>
      <c r="EM11" s="373"/>
      <c r="EN11" s="373"/>
      <c r="EO11" s="373"/>
      <c r="EP11" s="373"/>
      <c r="EQ11" s="373"/>
      <c r="ER11" s="373"/>
      <c r="ES11" s="373"/>
    </row>
    <row r="12" spans="1:149">
      <c r="A12" s="769"/>
      <c r="B12" s="775" t="s">
        <v>1259</v>
      </c>
      <c r="C12" s="294" t="s">
        <v>1254</v>
      </c>
      <c r="D12" s="295">
        <f t="shared" ref="D12:U13" si="32">D4+D8</f>
        <v>384</v>
      </c>
      <c r="E12" s="296">
        <f t="shared" si="32"/>
        <v>0</v>
      </c>
      <c r="F12" s="296">
        <f t="shared" si="32"/>
        <v>0</v>
      </c>
      <c r="G12" s="296">
        <f t="shared" si="32"/>
        <v>0</v>
      </c>
      <c r="H12" s="296">
        <f t="shared" si="32"/>
        <v>0</v>
      </c>
      <c r="I12" s="296">
        <f t="shared" si="32"/>
        <v>0</v>
      </c>
      <c r="J12" s="296">
        <f t="shared" si="32"/>
        <v>0</v>
      </c>
      <c r="K12" s="296">
        <f t="shared" si="32"/>
        <v>0</v>
      </c>
      <c r="L12" s="296">
        <f t="shared" si="32"/>
        <v>0</v>
      </c>
      <c r="M12" s="296">
        <f t="shared" si="32"/>
        <v>0</v>
      </c>
      <c r="N12" s="296">
        <f t="shared" si="32"/>
        <v>0</v>
      </c>
      <c r="O12" s="296">
        <f t="shared" si="32"/>
        <v>0</v>
      </c>
      <c r="P12" s="296">
        <f>P4+P8</f>
        <v>27</v>
      </c>
      <c r="Q12" s="296">
        <f t="shared" si="32"/>
        <v>14</v>
      </c>
      <c r="R12" s="296">
        <f t="shared" si="32"/>
        <v>17</v>
      </c>
      <c r="S12" s="296">
        <f t="shared" si="32"/>
        <v>29</v>
      </c>
      <c r="T12" s="296">
        <f t="shared" si="32"/>
        <v>11</v>
      </c>
      <c r="U12" s="296">
        <f t="shared" si="32"/>
        <v>7</v>
      </c>
      <c r="V12" s="335">
        <f>V4+V8</f>
        <v>105</v>
      </c>
      <c r="W12" s="296">
        <f>W4+W8</f>
        <v>11</v>
      </c>
      <c r="X12" s="296">
        <f t="shared" ref="X12:AI13" si="33">X4+X8</f>
        <v>8</v>
      </c>
      <c r="Y12" s="296">
        <f t="shared" si="33"/>
        <v>10</v>
      </c>
      <c r="Z12" s="296">
        <f t="shared" si="33"/>
        <v>10</v>
      </c>
      <c r="AA12" s="296">
        <f t="shared" si="33"/>
        <v>9</v>
      </c>
      <c r="AB12" s="296">
        <f t="shared" si="33"/>
        <v>10</v>
      </c>
      <c r="AC12" s="296">
        <f t="shared" si="33"/>
        <v>9</v>
      </c>
      <c r="AD12" s="296">
        <f t="shared" si="33"/>
        <v>9</v>
      </c>
      <c r="AE12" s="296">
        <f t="shared" si="33"/>
        <v>12</v>
      </c>
      <c r="AF12" s="296">
        <f t="shared" si="33"/>
        <v>10</v>
      </c>
      <c r="AG12" s="296">
        <f t="shared" si="33"/>
        <v>9</v>
      </c>
      <c r="AH12" s="296">
        <f t="shared" si="33"/>
        <v>10</v>
      </c>
      <c r="AI12" s="296">
        <f t="shared" si="33"/>
        <v>117</v>
      </c>
      <c r="AJ12" s="296">
        <f>AJ4+AJ8</f>
        <v>9</v>
      </c>
      <c r="AK12" s="296">
        <f t="shared" ref="AK12:BI13" si="34">AK4+AK8</f>
        <v>8</v>
      </c>
      <c r="AL12" s="296">
        <f t="shared" si="34"/>
        <v>9</v>
      </c>
      <c r="AM12" s="296">
        <f t="shared" si="34"/>
        <v>10</v>
      </c>
      <c r="AN12" s="296">
        <f t="shared" si="34"/>
        <v>10</v>
      </c>
      <c r="AO12" s="296">
        <f t="shared" si="34"/>
        <v>10</v>
      </c>
      <c r="AP12" s="296">
        <f t="shared" si="34"/>
        <v>10</v>
      </c>
      <c r="AQ12" s="296">
        <f t="shared" si="34"/>
        <v>9</v>
      </c>
      <c r="AR12" s="296">
        <f t="shared" si="34"/>
        <v>12</v>
      </c>
      <c r="AS12" s="296">
        <f t="shared" si="34"/>
        <v>10</v>
      </c>
      <c r="AT12" s="296">
        <f t="shared" si="34"/>
        <v>9</v>
      </c>
      <c r="AU12" s="296">
        <f t="shared" si="34"/>
        <v>10</v>
      </c>
      <c r="AV12" s="296">
        <f t="shared" si="34"/>
        <v>116</v>
      </c>
      <c r="AW12" s="296">
        <f t="shared" si="34"/>
        <v>10</v>
      </c>
      <c r="AX12" s="296">
        <f t="shared" si="34"/>
        <v>6</v>
      </c>
      <c r="AY12" s="296">
        <f t="shared" si="34"/>
        <v>5</v>
      </c>
      <c r="AZ12" s="296">
        <f t="shared" si="34"/>
        <v>5</v>
      </c>
      <c r="BA12" s="296">
        <f t="shared" si="34"/>
        <v>5</v>
      </c>
      <c r="BB12" s="296">
        <f t="shared" si="34"/>
        <v>5</v>
      </c>
      <c r="BC12" s="296">
        <f t="shared" si="34"/>
        <v>5</v>
      </c>
      <c r="BD12" s="296">
        <f t="shared" si="34"/>
        <v>5</v>
      </c>
      <c r="BE12" s="296">
        <f t="shared" si="34"/>
        <v>0</v>
      </c>
      <c r="BF12" s="296">
        <f t="shared" si="34"/>
        <v>0</v>
      </c>
      <c r="BG12" s="296">
        <f t="shared" si="34"/>
        <v>0</v>
      </c>
      <c r="BH12" s="296">
        <f t="shared" si="34"/>
        <v>0</v>
      </c>
      <c r="BI12" s="296">
        <f t="shared" si="34"/>
        <v>46</v>
      </c>
      <c r="BJ12" s="357"/>
      <c r="BK12" s="357"/>
      <c r="BL12" s="357"/>
      <c r="BM12" s="357"/>
      <c r="BN12" s="357"/>
      <c r="BO12" s="357"/>
      <c r="BP12" s="372">
        <f t="shared" si="31"/>
        <v>384</v>
      </c>
      <c r="BQ12" s="373">
        <f>BP12-D12</f>
        <v>0</v>
      </c>
      <c r="BR12" s="373"/>
      <c r="BS12" s="373"/>
      <c r="BT12" s="373"/>
      <c r="BU12" s="373"/>
      <c r="BV12" s="373"/>
      <c r="BW12" s="373"/>
      <c r="BX12" s="373"/>
      <c r="BY12" s="373"/>
      <c r="BZ12" s="373"/>
      <c r="CA12" s="373"/>
      <c r="CB12" s="373"/>
      <c r="CC12" s="373"/>
      <c r="CD12" s="373"/>
      <c r="CE12" s="373"/>
      <c r="CF12" s="373"/>
      <c r="CG12" s="373"/>
      <c r="CH12" s="373"/>
      <c r="CI12" s="373"/>
      <c r="CJ12" s="373"/>
      <c r="CK12" s="373"/>
      <c r="CL12" s="373"/>
      <c r="CM12" s="373"/>
      <c r="CN12" s="373"/>
      <c r="CO12" s="373"/>
      <c r="CP12" s="373"/>
      <c r="CQ12" s="373"/>
      <c r="CR12" s="373"/>
      <c r="CS12" s="373"/>
      <c r="CT12" s="373"/>
      <c r="CU12" s="373"/>
      <c r="CV12" s="373"/>
      <c r="CW12" s="373"/>
      <c r="CX12" s="373"/>
      <c r="CY12" s="373"/>
      <c r="CZ12" s="373"/>
      <c r="DA12" s="373"/>
      <c r="DB12" s="373"/>
      <c r="DC12" s="373"/>
      <c r="DD12" s="373"/>
      <c r="DE12" s="373"/>
      <c r="DF12" s="373"/>
      <c r="DG12" s="373"/>
      <c r="DH12" s="373"/>
      <c r="DI12" s="373"/>
      <c r="DJ12" s="373"/>
      <c r="DK12" s="373"/>
      <c r="DL12" s="373"/>
      <c r="DM12" s="373"/>
      <c r="DN12" s="373"/>
      <c r="DO12" s="373"/>
      <c r="DP12" s="373"/>
      <c r="DQ12" s="373"/>
      <c r="DR12" s="373"/>
      <c r="DS12" s="373"/>
      <c r="DT12" s="373"/>
      <c r="DU12" s="373"/>
      <c r="DV12" s="373"/>
      <c r="DW12" s="373"/>
      <c r="DX12" s="373"/>
      <c r="DY12" s="373"/>
      <c r="DZ12" s="373"/>
      <c r="EA12" s="373"/>
      <c r="EB12" s="373"/>
      <c r="EC12" s="373"/>
      <c r="ED12" s="373"/>
      <c r="EE12" s="373"/>
      <c r="EF12" s="373"/>
      <c r="EG12" s="373"/>
      <c r="EH12" s="373"/>
      <c r="EI12" s="373"/>
      <c r="EJ12" s="373"/>
      <c r="EK12" s="373"/>
      <c r="EL12" s="373"/>
      <c r="EM12" s="373"/>
      <c r="EN12" s="373"/>
      <c r="EO12" s="373"/>
      <c r="EP12" s="373"/>
      <c r="EQ12" s="373"/>
      <c r="ER12" s="373"/>
      <c r="ES12" s="373"/>
    </row>
    <row r="13" spans="1:149">
      <c r="A13" s="769"/>
      <c r="B13" s="775"/>
      <c r="C13" s="294" t="s">
        <v>1255</v>
      </c>
      <c r="D13" s="295"/>
      <c r="E13" s="296">
        <f t="shared" si="32"/>
        <v>0</v>
      </c>
      <c r="F13" s="296">
        <f t="shared" si="32"/>
        <v>0</v>
      </c>
      <c r="G13" s="296">
        <f t="shared" si="32"/>
        <v>0</v>
      </c>
      <c r="H13" s="296">
        <f t="shared" si="32"/>
        <v>0</v>
      </c>
      <c r="I13" s="296">
        <f t="shared" si="32"/>
        <v>0</v>
      </c>
      <c r="J13" s="296">
        <f t="shared" si="32"/>
        <v>0</v>
      </c>
      <c r="K13" s="296">
        <f t="shared" si="32"/>
        <v>0</v>
      </c>
      <c r="L13" s="296">
        <f t="shared" si="32"/>
        <v>0</v>
      </c>
      <c r="M13" s="296">
        <f t="shared" si="32"/>
        <v>0</v>
      </c>
      <c r="N13" s="296">
        <f t="shared" si="32"/>
        <v>0</v>
      </c>
      <c r="O13" s="296">
        <f t="shared" si="32"/>
        <v>0</v>
      </c>
      <c r="P13" s="296">
        <f t="shared" si="32"/>
        <v>3816.9</v>
      </c>
      <c r="Q13" s="296">
        <f t="shared" si="32"/>
        <v>1979.95</v>
      </c>
      <c r="R13" s="296">
        <f t="shared" si="32"/>
        <v>2395.7200000000003</v>
      </c>
      <c r="S13" s="296">
        <f t="shared" si="32"/>
        <v>4102.8999999999996</v>
      </c>
      <c r="T13" s="296">
        <f t="shared" si="32"/>
        <v>1533.31</v>
      </c>
      <c r="U13" s="296">
        <f t="shared" si="32"/>
        <v>987.77</v>
      </c>
      <c r="V13" s="296">
        <f>V5+V9</f>
        <v>14816.550000000001</v>
      </c>
      <c r="W13" s="296">
        <f>W5+W9</f>
        <v>1559.77</v>
      </c>
      <c r="X13" s="296">
        <f t="shared" si="33"/>
        <v>1126.3600000000001</v>
      </c>
      <c r="Y13" s="296">
        <f t="shared" si="33"/>
        <v>1407.95</v>
      </c>
      <c r="Z13" s="296">
        <f t="shared" si="33"/>
        <v>1407.95</v>
      </c>
      <c r="AA13" s="296">
        <f t="shared" si="33"/>
        <v>1269.3600000000001</v>
      </c>
      <c r="AB13" s="296">
        <f t="shared" si="33"/>
        <v>1412.3600000000001</v>
      </c>
      <c r="AC13" s="296">
        <f t="shared" si="33"/>
        <v>1269.3600000000001</v>
      </c>
      <c r="AD13" s="296">
        <f t="shared" si="33"/>
        <v>1269.3600000000001</v>
      </c>
      <c r="AE13" s="296">
        <f t="shared" si="33"/>
        <v>1693.95</v>
      </c>
      <c r="AF13" s="296">
        <f t="shared" si="33"/>
        <v>1407.95</v>
      </c>
      <c r="AG13" s="296">
        <f t="shared" ref="AG13:AJ13" si="35">AG5+AG9</f>
        <v>1269.3600000000001</v>
      </c>
      <c r="AH13" s="296">
        <f t="shared" si="35"/>
        <v>1407.95</v>
      </c>
      <c r="AI13" s="296">
        <f t="shared" si="35"/>
        <v>16501.68</v>
      </c>
      <c r="AJ13" s="296">
        <f t="shared" si="35"/>
        <v>1269.3600000000001</v>
      </c>
      <c r="AK13" s="296">
        <f t="shared" si="34"/>
        <v>1126.3600000000001</v>
      </c>
      <c r="AL13" s="296">
        <f t="shared" si="34"/>
        <v>1269.3600000000001</v>
      </c>
      <c r="AM13" s="296">
        <f t="shared" si="34"/>
        <v>1416.77</v>
      </c>
      <c r="AN13" s="296">
        <f t="shared" si="34"/>
        <v>1407.95</v>
      </c>
      <c r="AO13" s="296">
        <f t="shared" si="34"/>
        <v>1407.95</v>
      </c>
      <c r="AP13" s="296">
        <f t="shared" si="34"/>
        <v>1407.95</v>
      </c>
      <c r="AQ13" s="296">
        <f t="shared" si="34"/>
        <v>1264.95</v>
      </c>
      <c r="AR13" s="296">
        <f t="shared" si="34"/>
        <v>1693.95</v>
      </c>
      <c r="AS13" s="296">
        <f t="shared" si="34"/>
        <v>1407.95</v>
      </c>
      <c r="AT13" s="296">
        <f t="shared" si="34"/>
        <v>1264.95</v>
      </c>
      <c r="AU13" s="296">
        <f t="shared" si="34"/>
        <v>1407.95</v>
      </c>
      <c r="AV13" s="296">
        <f t="shared" si="34"/>
        <v>16345.449999999999</v>
      </c>
      <c r="AW13" s="296">
        <f t="shared" si="34"/>
        <v>1407.95</v>
      </c>
      <c r="AX13" s="296">
        <f t="shared" si="34"/>
        <v>835.95</v>
      </c>
      <c r="AY13" s="296">
        <f t="shared" si="34"/>
        <v>692.95</v>
      </c>
      <c r="AZ13" s="296">
        <f t="shared" si="34"/>
        <v>692.95</v>
      </c>
      <c r="BA13" s="296">
        <f t="shared" si="34"/>
        <v>692.95</v>
      </c>
      <c r="BB13" s="296">
        <f t="shared" si="34"/>
        <v>692.95</v>
      </c>
      <c r="BC13" s="296">
        <f t="shared" si="34"/>
        <v>692.95</v>
      </c>
      <c r="BD13" s="296">
        <f t="shared" si="34"/>
        <v>692.95</v>
      </c>
      <c r="BE13" s="296">
        <f t="shared" si="34"/>
        <v>0</v>
      </c>
      <c r="BF13" s="296">
        <f t="shared" si="34"/>
        <v>0</v>
      </c>
      <c r="BG13" s="296">
        <f t="shared" si="34"/>
        <v>0</v>
      </c>
      <c r="BH13" s="296">
        <f t="shared" si="34"/>
        <v>0</v>
      </c>
      <c r="BI13" s="296">
        <f t="shared" si="34"/>
        <v>6401.5999999999995</v>
      </c>
      <c r="BJ13" s="358"/>
      <c r="BK13" s="358"/>
      <c r="BL13" s="358"/>
      <c r="BM13" s="358"/>
      <c r="BN13" s="358"/>
      <c r="BO13" s="358"/>
      <c r="BP13" s="374">
        <f t="shared" si="31"/>
        <v>54065.279999999999</v>
      </c>
      <c r="BQ13" s="373"/>
      <c r="BR13" s="373"/>
      <c r="BS13" s="373"/>
      <c r="BT13" s="373"/>
      <c r="BU13" s="373"/>
      <c r="BV13" s="373"/>
      <c r="BW13" s="373"/>
      <c r="BX13" s="373"/>
      <c r="BY13" s="373"/>
      <c r="BZ13" s="373"/>
      <c r="CA13" s="373"/>
      <c r="CB13" s="373"/>
      <c r="CC13" s="373"/>
      <c r="CD13" s="373"/>
      <c r="CE13" s="373"/>
      <c r="CF13" s="373"/>
      <c r="CG13" s="373"/>
      <c r="CH13" s="373"/>
      <c r="CI13" s="373"/>
      <c r="CJ13" s="373"/>
      <c r="CK13" s="373"/>
      <c r="CL13" s="373"/>
      <c r="CM13" s="373"/>
      <c r="CN13" s="373"/>
      <c r="CO13" s="373"/>
      <c r="CP13" s="373"/>
      <c r="CQ13" s="373"/>
      <c r="CR13" s="373"/>
      <c r="CS13" s="373"/>
      <c r="CT13" s="373"/>
      <c r="CU13" s="373"/>
      <c r="CV13" s="373"/>
      <c r="CW13" s="373"/>
      <c r="CX13" s="373"/>
      <c r="CY13" s="373"/>
      <c r="CZ13" s="373"/>
      <c r="DA13" s="373"/>
      <c r="DB13" s="373"/>
      <c r="DC13" s="373"/>
      <c r="DD13" s="373"/>
      <c r="DE13" s="373"/>
      <c r="DF13" s="373"/>
      <c r="DG13" s="373"/>
      <c r="DH13" s="373"/>
      <c r="DI13" s="373"/>
      <c r="DJ13" s="373"/>
      <c r="DK13" s="373"/>
      <c r="DL13" s="373"/>
      <c r="DM13" s="373"/>
      <c r="DN13" s="373"/>
      <c r="DO13" s="373"/>
      <c r="DP13" s="373"/>
      <c r="DQ13" s="373"/>
      <c r="DR13" s="373"/>
      <c r="DS13" s="373"/>
      <c r="DT13" s="373"/>
      <c r="DU13" s="373"/>
      <c r="DV13" s="373"/>
      <c r="DW13" s="373"/>
      <c r="DX13" s="373"/>
      <c r="DY13" s="373"/>
      <c r="DZ13" s="373"/>
      <c r="EA13" s="373"/>
      <c r="EB13" s="373"/>
      <c r="EC13" s="373"/>
      <c r="ED13" s="373"/>
      <c r="EE13" s="373"/>
      <c r="EF13" s="373"/>
      <c r="EG13" s="373"/>
      <c r="EH13" s="373"/>
      <c r="EI13" s="373"/>
      <c r="EJ13" s="373"/>
      <c r="EK13" s="373"/>
      <c r="EL13" s="373"/>
      <c r="EM13" s="373"/>
      <c r="EN13" s="373"/>
      <c r="EO13" s="373"/>
      <c r="EP13" s="373"/>
      <c r="EQ13" s="373"/>
      <c r="ER13" s="373"/>
      <c r="ES13" s="373"/>
    </row>
    <row r="14" spans="1:149">
      <c r="A14" s="769"/>
      <c r="B14" s="775"/>
      <c r="C14" s="787" t="s">
        <v>1256</v>
      </c>
      <c r="D14" s="788"/>
      <c r="E14" s="296" t="e">
        <f t="shared" ref="E14:H14" si="36">E15/E13*10000</f>
        <v>#DIV/0!</v>
      </c>
      <c r="F14" s="296" t="e">
        <f t="shared" si="36"/>
        <v>#DIV/0!</v>
      </c>
      <c r="G14" s="296" t="e">
        <f t="shared" si="36"/>
        <v>#DIV/0!</v>
      </c>
      <c r="H14" s="296" t="e">
        <f t="shared" si="36"/>
        <v>#DIV/0!</v>
      </c>
      <c r="I14" s="296" t="e">
        <f t="shared" ref="I14:W14" si="37">I15/I13*10000</f>
        <v>#DIV/0!</v>
      </c>
      <c r="J14" s="296" t="e">
        <f t="shared" si="37"/>
        <v>#DIV/0!</v>
      </c>
      <c r="K14" s="296" t="e">
        <f t="shared" si="37"/>
        <v>#DIV/0!</v>
      </c>
      <c r="L14" s="296" t="e">
        <f t="shared" si="37"/>
        <v>#DIV/0!</v>
      </c>
      <c r="M14" s="296" t="e">
        <f t="shared" si="37"/>
        <v>#DIV/0!</v>
      </c>
      <c r="N14" s="296" t="e">
        <f t="shared" si="37"/>
        <v>#DIV/0!</v>
      </c>
      <c r="O14" s="296" t="e">
        <f t="shared" si="37"/>
        <v>#DIV/0!</v>
      </c>
      <c r="P14" s="296">
        <f t="shared" si="37"/>
        <v>10939.767350467657</v>
      </c>
      <c r="Q14" s="296">
        <f t="shared" si="37"/>
        <v>10607.509028005759</v>
      </c>
      <c r="R14" s="296">
        <f t="shared" si="37"/>
        <v>10705.173809961096</v>
      </c>
      <c r="S14" s="296">
        <f t="shared" si="37"/>
        <v>11436.699651466039</v>
      </c>
      <c r="T14" s="296">
        <f t="shared" si="37"/>
        <v>10938.389823323398</v>
      </c>
      <c r="U14" s="296">
        <f t="shared" si="37"/>
        <v>11334.872996750257</v>
      </c>
      <c r="V14" s="296">
        <f t="shared" si="37"/>
        <v>11021.240403467742</v>
      </c>
      <c r="W14" s="296">
        <f t="shared" si="37"/>
        <v>11917.431736730416</v>
      </c>
      <c r="X14" s="296">
        <f t="shared" ref="X14:AJ14" si="38">X15/X13*10000</f>
        <v>11712.12578571682</v>
      </c>
      <c r="Y14" s="296">
        <f t="shared" si="38"/>
        <v>11712.125785716822</v>
      </c>
      <c r="Z14" s="296">
        <f t="shared" si="38"/>
        <v>11712.125785716822</v>
      </c>
      <c r="AA14" s="296">
        <f t="shared" si="38"/>
        <v>11962.58114325329</v>
      </c>
      <c r="AB14" s="296">
        <f t="shared" si="38"/>
        <v>12002.819394488655</v>
      </c>
      <c r="AC14" s="296">
        <f t="shared" si="38"/>
        <v>11962.58114325329</v>
      </c>
      <c r="AD14" s="296">
        <f t="shared" si="38"/>
        <v>11962.58114325329</v>
      </c>
      <c r="AE14" s="296">
        <f t="shared" si="38"/>
        <v>12187.74314472092</v>
      </c>
      <c r="AF14" s="296">
        <f t="shared" si="38"/>
        <v>12112.125785716822</v>
      </c>
      <c r="AG14" s="296">
        <f t="shared" si="38"/>
        <v>12162.581143253292</v>
      </c>
      <c r="AH14" s="296">
        <f t="shared" si="38"/>
        <v>12112.125785716822</v>
      </c>
      <c r="AI14" s="296">
        <f t="shared" si="38"/>
        <v>11965.940558779468</v>
      </c>
      <c r="AJ14" s="296">
        <f t="shared" si="38"/>
        <v>12162.581143253292</v>
      </c>
      <c r="AK14" s="296">
        <f t="shared" ref="AK14:AW14" si="39">AK15/AK13*10000</f>
        <v>12112.12578571682</v>
      </c>
      <c r="AL14" s="296">
        <f t="shared" si="39"/>
        <v>12162.581143253292</v>
      </c>
      <c r="AM14" s="296">
        <f t="shared" si="39"/>
        <v>12492.948396705184</v>
      </c>
      <c r="AN14" s="296">
        <f t="shared" si="39"/>
        <v>12312.125785716824</v>
      </c>
      <c r="AO14" s="296">
        <f t="shared" si="39"/>
        <v>12312.125785716824</v>
      </c>
      <c r="AP14" s="296">
        <f t="shared" si="39"/>
        <v>12312.125785716824</v>
      </c>
      <c r="AQ14" s="296">
        <f t="shared" si="39"/>
        <v>12261.494525475315</v>
      </c>
      <c r="AR14" s="296">
        <f t="shared" si="39"/>
        <v>12587.74314472092</v>
      </c>
      <c r="AS14" s="296">
        <f t="shared" si="39"/>
        <v>12512.12578571682</v>
      </c>
      <c r="AT14" s="296">
        <f t="shared" si="39"/>
        <v>12461.494525475315</v>
      </c>
      <c r="AU14" s="296">
        <f t="shared" si="39"/>
        <v>12512.12578571682</v>
      </c>
      <c r="AV14" s="296">
        <f t="shared" si="39"/>
        <v>12361.449608300782</v>
      </c>
      <c r="AW14" s="296">
        <f t="shared" si="39"/>
        <v>12712.125785716822</v>
      </c>
      <c r="AX14" s="296">
        <f t="shared" ref="AX14:BI14" si="40">AX15/AX13*10000</f>
        <v>12405.667204976375</v>
      </c>
      <c r="AY14" s="296">
        <f t="shared" si="40"/>
        <v>12249.999999999998</v>
      </c>
      <c r="AZ14" s="296">
        <f t="shared" si="40"/>
        <v>12249.999999999998</v>
      </c>
      <c r="BA14" s="296">
        <f t="shared" si="40"/>
        <v>12249.999999999998</v>
      </c>
      <c r="BB14" s="296">
        <f t="shared" si="40"/>
        <v>12249.999999999998</v>
      </c>
      <c r="BC14" s="296">
        <f t="shared" si="40"/>
        <v>12249.999999999998</v>
      </c>
      <c r="BD14" s="296">
        <f t="shared" si="40"/>
        <v>12249.999999999998</v>
      </c>
      <c r="BE14" s="296" t="e">
        <f t="shared" si="40"/>
        <v>#DIV/0!</v>
      </c>
      <c r="BF14" s="296" t="e">
        <f t="shared" si="40"/>
        <v>#DIV/0!</v>
      </c>
      <c r="BG14" s="296" t="e">
        <f t="shared" si="40"/>
        <v>#DIV/0!</v>
      </c>
      <c r="BH14" s="296" t="e">
        <f t="shared" si="40"/>
        <v>#DIV/0!</v>
      </c>
      <c r="BI14" s="296">
        <f t="shared" si="40"/>
        <v>12371.966383404153</v>
      </c>
      <c r="BJ14" s="357"/>
      <c r="BK14" s="357"/>
      <c r="BL14" s="357"/>
      <c r="BM14" s="357"/>
      <c r="BN14" s="357"/>
      <c r="BO14" s="357"/>
      <c r="BP14" s="376">
        <f>BP15/BP13*10000</f>
        <v>11874.695146312015</v>
      </c>
      <c r="BQ14" s="373"/>
      <c r="BR14" s="373"/>
      <c r="BS14" s="373"/>
      <c r="BT14" s="373"/>
      <c r="BU14" s="373"/>
      <c r="BV14" s="373"/>
      <c r="BW14" s="373"/>
      <c r="BX14" s="373"/>
      <c r="BY14" s="373"/>
      <c r="BZ14" s="373"/>
      <c r="CA14" s="373"/>
      <c r="CB14" s="373"/>
      <c r="CC14" s="373"/>
      <c r="CD14" s="373"/>
      <c r="CE14" s="373"/>
      <c r="CF14" s="373"/>
      <c r="CG14" s="373"/>
      <c r="CH14" s="373"/>
      <c r="CI14" s="373"/>
      <c r="CJ14" s="373"/>
      <c r="CK14" s="373"/>
      <c r="CL14" s="373"/>
      <c r="CM14" s="373"/>
      <c r="CN14" s="373"/>
      <c r="CO14" s="373"/>
      <c r="CP14" s="373"/>
      <c r="CQ14" s="373"/>
      <c r="CR14" s="373"/>
      <c r="CS14" s="373"/>
      <c r="CT14" s="373"/>
      <c r="CU14" s="373"/>
      <c r="CV14" s="373"/>
      <c r="CW14" s="373"/>
      <c r="CX14" s="373"/>
      <c r="CY14" s="373"/>
      <c r="CZ14" s="373"/>
      <c r="DA14" s="373"/>
      <c r="DB14" s="373"/>
      <c r="DC14" s="373"/>
      <c r="DD14" s="373"/>
      <c r="DE14" s="373"/>
      <c r="DF14" s="373"/>
      <c r="DG14" s="373"/>
      <c r="DH14" s="373"/>
      <c r="DI14" s="373"/>
      <c r="DJ14" s="373"/>
      <c r="DK14" s="373"/>
      <c r="DL14" s="373"/>
      <c r="DM14" s="373"/>
      <c r="DN14" s="373"/>
      <c r="DO14" s="373"/>
      <c r="DP14" s="373"/>
      <c r="DQ14" s="373"/>
      <c r="DR14" s="373"/>
      <c r="DS14" s="373"/>
      <c r="DT14" s="373"/>
      <c r="DU14" s="373"/>
      <c r="DV14" s="373"/>
      <c r="DW14" s="373"/>
      <c r="DX14" s="373"/>
      <c r="DY14" s="373"/>
      <c r="DZ14" s="373"/>
      <c r="EA14" s="373"/>
      <c r="EB14" s="373"/>
      <c r="EC14" s="373"/>
      <c r="ED14" s="373"/>
      <c r="EE14" s="373"/>
      <c r="EF14" s="373"/>
      <c r="EG14" s="373"/>
      <c r="EH14" s="373"/>
      <c r="EI14" s="373"/>
      <c r="EJ14" s="373"/>
      <c r="EK14" s="373"/>
      <c r="EL14" s="373"/>
      <c r="EM14" s="373"/>
      <c r="EN14" s="373"/>
      <c r="EO14" s="373"/>
      <c r="EP14" s="373"/>
      <c r="EQ14" s="373"/>
      <c r="ER14" s="373"/>
      <c r="ES14" s="373"/>
    </row>
    <row r="15" spans="1:149">
      <c r="A15" s="769"/>
      <c r="B15" s="775"/>
      <c r="C15" s="775" t="s">
        <v>1257</v>
      </c>
      <c r="D15" s="775"/>
      <c r="E15" s="294">
        <f t="shared" ref="E15:W15" si="41">E7+E11</f>
        <v>0</v>
      </c>
      <c r="F15" s="294">
        <f t="shared" si="41"/>
        <v>0</v>
      </c>
      <c r="G15" s="294">
        <f t="shared" si="41"/>
        <v>0</v>
      </c>
      <c r="H15" s="294">
        <f t="shared" si="41"/>
        <v>0</v>
      </c>
      <c r="I15" s="296">
        <f t="shared" si="41"/>
        <v>0</v>
      </c>
      <c r="J15" s="296">
        <f t="shared" si="41"/>
        <v>0</v>
      </c>
      <c r="K15" s="296">
        <f t="shared" si="41"/>
        <v>0</v>
      </c>
      <c r="L15" s="296">
        <f t="shared" si="41"/>
        <v>0</v>
      </c>
      <c r="M15" s="296">
        <f t="shared" si="41"/>
        <v>0</v>
      </c>
      <c r="N15" s="296">
        <f t="shared" si="41"/>
        <v>0</v>
      </c>
      <c r="O15" s="296">
        <f t="shared" si="41"/>
        <v>0</v>
      </c>
      <c r="P15" s="296">
        <f t="shared" si="41"/>
        <v>4175.5998</v>
      </c>
      <c r="Q15" s="296">
        <f t="shared" si="41"/>
        <v>2100.2337500000003</v>
      </c>
      <c r="R15" s="296">
        <f t="shared" si="41"/>
        <v>2564.6598999999997</v>
      </c>
      <c r="S15" s="296">
        <f t="shared" si="41"/>
        <v>4692.3635000000004</v>
      </c>
      <c r="T15" s="296">
        <f t="shared" si="41"/>
        <v>1677.19425</v>
      </c>
      <c r="U15" s="296">
        <f t="shared" si="41"/>
        <v>1119.6247499999999</v>
      </c>
      <c r="V15" s="296">
        <f t="shared" si="41"/>
        <v>16329.675950000001</v>
      </c>
      <c r="W15" s="296">
        <f t="shared" si="41"/>
        <v>1858.8452500000001</v>
      </c>
      <c r="X15" s="296">
        <f t="shared" ref="X15:AJ15" si="42">X7+X11</f>
        <v>1319.2069999999999</v>
      </c>
      <c r="Y15" s="296">
        <f t="shared" si="42"/>
        <v>1649.0087500000002</v>
      </c>
      <c r="Z15" s="296">
        <f t="shared" si="42"/>
        <v>1649.0087500000002</v>
      </c>
      <c r="AA15" s="296">
        <f t="shared" si="42"/>
        <v>1518.4821999999999</v>
      </c>
      <c r="AB15" s="296">
        <f t="shared" si="42"/>
        <v>1695.2302</v>
      </c>
      <c r="AC15" s="296">
        <f t="shared" si="42"/>
        <v>1518.4821999999999</v>
      </c>
      <c r="AD15" s="296">
        <f t="shared" si="42"/>
        <v>1518.4821999999999</v>
      </c>
      <c r="AE15" s="296">
        <f t="shared" si="42"/>
        <v>2064.5427500000001</v>
      </c>
      <c r="AF15" s="296">
        <f t="shared" si="42"/>
        <v>1705.3267500000002</v>
      </c>
      <c r="AG15" s="296">
        <f t="shared" si="42"/>
        <v>1543.8694</v>
      </c>
      <c r="AH15" s="296">
        <f t="shared" si="42"/>
        <v>1705.3267500000002</v>
      </c>
      <c r="AI15" s="296">
        <f t="shared" si="42"/>
        <v>19745.8122</v>
      </c>
      <c r="AJ15" s="296">
        <f t="shared" si="42"/>
        <v>1543.8694</v>
      </c>
      <c r="AK15" s="296">
        <f t="shared" ref="AK15:BI15" si="43">AK7+AK11</f>
        <v>1364.2613999999999</v>
      </c>
      <c r="AL15" s="296">
        <f t="shared" si="43"/>
        <v>1543.8694</v>
      </c>
      <c r="AM15" s="296">
        <f t="shared" si="43"/>
        <v>1769.9634500000002</v>
      </c>
      <c r="AN15" s="296">
        <f t="shared" si="43"/>
        <v>1733.4857500000003</v>
      </c>
      <c r="AO15" s="296">
        <f t="shared" si="43"/>
        <v>1733.4857500000003</v>
      </c>
      <c r="AP15" s="296">
        <f t="shared" si="43"/>
        <v>1733.4857500000003</v>
      </c>
      <c r="AQ15" s="296">
        <f t="shared" si="43"/>
        <v>1551.01775</v>
      </c>
      <c r="AR15" s="296">
        <f t="shared" si="43"/>
        <v>2132.3007500000003</v>
      </c>
      <c r="AS15" s="296">
        <f t="shared" si="43"/>
        <v>1761.6447499999999</v>
      </c>
      <c r="AT15" s="296">
        <f t="shared" si="43"/>
        <v>1576.31675</v>
      </c>
      <c r="AU15" s="296">
        <f t="shared" si="43"/>
        <v>1761.6447499999999</v>
      </c>
      <c r="AV15" s="296">
        <f t="shared" si="43"/>
        <v>20205.345649999999</v>
      </c>
      <c r="AW15" s="296">
        <f t="shared" si="43"/>
        <v>1789.80375</v>
      </c>
      <c r="AX15" s="296">
        <f t="shared" si="43"/>
        <v>1037.0517500000001</v>
      </c>
      <c r="AY15" s="296">
        <f t="shared" si="43"/>
        <v>848.86374999999998</v>
      </c>
      <c r="AZ15" s="296">
        <f t="shared" si="43"/>
        <v>848.86374999999998</v>
      </c>
      <c r="BA15" s="296">
        <f t="shared" si="43"/>
        <v>848.86374999999998</v>
      </c>
      <c r="BB15" s="296">
        <f t="shared" si="43"/>
        <v>848.86374999999998</v>
      </c>
      <c r="BC15" s="296">
        <f t="shared" si="43"/>
        <v>848.86374999999998</v>
      </c>
      <c r="BD15" s="296">
        <f t="shared" si="43"/>
        <v>848.86374999999998</v>
      </c>
      <c r="BE15" s="296">
        <f t="shared" si="43"/>
        <v>0</v>
      </c>
      <c r="BF15" s="296">
        <f t="shared" si="43"/>
        <v>0</v>
      </c>
      <c r="BG15" s="296">
        <f t="shared" si="43"/>
        <v>0</v>
      </c>
      <c r="BH15" s="296">
        <f t="shared" si="43"/>
        <v>0</v>
      </c>
      <c r="BI15" s="296">
        <f t="shared" si="43"/>
        <v>7920.0380000000023</v>
      </c>
      <c r="BJ15" s="358"/>
      <c r="BK15" s="358"/>
      <c r="BL15" s="358"/>
      <c r="BM15" s="358"/>
      <c r="BN15" s="358"/>
      <c r="BO15" s="358"/>
      <c r="BP15" s="374">
        <f t="shared" ref="BP15:BP17" si="44">I15+V15+AI15+AV15+BI15</f>
        <v>64200.871800000008</v>
      </c>
      <c r="BQ15" s="373"/>
      <c r="BR15" s="373"/>
      <c r="BS15" s="373"/>
      <c r="BT15" s="373"/>
      <c r="BU15" s="373"/>
      <c r="BV15" s="373"/>
      <c r="BW15" s="373"/>
      <c r="BX15" s="373"/>
      <c r="BY15" s="373"/>
      <c r="BZ15" s="373"/>
      <c r="CA15" s="373"/>
      <c r="CB15" s="373"/>
      <c r="CC15" s="373"/>
      <c r="CD15" s="373"/>
      <c r="CE15" s="373"/>
      <c r="CF15" s="373"/>
      <c r="CG15" s="373"/>
      <c r="CH15" s="373"/>
      <c r="CI15" s="373"/>
      <c r="CJ15" s="373"/>
      <c r="CK15" s="373"/>
      <c r="CL15" s="373"/>
      <c r="CM15" s="373"/>
      <c r="CN15" s="373"/>
      <c r="CO15" s="373"/>
      <c r="CP15" s="373"/>
      <c r="CQ15" s="373"/>
      <c r="CR15" s="373"/>
      <c r="CS15" s="373"/>
      <c r="CT15" s="373"/>
      <c r="CU15" s="373"/>
      <c r="CV15" s="373"/>
      <c r="CW15" s="373"/>
      <c r="CX15" s="373"/>
      <c r="CY15" s="373"/>
      <c r="CZ15" s="373"/>
      <c r="DA15" s="373"/>
      <c r="DB15" s="373"/>
      <c r="DC15" s="373"/>
      <c r="DD15" s="373"/>
      <c r="DE15" s="373"/>
      <c r="DF15" s="373"/>
      <c r="DG15" s="373"/>
      <c r="DH15" s="373"/>
      <c r="DI15" s="373"/>
      <c r="DJ15" s="373"/>
      <c r="DK15" s="373"/>
      <c r="DL15" s="373"/>
      <c r="DM15" s="373"/>
      <c r="DN15" s="373"/>
      <c r="DO15" s="373"/>
      <c r="DP15" s="373"/>
      <c r="DQ15" s="373"/>
      <c r="DR15" s="373"/>
      <c r="DS15" s="373"/>
      <c r="DT15" s="373"/>
      <c r="DU15" s="373"/>
      <c r="DV15" s="373"/>
      <c r="DW15" s="373"/>
      <c r="DX15" s="373"/>
      <c r="DY15" s="373"/>
      <c r="DZ15" s="373"/>
      <c r="EA15" s="373"/>
      <c r="EB15" s="373"/>
      <c r="EC15" s="373"/>
      <c r="ED15" s="373"/>
      <c r="EE15" s="373"/>
      <c r="EF15" s="373"/>
      <c r="EG15" s="373"/>
      <c r="EH15" s="373"/>
      <c r="EI15" s="373"/>
      <c r="EJ15" s="373"/>
      <c r="EK15" s="373"/>
      <c r="EL15" s="373"/>
      <c r="EM15" s="373"/>
      <c r="EN15" s="373"/>
      <c r="EO15" s="373"/>
      <c r="EP15" s="373"/>
      <c r="EQ15" s="373"/>
      <c r="ER15" s="373"/>
      <c r="ES15" s="373"/>
    </row>
    <row r="16" spans="1:149" s="276" customFormat="1" ht="12.75">
      <c r="A16" s="773" t="s">
        <v>1260</v>
      </c>
      <c r="B16" s="776" t="s">
        <v>1261</v>
      </c>
      <c r="C16" s="290" t="s">
        <v>1254</v>
      </c>
      <c r="D16" s="291">
        <v>30</v>
      </c>
      <c r="E16" s="298"/>
      <c r="F16" s="298"/>
      <c r="G16" s="299"/>
      <c r="H16" s="299"/>
      <c r="I16" s="324"/>
      <c r="J16" s="299"/>
      <c r="K16" s="299"/>
      <c r="L16" s="299"/>
      <c r="M16" s="299"/>
      <c r="N16" s="298">
        <v>0</v>
      </c>
      <c r="O16" s="298">
        <v>0</v>
      </c>
      <c r="P16" s="299">
        <v>0</v>
      </c>
      <c r="Q16" s="299">
        <v>0</v>
      </c>
      <c r="R16" s="299">
        <v>0</v>
      </c>
      <c r="S16" s="336">
        <v>0</v>
      </c>
      <c r="T16" s="299">
        <v>0</v>
      </c>
      <c r="U16" s="298">
        <v>0</v>
      </c>
      <c r="V16" s="317">
        <f t="shared" ref="V16:V21" si="45">SUM(J16:U16)</f>
        <v>0</v>
      </c>
      <c r="W16" s="299">
        <v>0</v>
      </c>
      <c r="X16" s="299">
        <v>0</v>
      </c>
      <c r="Y16" s="298">
        <v>0</v>
      </c>
      <c r="Z16" s="298">
        <v>0</v>
      </c>
      <c r="AA16" s="298">
        <v>5</v>
      </c>
      <c r="AB16" s="298">
        <v>3</v>
      </c>
      <c r="AC16" s="298">
        <v>3</v>
      </c>
      <c r="AD16" s="298">
        <v>3</v>
      </c>
      <c r="AE16" s="298">
        <v>3</v>
      </c>
      <c r="AF16" s="298">
        <v>2</v>
      </c>
      <c r="AG16" s="299">
        <v>2</v>
      </c>
      <c r="AH16" s="299">
        <v>2</v>
      </c>
      <c r="AI16" s="317">
        <f t="shared" ref="AI16:AI21" si="46">SUM(W16:AH16)</f>
        <v>23</v>
      </c>
      <c r="AJ16" s="299">
        <v>1</v>
      </c>
      <c r="AK16" s="299">
        <v>1</v>
      </c>
      <c r="AL16" s="336">
        <v>1</v>
      </c>
      <c r="AM16" s="336">
        <v>1</v>
      </c>
      <c r="AN16" s="299">
        <v>1</v>
      </c>
      <c r="AO16" s="299">
        <v>1</v>
      </c>
      <c r="AP16" s="299">
        <v>1</v>
      </c>
      <c r="AQ16" s="299">
        <v>0</v>
      </c>
      <c r="AR16" s="298">
        <v>0</v>
      </c>
      <c r="AS16" s="336">
        <v>0</v>
      </c>
      <c r="AT16" s="299">
        <v>0</v>
      </c>
      <c r="AU16" s="299">
        <v>0</v>
      </c>
      <c r="AV16" s="317">
        <f t="shared" ref="AV16:AV21" si="47">SUM(AJ16:AU16)</f>
        <v>7</v>
      </c>
      <c r="AW16" s="299">
        <v>0</v>
      </c>
      <c r="AX16" s="299">
        <v>0</v>
      </c>
      <c r="AY16" s="336">
        <v>0</v>
      </c>
      <c r="AZ16" s="336">
        <v>0</v>
      </c>
      <c r="BA16" s="336"/>
      <c r="BB16" s="336"/>
      <c r="BC16" s="336"/>
      <c r="BD16" s="336"/>
      <c r="BE16" s="336"/>
      <c r="BF16" s="336"/>
      <c r="BG16" s="336"/>
      <c r="BH16" s="336"/>
      <c r="BI16" s="359">
        <f t="shared" ref="BI16:BI21" si="48">SUM(AW16:BH16)</f>
        <v>0</v>
      </c>
      <c r="BJ16" s="360"/>
      <c r="BK16" s="360"/>
      <c r="BL16" s="360"/>
      <c r="BM16" s="360"/>
      <c r="BN16" s="360"/>
      <c r="BO16" s="360"/>
      <c r="BP16" s="374">
        <f t="shared" si="44"/>
        <v>30</v>
      </c>
      <c r="BQ16" s="377">
        <f>BP16-D16</f>
        <v>0</v>
      </c>
    </row>
    <row r="17" spans="1:69" s="276" customFormat="1" ht="12.75">
      <c r="A17" s="774"/>
      <c r="B17" s="777"/>
      <c r="C17" s="290" t="s">
        <v>1255</v>
      </c>
      <c r="D17" s="291">
        <v>147</v>
      </c>
      <c r="E17" s="292"/>
      <c r="F17" s="292"/>
      <c r="G17" s="292"/>
      <c r="H17" s="292"/>
      <c r="I17" s="324"/>
      <c r="J17" s="299"/>
      <c r="K17" s="298"/>
      <c r="L17" s="298"/>
      <c r="M17" s="298"/>
      <c r="N17" s="292">
        <f>N16*D17</f>
        <v>0</v>
      </c>
      <c r="O17" s="292">
        <f>O16*D17</f>
        <v>0</v>
      </c>
      <c r="P17" s="292">
        <f>P16*D17</f>
        <v>0</v>
      </c>
      <c r="Q17" s="292">
        <f>Q16*D17</f>
        <v>0</v>
      </c>
      <c r="R17" s="298">
        <f>R16*D17</f>
        <v>0</v>
      </c>
      <c r="S17" s="336">
        <f>S16*D17</f>
        <v>0</v>
      </c>
      <c r="T17" s="298">
        <f>T16*D17</f>
        <v>0</v>
      </c>
      <c r="U17" s="298">
        <f>U16*D17</f>
        <v>0</v>
      </c>
      <c r="V17" s="317">
        <f t="shared" si="45"/>
        <v>0</v>
      </c>
      <c r="W17" s="298">
        <f>W16*D17</f>
        <v>0</v>
      </c>
      <c r="X17" s="298">
        <f>X16*D17</f>
        <v>0</v>
      </c>
      <c r="Y17" s="298">
        <f>Y16*D17</f>
        <v>0</v>
      </c>
      <c r="Z17" s="298">
        <f>Z16*D17</f>
        <v>0</v>
      </c>
      <c r="AA17" s="298">
        <f>AA16*D17</f>
        <v>735</v>
      </c>
      <c r="AB17" s="298">
        <f>AB16*D17</f>
        <v>441</v>
      </c>
      <c r="AC17" s="298">
        <f>AC16*D17</f>
        <v>441</v>
      </c>
      <c r="AD17" s="298">
        <f>AD16*D17</f>
        <v>441</v>
      </c>
      <c r="AE17" s="298">
        <f>AE16*D17</f>
        <v>441</v>
      </c>
      <c r="AF17" s="298">
        <f>AF16*D17</f>
        <v>294</v>
      </c>
      <c r="AG17" s="298">
        <f>AG16*D17</f>
        <v>294</v>
      </c>
      <c r="AH17" s="298">
        <f>AH16*D17</f>
        <v>294</v>
      </c>
      <c r="AI17" s="317">
        <f t="shared" si="46"/>
        <v>3381</v>
      </c>
      <c r="AJ17" s="298">
        <f>AJ16*D17</f>
        <v>147</v>
      </c>
      <c r="AK17" s="298">
        <f>AK16*D17</f>
        <v>147</v>
      </c>
      <c r="AL17" s="298">
        <f>AL16*D17</f>
        <v>147</v>
      </c>
      <c r="AM17" s="298">
        <f>AM16*D17</f>
        <v>147</v>
      </c>
      <c r="AN17" s="298">
        <f>AN16*D17</f>
        <v>147</v>
      </c>
      <c r="AO17" s="298">
        <f>AO16*D17</f>
        <v>147</v>
      </c>
      <c r="AP17" s="298">
        <f>AP16*D17</f>
        <v>147</v>
      </c>
      <c r="AQ17" s="298">
        <f>AQ16*D17</f>
        <v>0</v>
      </c>
      <c r="AR17" s="298">
        <f>AR16*D17</f>
        <v>0</v>
      </c>
      <c r="AS17" s="298">
        <f>AS16*D17</f>
        <v>0</v>
      </c>
      <c r="AT17" s="298">
        <f>AT16*D17</f>
        <v>0</v>
      </c>
      <c r="AU17" s="298">
        <f>AU16*D17</f>
        <v>0</v>
      </c>
      <c r="AV17" s="317">
        <f t="shared" si="47"/>
        <v>1029</v>
      </c>
      <c r="AW17" s="299">
        <f>AW16*D17</f>
        <v>0</v>
      </c>
      <c r="AX17" s="299">
        <f>AX16*D17</f>
        <v>0</v>
      </c>
      <c r="AY17" s="299">
        <f>AY16*D17</f>
        <v>0</v>
      </c>
      <c r="AZ17" s="299">
        <f>AZ16*D17</f>
        <v>0</v>
      </c>
      <c r="BA17" s="299">
        <f t="shared" ref="BA17:BH17" si="49">BA16*190</f>
        <v>0</v>
      </c>
      <c r="BB17" s="299">
        <f t="shared" si="49"/>
        <v>0</v>
      </c>
      <c r="BC17" s="299">
        <f t="shared" si="49"/>
        <v>0</v>
      </c>
      <c r="BD17" s="299">
        <f t="shared" si="49"/>
        <v>0</v>
      </c>
      <c r="BE17" s="299">
        <f t="shared" si="49"/>
        <v>0</v>
      </c>
      <c r="BF17" s="299">
        <f t="shared" si="49"/>
        <v>0</v>
      </c>
      <c r="BG17" s="299">
        <f t="shared" si="49"/>
        <v>0</v>
      </c>
      <c r="BH17" s="299">
        <f t="shared" si="49"/>
        <v>0</v>
      </c>
      <c r="BI17" s="359">
        <f t="shared" si="48"/>
        <v>0</v>
      </c>
      <c r="BJ17" s="360"/>
      <c r="BK17" s="360"/>
      <c r="BL17" s="360"/>
      <c r="BM17" s="360"/>
      <c r="BN17" s="360"/>
      <c r="BO17" s="360"/>
      <c r="BP17" s="374">
        <f t="shared" si="44"/>
        <v>4410</v>
      </c>
    </row>
    <row r="18" spans="1:69" s="276" customFormat="1" ht="12.75">
      <c r="A18" s="774"/>
      <c r="B18" s="777"/>
      <c r="C18" s="783" t="s">
        <v>1256</v>
      </c>
      <c r="D18" s="784"/>
      <c r="E18" s="298"/>
      <c r="F18" s="298"/>
      <c r="G18" s="298"/>
      <c r="H18" s="298"/>
      <c r="I18" s="324"/>
      <c r="J18" s="298"/>
      <c r="K18" s="298"/>
      <c r="L18" s="298"/>
      <c r="M18" s="298"/>
      <c r="N18" s="306">
        <v>0</v>
      </c>
      <c r="O18" s="298">
        <f t="shared" ref="O18:Q18" si="50">N18</f>
        <v>0</v>
      </c>
      <c r="P18" s="298">
        <f t="shared" si="50"/>
        <v>0</v>
      </c>
      <c r="Q18" s="298">
        <f t="shared" si="50"/>
        <v>0</v>
      </c>
      <c r="R18" s="298"/>
      <c r="S18" s="298">
        <f t="shared" ref="S18:U18" si="51">R18</f>
        <v>0</v>
      </c>
      <c r="T18" s="298">
        <f t="shared" si="51"/>
        <v>0</v>
      </c>
      <c r="U18" s="298">
        <f t="shared" si="51"/>
        <v>0</v>
      </c>
      <c r="V18" s="337" t="e">
        <f>V19/V17*10000</f>
        <v>#DIV/0!</v>
      </c>
      <c r="W18" s="292">
        <f>U18</f>
        <v>0</v>
      </c>
      <c r="X18" s="292">
        <f t="shared" ref="X18:AD18" si="52">W18</f>
        <v>0</v>
      </c>
      <c r="Y18" s="292">
        <f t="shared" si="52"/>
        <v>0</v>
      </c>
      <c r="Z18" s="292"/>
      <c r="AA18" s="292">
        <v>13500</v>
      </c>
      <c r="AB18" s="292">
        <f t="shared" si="52"/>
        <v>13500</v>
      </c>
      <c r="AC18" s="292">
        <f t="shared" si="52"/>
        <v>13500</v>
      </c>
      <c r="AD18" s="292">
        <f t="shared" si="52"/>
        <v>13500</v>
      </c>
      <c r="AE18" s="292">
        <f>AD18+300</f>
        <v>13800</v>
      </c>
      <c r="AF18" s="292">
        <f t="shared" ref="AF18:AH18" si="53">AE18</f>
        <v>13800</v>
      </c>
      <c r="AG18" s="292">
        <f t="shared" si="53"/>
        <v>13800</v>
      </c>
      <c r="AH18" s="292">
        <f t="shared" si="53"/>
        <v>13800</v>
      </c>
      <c r="AI18" s="337">
        <f>AI19/AI17*10000</f>
        <v>13617.391304347826</v>
      </c>
      <c r="AJ18" s="298">
        <f>AH18</f>
        <v>13800</v>
      </c>
      <c r="AK18" s="298">
        <f>AJ18</f>
        <v>13800</v>
      </c>
      <c r="AL18" s="298">
        <f>AK18</f>
        <v>13800</v>
      </c>
      <c r="AM18" s="298">
        <f>AL18+300</f>
        <v>14100</v>
      </c>
      <c r="AN18" s="298">
        <f t="shared" ref="AN18:AU18" si="54">AM18</f>
        <v>14100</v>
      </c>
      <c r="AO18" s="298">
        <f t="shared" si="54"/>
        <v>14100</v>
      </c>
      <c r="AP18" s="298">
        <f t="shared" si="54"/>
        <v>14100</v>
      </c>
      <c r="AQ18" s="298">
        <f t="shared" si="54"/>
        <v>14100</v>
      </c>
      <c r="AR18" s="298">
        <f>AQ18+300</f>
        <v>14400</v>
      </c>
      <c r="AS18" s="298">
        <f t="shared" si="54"/>
        <v>14400</v>
      </c>
      <c r="AT18" s="298">
        <f t="shared" si="54"/>
        <v>14400</v>
      </c>
      <c r="AU18" s="298">
        <f t="shared" si="54"/>
        <v>14400</v>
      </c>
      <c r="AV18" s="337">
        <f>AV19/AV17*10000</f>
        <v>13971.428571428572</v>
      </c>
      <c r="AW18" s="299">
        <f>AU18</f>
        <v>14400</v>
      </c>
      <c r="AX18" s="299">
        <f t="shared" ref="AX18:BH18" si="55">AW18</f>
        <v>14400</v>
      </c>
      <c r="AY18" s="299">
        <f t="shared" si="55"/>
        <v>14400</v>
      </c>
      <c r="AZ18" s="336">
        <f t="shared" si="55"/>
        <v>14400</v>
      </c>
      <c r="BA18" s="336">
        <f t="shared" si="55"/>
        <v>14400</v>
      </c>
      <c r="BB18" s="336">
        <f t="shared" si="55"/>
        <v>14400</v>
      </c>
      <c r="BC18" s="336">
        <f t="shared" si="55"/>
        <v>14400</v>
      </c>
      <c r="BD18" s="336">
        <f t="shared" si="55"/>
        <v>14400</v>
      </c>
      <c r="BE18" s="336">
        <f t="shared" si="55"/>
        <v>14400</v>
      </c>
      <c r="BF18" s="336">
        <f t="shared" si="55"/>
        <v>14400</v>
      </c>
      <c r="BG18" s="336">
        <f t="shared" si="55"/>
        <v>14400</v>
      </c>
      <c r="BH18" s="336">
        <f t="shared" si="55"/>
        <v>14400</v>
      </c>
      <c r="BI18" s="359" t="e">
        <f>BI19/BI17*10000</f>
        <v>#DIV/0!</v>
      </c>
      <c r="BJ18" s="360"/>
      <c r="BK18" s="360"/>
      <c r="BL18" s="360"/>
      <c r="BM18" s="360"/>
      <c r="BN18" s="360"/>
      <c r="BO18" s="360"/>
      <c r="BP18" s="378">
        <f>BP19/BP17*10000</f>
        <v>13699.999999999998</v>
      </c>
    </row>
    <row r="19" spans="1:69" s="276" customFormat="1" ht="12.75">
      <c r="A19" s="774"/>
      <c r="B19" s="778"/>
      <c r="C19" s="769" t="s">
        <v>1257</v>
      </c>
      <c r="D19" s="769"/>
      <c r="E19" s="290"/>
      <c r="F19" s="290"/>
      <c r="G19" s="290"/>
      <c r="H19" s="290"/>
      <c r="I19" s="325"/>
      <c r="J19" s="298"/>
      <c r="K19" s="298"/>
      <c r="L19" s="298"/>
      <c r="M19" s="298"/>
      <c r="N19" s="298">
        <f t="shared" ref="N19:U19" si="56">N17*N18/10000</f>
        <v>0</v>
      </c>
      <c r="O19" s="298">
        <f t="shared" si="56"/>
        <v>0</v>
      </c>
      <c r="P19" s="298">
        <f t="shared" si="56"/>
        <v>0</v>
      </c>
      <c r="Q19" s="298">
        <f t="shared" si="56"/>
        <v>0</v>
      </c>
      <c r="R19" s="298">
        <f t="shared" si="56"/>
        <v>0</v>
      </c>
      <c r="S19" s="298">
        <f t="shared" si="56"/>
        <v>0</v>
      </c>
      <c r="T19" s="298">
        <f t="shared" si="56"/>
        <v>0</v>
      </c>
      <c r="U19" s="298">
        <f t="shared" si="56"/>
        <v>0</v>
      </c>
      <c r="V19" s="317">
        <f t="shared" si="45"/>
        <v>0</v>
      </c>
      <c r="W19" s="298">
        <f>W17*W18/10000</f>
        <v>0</v>
      </c>
      <c r="X19" s="298">
        <f t="shared" ref="X19:AH19" si="57">X17*X18/10000</f>
        <v>0</v>
      </c>
      <c r="Y19" s="298">
        <f t="shared" si="57"/>
        <v>0</v>
      </c>
      <c r="Z19" s="298">
        <f t="shared" si="57"/>
        <v>0</v>
      </c>
      <c r="AA19" s="298">
        <f t="shared" si="57"/>
        <v>992.25</v>
      </c>
      <c r="AB19" s="298">
        <f t="shared" si="57"/>
        <v>595.35</v>
      </c>
      <c r="AC19" s="298">
        <f t="shared" si="57"/>
        <v>595.35</v>
      </c>
      <c r="AD19" s="298">
        <f t="shared" si="57"/>
        <v>595.35</v>
      </c>
      <c r="AE19" s="298">
        <f t="shared" si="57"/>
        <v>608.58000000000004</v>
      </c>
      <c r="AF19" s="298">
        <f t="shared" si="57"/>
        <v>405.72</v>
      </c>
      <c r="AG19" s="298">
        <f t="shared" si="57"/>
        <v>405.72</v>
      </c>
      <c r="AH19" s="298">
        <f t="shared" si="57"/>
        <v>405.72</v>
      </c>
      <c r="AI19" s="317">
        <f t="shared" si="46"/>
        <v>4604.04</v>
      </c>
      <c r="AJ19" s="298">
        <f>AJ17*AJ18/10000</f>
        <v>202.86</v>
      </c>
      <c r="AK19" s="298">
        <f t="shared" ref="AK19:AU19" si="58">AK17*AK18/10000</f>
        <v>202.86</v>
      </c>
      <c r="AL19" s="298">
        <f t="shared" si="58"/>
        <v>202.86</v>
      </c>
      <c r="AM19" s="298">
        <f t="shared" si="58"/>
        <v>207.27</v>
      </c>
      <c r="AN19" s="298">
        <f t="shared" si="58"/>
        <v>207.27</v>
      </c>
      <c r="AO19" s="298">
        <f t="shared" si="58"/>
        <v>207.27</v>
      </c>
      <c r="AP19" s="298">
        <f t="shared" si="58"/>
        <v>207.27</v>
      </c>
      <c r="AQ19" s="299">
        <f t="shared" si="58"/>
        <v>0</v>
      </c>
      <c r="AR19" s="299">
        <f t="shared" si="58"/>
        <v>0</v>
      </c>
      <c r="AS19" s="299">
        <f t="shared" si="58"/>
        <v>0</v>
      </c>
      <c r="AT19" s="299">
        <f t="shared" si="58"/>
        <v>0</v>
      </c>
      <c r="AU19" s="299">
        <f t="shared" si="58"/>
        <v>0</v>
      </c>
      <c r="AV19" s="317">
        <f t="shared" si="47"/>
        <v>1437.66</v>
      </c>
      <c r="AW19" s="299">
        <f>AW17*AW18/10000</f>
        <v>0</v>
      </c>
      <c r="AX19" s="299">
        <f t="shared" ref="AX19:BH19" si="59">AX17*AX18/10000</f>
        <v>0</v>
      </c>
      <c r="AY19" s="299">
        <f t="shared" si="59"/>
        <v>0</v>
      </c>
      <c r="AZ19" s="299">
        <f t="shared" si="59"/>
        <v>0</v>
      </c>
      <c r="BA19" s="299">
        <f t="shared" si="59"/>
        <v>0</v>
      </c>
      <c r="BB19" s="299">
        <f t="shared" si="59"/>
        <v>0</v>
      </c>
      <c r="BC19" s="299">
        <f t="shared" si="59"/>
        <v>0</v>
      </c>
      <c r="BD19" s="299">
        <f t="shared" si="59"/>
        <v>0</v>
      </c>
      <c r="BE19" s="299">
        <f t="shared" si="59"/>
        <v>0</v>
      </c>
      <c r="BF19" s="299">
        <f t="shared" si="59"/>
        <v>0</v>
      </c>
      <c r="BG19" s="299">
        <f t="shared" si="59"/>
        <v>0</v>
      </c>
      <c r="BH19" s="299">
        <f t="shared" si="59"/>
        <v>0</v>
      </c>
      <c r="BI19" s="359">
        <f t="shared" si="48"/>
        <v>0</v>
      </c>
      <c r="BJ19" s="360"/>
      <c r="BK19" s="360"/>
      <c r="BL19" s="360"/>
      <c r="BM19" s="360"/>
      <c r="BN19" s="360"/>
      <c r="BO19" s="360"/>
      <c r="BP19" s="370">
        <f t="shared" ref="BP19:BP21" si="60">I19+V19+AI19+AV19+BI19</f>
        <v>6041.7</v>
      </c>
    </row>
    <row r="20" spans="1:69" s="276" customFormat="1" ht="12.75">
      <c r="A20" s="774"/>
      <c r="B20" s="776" t="s">
        <v>1262</v>
      </c>
      <c r="C20" s="290" t="s">
        <v>1254</v>
      </c>
      <c r="D20" s="291">
        <v>30</v>
      </c>
      <c r="E20" s="301"/>
      <c r="F20" s="301"/>
      <c r="G20" s="300"/>
      <c r="H20" s="300"/>
      <c r="I20" s="325"/>
      <c r="J20" s="300"/>
      <c r="K20" s="300"/>
      <c r="L20" s="326"/>
      <c r="M20" s="301"/>
      <c r="N20" s="301">
        <v>0</v>
      </c>
      <c r="O20" s="301">
        <v>0</v>
      </c>
      <c r="P20" s="300">
        <v>0</v>
      </c>
      <c r="Q20" s="300">
        <v>0</v>
      </c>
      <c r="R20" s="301">
        <v>0</v>
      </c>
      <c r="S20" s="326">
        <v>0</v>
      </c>
      <c r="T20" s="300">
        <v>0</v>
      </c>
      <c r="U20" s="301">
        <v>0</v>
      </c>
      <c r="V20" s="338">
        <f t="shared" si="45"/>
        <v>0</v>
      </c>
      <c r="W20" s="300">
        <v>0</v>
      </c>
      <c r="X20" s="300">
        <v>0</v>
      </c>
      <c r="Y20" s="301">
        <v>0</v>
      </c>
      <c r="Z20" s="301">
        <v>0</v>
      </c>
      <c r="AA20" s="301">
        <v>5</v>
      </c>
      <c r="AB20" s="301">
        <v>2</v>
      </c>
      <c r="AC20" s="301">
        <v>2</v>
      </c>
      <c r="AD20" s="301">
        <v>2</v>
      </c>
      <c r="AE20" s="301">
        <v>3</v>
      </c>
      <c r="AF20" s="301">
        <v>2</v>
      </c>
      <c r="AG20" s="300">
        <v>2</v>
      </c>
      <c r="AH20" s="300">
        <v>2</v>
      </c>
      <c r="AI20" s="338">
        <f t="shared" si="46"/>
        <v>20</v>
      </c>
      <c r="AJ20" s="300">
        <v>1</v>
      </c>
      <c r="AK20" s="300">
        <v>1</v>
      </c>
      <c r="AL20" s="326">
        <v>1</v>
      </c>
      <c r="AM20" s="326">
        <v>1</v>
      </c>
      <c r="AN20" s="300">
        <v>1</v>
      </c>
      <c r="AO20" s="300">
        <v>1</v>
      </c>
      <c r="AP20" s="300">
        <v>1</v>
      </c>
      <c r="AQ20" s="300">
        <v>1</v>
      </c>
      <c r="AR20" s="301">
        <v>1</v>
      </c>
      <c r="AS20" s="326">
        <v>1</v>
      </c>
      <c r="AT20" s="300">
        <v>0</v>
      </c>
      <c r="AU20" s="300">
        <v>0</v>
      </c>
      <c r="AV20" s="338">
        <f t="shared" si="47"/>
        <v>10</v>
      </c>
      <c r="AW20" s="300">
        <v>0</v>
      </c>
      <c r="AX20" s="300">
        <v>0</v>
      </c>
      <c r="AY20" s="326">
        <v>0</v>
      </c>
      <c r="AZ20" s="326">
        <v>0</v>
      </c>
      <c r="BA20" s="326">
        <v>0</v>
      </c>
      <c r="BB20" s="326">
        <v>0</v>
      </c>
      <c r="BC20" s="326">
        <v>0</v>
      </c>
      <c r="BD20" s="326"/>
      <c r="BE20" s="326"/>
      <c r="BF20" s="326"/>
      <c r="BG20" s="326"/>
      <c r="BH20" s="326"/>
      <c r="BI20" s="361">
        <f t="shared" si="48"/>
        <v>0</v>
      </c>
      <c r="BJ20" s="362"/>
      <c r="BK20" s="362"/>
      <c r="BL20" s="362"/>
      <c r="BM20" s="362"/>
      <c r="BN20" s="362"/>
      <c r="BO20" s="362"/>
      <c r="BP20" s="370">
        <f t="shared" si="60"/>
        <v>30</v>
      </c>
      <c r="BQ20" s="377">
        <f>BP20-D20</f>
        <v>0</v>
      </c>
    </row>
    <row r="21" spans="1:69" s="276" customFormat="1" ht="12.75">
      <c r="A21" s="774"/>
      <c r="B21" s="777"/>
      <c r="C21" s="290" t="s">
        <v>1255</v>
      </c>
      <c r="D21" s="291">
        <v>146</v>
      </c>
      <c r="E21" s="302"/>
      <c r="F21" s="302"/>
      <c r="G21" s="302"/>
      <c r="H21" s="302"/>
      <c r="I21" s="324"/>
      <c r="J21" s="300"/>
      <c r="K21" s="300"/>
      <c r="L21" s="300"/>
      <c r="M21" s="300"/>
      <c r="N21" s="302">
        <f>N20*D21</f>
        <v>0</v>
      </c>
      <c r="O21" s="302">
        <f>O20*D21</f>
        <v>0</v>
      </c>
      <c r="P21" s="302">
        <f>P20*D21</f>
        <v>0</v>
      </c>
      <c r="Q21" s="302">
        <f>Q20*D21</f>
        <v>0</v>
      </c>
      <c r="R21" s="300">
        <f>R20*D21</f>
        <v>0</v>
      </c>
      <c r="S21" s="300">
        <f>S20*D21</f>
        <v>0</v>
      </c>
      <c r="T21" s="300">
        <f>T20*D21</f>
        <v>0</v>
      </c>
      <c r="U21" s="300">
        <f>U20*D21</f>
        <v>0</v>
      </c>
      <c r="V21" s="338">
        <f t="shared" si="45"/>
        <v>0</v>
      </c>
      <c r="W21" s="300">
        <f>W20*D21</f>
        <v>0</v>
      </c>
      <c r="X21" s="300">
        <f>X20*D21</f>
        <v>0</v>
      </c>
      <c r="Y21" s="300">
        <f>Y20*D21</f>
        <v>0</v>
      </c>
      <c r="Z21" s="300">
        <f>Z20*D21</f>
        <v>0</v>
      </c>
      <c r="AA21" s="300">
        <f>AA20*D21</f>
        <v>730</v>
      </c>
      <c r="AB21" s="300">
        <f>AB20*D21</f>
        <v>292</v>
      </c>
      <c r="AC21" s="300">
        <f>AC20*D21</f>
        <v>292</v>
      </c>
      <c r="AD21" s="300">
        <f>AD20*D21</f>
        <v>292</v>
      </c>
      <c r="AE21" s="300">
        <f>AE20*D21</f>
        <v>438</v>
      </c>
      <c r="AF21" s="300">
        <f>AF20*D21</f>
        <v>292</v>
      </c>
      <c r="AG21" s="300">
        <f>AG20*D21</f>
        <v>292</v>
      </c>
      <c r="AH21" s="300">
        <f>AH20*D21</f>
        <v>292</v>
      </c>
      <c r="AI21" s="338">
        <f t="shared" si="46"/>
        <v>2920</v>
      </c>
      <c r="AJ21" s="300">
        <f>AJ20*D21</f>
        <v>146</v>
      </c>
      <c r="AK21" s="300">
        <f>AK20*D21</f>
        <v>146</v>
      </c>
      <c r="AL21" s="298">
        <f>AL20*D21</f>
        <v>146</v>
      </c>
      <c r="AM21" s="298">
        <f>AM20*D21</f>
        <v>146</v>
      </c>
      <c r="AN21" s="298">
        <f>AN20*D21</f>
        <v>146</v>
      </c>
      <c r="AO21" s="298">
        <f>AO20*D21</f>
        <v>146</v>
      </c>
      <c r="AP21" s="298">
        <f>AP20*D21</f>
        <v>146</v>
      </c>
      <c r="AQ21" s="300">
        <f>AQ20*D21</f>
        <v>146</v>
      </c>
      <c r="AR21" s="300">
        <f>AR20*D21</f>
        <v>146</v>
      </c>
      <c r="AS21" s="300">
        <f>AS20*D21</f>
        <v>146</v>
      </c>
      <c r="AT21" s="300">
        <f>AT20*D21</f>
        <v>0</v>
      </c>
      <c r="AU21" s="300">
        <f>AU20*D21</f>
        <v>0</v>
      </c>
      <c r="AV21" s="338">
        <f t="shared" si="47"/>
        <v>1460</v>
      </c>
      <c r="AW21" s="300">
        <f>AW20*D21</f>
        <v>0</v>
      </c>
      <c r="AX21" s="300">
        <f>AX20*D21</f>
        <v>0</v>
      </c>
      <c r="AY21" s="300">
        <f>AY20*D21</f>
        <v>0</v>
      </c>
      <c r="AZ21" s="300">
        <f>AZ20*D21</f>
        <v>0</v>
      </c>
      <c r="BA21" s="300">
        <f>BA20*D21</f>
        <v>0</v>
      </c>
      <c r="BB21" s="300">
        <f>BB20*D21</f>
        <v>0</v>
      </c>
      <c r="BC21" s="300">
        <f>BC20*D21</f>
        <v>0</v>
      </c>
      <c r="BD21" s="300">
        <f>BD20*D21</f>
        <v>0</v>
      </c>
      <c r="BE21" s="300">
        <f>BE20*D21</f>
        <v>0</v>
      </c>
      <c r="BF21" s="300">
        <f>BF20*D21</f>
        <v>0</v>
      </c>
      <c r="BG21" s="300">
        <f>BG20*D21</f>
        <v>0</v>
      </c>
      <c r="BH21" s="300">
        <f>BH20*D21</f>
        <v>0</v>
      </c>
      <c r="BI21" s="361">
        <f t="shared" si="48"/>
        <v>0</v>
      </c>
      <c r="BJ21" s="362"/>
      <c r="BK21" s="362"/>
      <c r="BL21" s="362"/>
      <c r="BM21" s="362"/>
      <c r="BN21" s="362"/>
      <c r="BO21" s="362"/>
      <c r="BP21" s="374">
        <f t="shared" si="60"/>
        <v>4380</v>
      </c>
    </row>
    <row r="22" spans="1:69" s="276" customFormat="1" ht="12.75">
      <c r="A22" s="774"/>
      <c r="B22" s="777"/>
      <c r="C22" s="783" t="s">
        <v>1256</v>
      </c>
      <c r="D22" s="784"/>
      <c r="E22" s="302"/>
      <c r="F22" s="301"/>
      <c r="G22" s="300"/>
      <c r="H22" s="300"/>
      <c r="I22" s="327"/>
      <c r="J22" s="308"/>
      <c r="K22" s="308"/>
      <c r="L22" s="301"/>
      <c r="M22" s="301"/>
      <c r="N22" s="306">
        <v>0</v>
      </c>
      <c r="O22" s="301">
        <f t="shared" ref="O22:Q22" si="61">N22</f>
        <v>0</v>
      </c>
      <c r="P22" s="300">
        <f t="shared" si="61"/>
        <v>0</v>
      </c>
      <c r="Q22" s="300">
        <f t="shared" si="61"/>
        <v>0</v>
      </c>
      <c r="R22" s="301"/>
      <c r="S22" s="301">
        <f t="shared" ref="S22:U22" si="62">R22</f>
        <v>0</v>
      </c>
      <c r="T22" s="308">
        <f t="shared" si="62"/>
        <v>0</v>
      </c>
      <c r="U22" s="301">
        <f t="shared" si="62"/>
        <v>0</v>
      </c>
      <c r="V22" s="339" t="e">
        <f>V23/V21*10000</f>
        <v>#DIV/0!</v>
      </c>
      <c r="W22" s="308">
        <f>U22</f>
        <v>0</v>
      </c>
      <c r="X22" s="308">
        <f t="shared" ref="X22:AD22" si="63">W22</f>
        <v>0</v>
      </c>
      <c r="Y22" s="301">
        <f t="shared" si="63"/>
        <v>0</v>
      </c>
      <c r="Z22" s="301">
        <v>0</v>
      </c>
      <c r="AA22" s="301">
        <v>12000</v>
      </c>
      <c r="AB22" s="301">
        <f t="shared" si="63"/>
        <v>12000</v>
      </c>
      <c r="AC22" s="301">
        <f t="shared" si="63"/>
        <v>12000</v>
      </c>
      <c r="AD22" s="301">
        <f t="shared" si="63"/>
        <v>12000</v>
      </c>
      <c r="AE22" s="301">
        <f>AD22+200</f>
        <v>12200</v>
      </c>
      <c r="AF22" s="301">
        <f t="shared" ref="AF22:AH22" si="64">AE22</f>
        <v>12200</v>
      </c>
      <c r="AG22" s="301">
        <f t="shared" si="64"/>
        <v>12200</v>
      </c>
      <c r="AH22" s="301">
        <f t="shared" si="64"/>
        <v>12200</v>
      </c>
      <c r="AI22" s="339">
        <f>AI23/AI21*10000</f>
        <v>12089.999999999998</v>
      </c>
      <c r="AJ22" s="300">
        <f>AH22+200</f>
        <v>12400</v>
      </c>
      <c r="AK22" s="300">
        <f t="shared" ref="AK22:AQ22" si="65">AJ22</f>
        <v>12400</v>
      </c>
      <c r="AL22" s="298">
        <f t="shared" si="65"/>
        <v>12400</v>
      </c>
      <c r="AM22" s="298">
        <f t="shared" si="65"/>
        <v>12400</v>
      </c>
      <c r="AN22" s="298">
        <f t="shared" si="65"/>
        <v>12400</v>
      </c>
      <c r="AO22" s="298">
        <f t="shared" si="65"/>
        <v>12400</v>
      </c>
      <c r="AP22" s="298">
        <f t="shared" si="65"/>
        <v>12400</v>
      </c>
      <c r="AQ22" s="300">
        <f t="shared" si="65"/>
        <v>12400</v>
      </c>
      <c r="AR22" s="301">
        <f>AQ22+200</f>
        <v>12600</v>
      </c>
      <c r="AS22" s="301">
        <f t="shared" ref="AS22:AU22" si="66">AR22</f>
        <v>12600</v>
      </c>
      <c r="AT22" s="300">
        <f t="shared" si="66"/>
        <v>12600</v>
      </c>
      <c r="AU22" s="300">
        <f t="shared" si="66"/>
        <v>12600</v>
      </c>
      <c r="AV22" s="339">
        <f>AV23/AV21*10000</f>
        <v>12440</v>
      </c>
      <c r="AW22" s="300">
        <f>AU22</f>
        <v>12600</v>
      </c>
      <c r="AX22" s="300">
        <f t="shared" ref="AX22:BH22" si="67">AW22</f>
        <v>12600</v>
      </c>
      <c r="AY22" s="326">
        <f t="shared" si="67"/>
        <v>12600</v>
      </c>
      <c r="AZ22" s="326">
        <f t="shared" si="67"/>
        <v>12600</v>
      </c>
      <c r="BA22" s="326">
        <f t="shared" si="67"/>
        <v>12600</v>
      </c>
      <c r="BB22" s="326">
        <f t="shared" si="67"/>
        <v>12600</v>
      </c>
      <c r="BC22" s="326">
        <f t="shared" si="67"/>
        <v>12600</v>
      </c>
      <c r="BD22" s="326">
        <f t="shared" si="67"/>
        <v>12600</v>
      </c>
      <c r="BE22" s="326">
        <f t="shared" si="67"/>
        <v>12600</v>
      </c>
      <c r="BF22" s="326">
        <f t="shared" si="67"/>
        <v>12600</v>
      </c>
      <c r="BG22" s="326">
        <f t="shared" si="67"/>
        <v>12600</v>
      </c>
      <c r="BH22" s="326">
        <f t="shared" si="67"/>
        <v>12600</v>
      </c>
      <c r="BI22" s="361" t="e">
        <f>BI23/BI21*10000</f>
        <v>#DIV/0!</v>
      </c>
      <c r="BJ22" s="362"/>
      <c r="BK22" s="362"/>
      <c r="BL22" s="362"/>
      <c r="BM22" s="362"/>
      <c r="BN22" s="362"/>
      <c r="BO22" s="362"/>
      <c r="BP22" s="378">
        <f>BP23/BP21*10000</f>
        <v>12206.666666666666</v>
      </c>
    </row>
    <row r="23" spans="1:69" s="276" customFormat="1" ht="12.75">
      <c r="A23" s="774"/>
      <c r="B23" s="778"/>
      <c r="C23" s="769" t="s">
        <v>1257</v>
      </c>
      <c r="D23" s="769"/>
      <c r="E23" s="301"/>
      <c r="F23" s="301"/>
      <c r="G23" s="301"/>
      <c r="H23" s="301"/>
      <c r="I23" s="327"/>
      <c r="J23" s="300"/>
      <c r="K23" s="300"/>
      <c r="L23" s="300"/>
      <c r="M23" s="300"/>
      <c r="N23" s="300">
        <f t="shared" ref="N23:U23" si="68">N21*N22/10000</f>
        <v>0</v>
      </c>
      <c r="O23" s="300">
        <f t="shared" si="68"/>
        <v>0</v>
      </c>
      <c r="P23" s="300">
        <f t="shared" si="68"/>
        <v>0</v>
      </c>
      <c r="Q23" s="300">
        <f t="shared" si="68"/>
        <v>0</v>
      </c>
      <c r="R23" s="300">
        <f t="shared" si="68"/>
        <v>0</v>
      </c>
      <c r="S23" s="300">
        <f t="shared" si="68"/>
        <v>0</v>
      </c>
      <c r="T23" s="300">
        <f t="shared" si="68"/>
        <v>0</v>
      </c>
      <c r="U23" s="300">
        <f t="shared" si="68"/>
        <v>0</v>
      </c>
      <c r="V23" s="338">
        <f>SUM(J23:U23)</f>
        <v>0</v>
      </c>
      <c r="W23" s="300">
        <f>W21*W22/10000</f>
        <v>0</v>
      </c>
      <c r="X23" s="300">
        <f t="shared" ref="X23:AH23" si="69">X21*X22/10000</f>
        <v>0</v>
      </c>
      <c r="Y23" s="300">
        <f t="shared" si="69"/>
        <v>0</v>
      </c>
      <c r="Z23" s="300">
        <f t="shared" si="69"/>
        <v>0</v>
      </c>
      <c r="AA23" s="300">
        <f t="shared" si="69"/>
        <v>876</v>
      </c>
      <c r="AB23" s="300">
        <f t="shared" si="69"/>
        <v>350.4</v>
      </c>
      <c r="AC23" s="300">
        <f t="shared" si="69"/>
        <v>350.4</v>
      </c>
      <c r="AD23" s="300">
        <f t="shared" si="69"/>
        <v>350.4</v>
      </c>
      <c r="AE23" s="300">
        <f t="shared" si="69"/>
        <v>534.36</v>
      </c>
      <c r="AF23" s="300">
        <f t="shared" si="69"/>
        <v>356.24</v>
      </c>
      <c r="AG23" s="300">
        <f t="shared" si="69"/>
        <v>356.24</v>
      </c>
      <c r="AH23" s="300">
        <f t="shared" si="69"/>
        <v>356.24</v>
      </c>
      <c r="AI23" s="338">
        <f>SUM(W23:AH23)</f>
        <v>3530.2799999999997</v>
      </c>
      <c r="AJ23" s="300">
        <f>AJ21*AJ22/10000</f>
        <v>181.04</v>
      </c>
      <c r="AK23" s="300">
        <f t="shared" ref="AK23:AU23" si="70">AK21*AK22/10000</f>
        <v>181.04</v>
      </c>
      <c r="AL23" s="298">
        <f t="shared" si="70"/>
        <v>181.04</v>
      </c>
      <c r="AM23" s="298">
        <f t="shared" si="70"/>
        <v>181.04</v>
      </c>
      <c r="AN23" s="298">
        <f t="shared" si="70"/>
        <v>181.04</v>
      </c>
      <c r="AO23" s="298">
        <f t="shared" si="70"/>
        <v>181.04</v>
      </c>
      <c r="AP23" s="298">
        <f t="shared" si="70"/>
        <v>181.04</v>
      </c>
      <c r="AQ23" s="300">
        <f t="shared" si="70"/>
        <v>181.04</v>
      </c>
      <c r="AR23" s="300">
        <f t="shared" si="70"/>
        <v>183.96</v>
      </c>
      <c r="AS23" s="300">
        <f t="shared" si="70"/>
        <v>183.96</v>
      </c>
      <c r="AT23" s="300">
        <f t="shared" si="70"/>
        <v>0</v>
      </c>
      <c r="AU23" s="300">
        <f t="shared" si="70"/>
        <v>0</v>
      </c>
      <c r="AV23" s="338">
        <f>SUM(AJ23:AU23)</f>
        <v>1816.24</v>
      </c>
      <c r="AW23" s="300">
        <f>AW21*AW22/10000</f>
        <v>0</v>
      </c>
      <c r="AX23" s="300">
        <f t="shared" ref="AX23:BH23" si="71">AX21*AX22/10000</f>
        <v>0</v>
      </c>
      <c r="AY23" s="300">
        <f t="shared" si="71"/>
        <v>0</v>
      </c>
      <c r="AZ23" s="300">
        <f t="shared" si="71"/>
        <v>0</v>
      </c>
      <c r="BA23" s="300">
        <f t="shared" si="71"/>
        <v>0</v>
      </c>
      <c r="BB23" s="300">
        <f t="shared" si="71"/>
        <v>0</v>
      </c>
      <c r="BC23" s="300">
        <f t="shared" si="71"/>
        <v>0</v>
      </c>
      <c r="BD23" s="300">
        <f t="shared" si="71"/>
        <v>0</v>
      </c>
      <c r="BE23" s="300">
        <f t="shared" si="71"/>
        <v>0</v>
      </c>
      <c r="BF23" s="300">
        <f t="shared" si="71"/>
        <v>0</v>
      </c>
      <c r="BG23" s="300">
        <f t="shared" si="71"/>
        <v>0</v>
      </c>
      <c r="BH23" s="300">
        <f t="shared" si="71"/>
        <v>0</v>
      </c>
      <c r="BI23" s="361">
        <f>SUM(AW23:BH23)</f>
        <v>0</v>
      </c>
      <c r="BJ23" s="362"/>
      <c r="BK23" s="362"/>
      <c r="BL23" s="362"/>
      <c r="BM23" s="362"/>
      <c r="BN23" s="362"/>
      <c r="BO23" s="362"/>
      <c r="BP23" s="370">
        <f t="shared" ref="BP23:BP25" si="72">I23+V23+AI23+AV23+BI23</f>
        <v>5346.5199999999995</v>
      </c>
    </row>
    <row r="24" spans="1:69" s="276" customFormat="1" ht="12.75">
      <c r="A24" s="774"/>
      <c r="B24" s="779" t="s">
        <v>1259</v>
      </c>
      <c r="C24" s="294" t="s">
        <v>1254</v>
      </c>
      <c r="D24" s="295">
        <f>D16+D20</f>
        <v>60</v>
      </c>
      <c r="E24" s="303"/>
      <c r="F24" s="303"/>
      <c r="G24" s="303"/>
      <c r="H24" s="303"/>
      <c r="I24" s="304"/>
      <c r="J24" s="303"/>
      <c r="K24" s="303"/>
      <c r="L24" s="303"/>
      <c r="M24" s="303"/>
      <c r="N24" s="303">
        <f t="shared" ref="N24:BH25" si="73">N16+N20</f>
        <v>0</v>
      </c>
      <c r="O24" s="303">
        <f t="shared" si="73"/>
        <v>0</v>
      </c>
      <c r="P24" s="303">
        <f t="shared" si="73"/>
        <v>0</v>
      </c>
      <c r="Q24" s="303">
        <f t="shared" si="73"/>
        <v>0</v>
      </c>
      <c r="R24" s="303">
        <f t="shared" si="73"/>
        <v>0</v>
      </c>
      <c r="S24" s="303">
        <f t="shared" si="73"/>
        <v>0</v>
      </c>
      <c r="T24" s="303">
        <f t="shared" si="73"/>
        <v>0</v>
      </c>
      <c r="U24" s="303">
        <f t="shared" si="73"/>
        <v>0</v>
      </c>
      <c r="V24" s="303">
        <f t="shared" si="73"/>
        <v>0</v>
      </c>
      <c r="W24" s="303">
        <f t="shared" si="73"/>
        <v>0</v>
      </c>
      <c r="X24" s="303">
        <f t="shared" si="73"/>
        <v>0</v>
      </c>
      <c r="Y24" s="303">
        <f t="shared" si="73"/>
        <v>0</v>
      </c>
      <c r="Z24" s="303">
        <f t="shared" si="73"/>
        <v>0</v>
      </c>
      <c r="AA24" s="303">
        <f t="shared" si="73"/>
        <v>10</v>
      </c>
      <c r="AB24" s="303">
        <f t="shared" si="73"/>
        <v>5</v>
      </c>
      <c r="AC24" s="303">
        <f t="shared" si="73"/>
        <v>5</v>
      </c>
      <c r="AD24" s="303">
        <f t="shared" si="73"/>
        <v>5</v>
      </c>
      <c r="AE24" s="303">
        <f t="shared" si="73"/>
        <v>6</v>
      </c>
      <c r="AF24" s="303">
        <f t="shared" si="73"/>
        <v>4</v>
      </c>
      <c r="AG24" s="303">
        <f t="shared" si="73"/>
        <v>4</v>
      </c>
      <c r="AH24" s="303">
        <f t="shared" si="73"/>
        <v>4</v>
      </c>
      <c r="AI24" s="303">
        <f t="shared" si="73"/>
        <v>43</v>
      </c>
      <c r="AJ24" s="303">
        <f t="shared" si="73"/>
        <v>2</v>
      </c>
      <c r="AK24" s="303">
        <f t="shared" si="73"/>
        <v>2</v>
      </c>
      <c r="AL24" s="303">
        <f t="shared" si="73"/>
        <v>2</v>
      </c>
      <c r="AM24" s="303">
        <f t="shared" si="73"/>
        <v>2</v>
      </c>
      <c r="AN24" s="303">
        <f t="shared" si="73"/>
        <v>2</v>
      </c>
      <c r="AO24" s="303">
        <f t="shared" si="73"/>
        <v>2</v>
      </c>
      <c r="AP24" s="303">
        <f t="shared" si="73"/>
        <v>2</v>
      </c>
      <c r="AQ24" s="303">
        <f t="shared" si="73"/>
        <v>1</v>
      </c>
      <c r="AR24" s="303">
        <f t="shared" si="73"/>
        <v>1</v>
      </c>
      <c r="AS24" s="303">
        <f t="shared" si="73"/>
        <v>1</v>
      </c>
      <c r="AT24" s="303">
        <f t="shared" si="73"/>
        <v>0</v>
      </c>
      <c r="AU24" s="303">
        <f t="shared" si="73"/>
        <v>0</v>
      </c>
      <c r="AV24" s="303">
        <f t="shared" si="73"/>
        <v>17</v>
      </c>
      <c r="AW24" s="303">
        <f t="shared" si="73"/>
        <v>0</v>
      </c>
      <c r="AX24" s="303">
        <f t="shared" si="73"/>
        <v>0</v>
      </c>
      <c r="AY24" s="303">
        <f t="shared" si="73"/>
        <v>0</v>
      </c>
      <c r="AZ24" s="303">
        <f t="shared" si="73"/>
        <v>0</v>
      </c>
      <c r="BA24" s="303">
        <f t="shared" si="73"/>
        <v>0</v>
      </c>
      <c r="BB24" s="303">
        <f t="shared" si="73"/>
        <v>0</v>
      </c>
      <c r="BC24" s="303">
        <f t="shared" si="73"/>
        <v>0</v>
      </c>
      <c r="BD24" s="303">
        <f t="shared" si="73"/>
        <v>0</v>
      </c>
      <c r="BE24" s="303">
        <f t="shared" si="73"/>
        <v>0</v>
      </c>
      <c r="BF24" s="303">
        <f t="shared" si="73"/>
        <v>0</v>
      </c>
      <c r="BG24" s="303">
        <f t="shared" si="73"/>
        <v>0</v>
      </c>
      <c r="BH24" s="303">
        <f t="shared" si="73"/>
        <v>0</v>
      </c>
      <c r="BI24" s="303">
        <f>BI16+BI20</f>
        <v>0</v>
      </c>
      <c r="BJ24" s="363"/>
      <c r="BK24" s="363"/>
      <c r="BL24" s="363"/>
      <c r="BM24" s="363"/>
      <c r="BN24" s="363"/>
      <c r="BO24" s="363"/>
      <c r="BP24" s="370">
        <f t="shared" si="72"/>
        <v>60</v>
      </c>
    </row>
    <row r="25" spans="1:69" s="276" customFormat="1" ht="12.75">
      <c r="A25" s="774"/>
      <c r="B25" s="780"/>
      <c r="C25" s="294" t="s">
        <v>1255</v>
      </c>
      <c r="D25" s="295"/>
      <c r="E25" s="304"/>
      <c r="F25" s="304"/>
      <c r="G25" s="304"/>
      <c r="H25" s="304"/>
      <c r="I25" s="304"/>
      <c r="J25" s="304"/>
      <c r="K25" s="304"/>
      <c r="L25" s="304"/>
      <c r="M25" s="304"/>
      <c r="N25" s="304">
        <f>N17+N21</f>
        <v>0</v>
      </c>
      <c r="O25" s="304">
        <f t="shared" si="73"/>
        <v>0</v>
      </c>
      <c r="P25" s="304">
        <f t="shared" si="73"/>
        <v>0</v>
      </c>
      <c r="Q25" s="304">
        <f t="shared" si="73"/>
        <v>0</v>
      </c>
      <c r="R25" s="304">
        <f t="shared" si="73"/>
        <v>0</v>
      </c>
      <c r="S25" s="304">
        <f t="shared" si="73"/>
        <v>0</v>
      </c>
      <c r="T25" s="304">
        <f t="shared" si="73"/>
        <v>0</v>
      </c>
      <c r="U25" s="304">
        <f t="shared" si="73"/>
        <v>0</v>
      </c>
      <c r="V25" s="304">
        <f t="shared" si="73"/>
        <v>0</v>
      </c>
      <c r="W25" s="304">
        <f t="shared" si="73"/>
        <v>0</v>
      </c>
      <c r="X25" s="304">
        <f t="shared" si="73"/>
        <v>0</v>
      </c>
      <c r="Y25" s="304">
        <f t="shared" si="73"/>
        <v>0</v>
      </c>
      <c r="Z25" s="304">
        <f t="shared" si="73"/>
        <v>0</v>
      </c>
      <c r="AA25" s="304">
        <f t="shared" si="73"/>
        <v>1465</v>
      </c>
      <c r="AB25" s="304">
        <f t="shared" si="73"/>
        <v>733</v>
      </c>
      <c r="AC25" s="304">
        <f t="shared" si="73"/>
        <v>733</v>
      </c>
      <c r="AD25" s="304">
        <f t="shared" si="73"/>
        <v>733</v>
      </c>
      <c r="AE25" s="304">
        <f t="shared" si="73"/>
        <v>879</v>
      </c>
      <c r="AF25" s="304">
        <f t="shared" si="73"/>
        <v>586</v>
      </c>
      <c r="AG25" s="304">
        <f t="shared" si="73"/>
        <v>586</v>
      </c>
      <c r="AH25" s="304">
        <f t="shared" si="73"/>
        <v>586</v>
      </c>
      <c r="AI25" s="304">
        <f t="shared" si="73"/>
        <v>6301</v>
      </c>
      <c r="AJ25" s="304">
        <f t="shared" si="73"/>
        <v>293</v>
      </c>
      <c r="AK25" s="304">
        <f t="shared" si="73"/>
        <v>293</v>
      </c>
      <c r="AL25" s="304">
        <f t="shared" si="73"/>
        <v>293</v>
      </c>
      <c r="AM25" s="304">
        <f t="shared" si="73"/>
        <v>293</v>
      </c>
      <c r="AN25" s="304">
        <f t="shared" si="73"/>
        <v>293</v>
      </c>
      <c r="AO25" s="304">
        <f t="shared" si="73"/>
        <v>293</v>
      </c>
      <c r="AP25" s="304">
        <f t="shared" si="73"/>
        <v>293</v>
      </c>
      <c r="AQ25" s="304">
        <f t="shared" si="73"/>
        <v>146</v>
      </c>
      <c r="AR25" s="304">
        <f t="shared" si="73"/>
        <v>146</v>
      </c>
      <c r="AS25" s="304">
        <f t="shared" si="73"/>
        <v>146</v>
      </c>
      <c r="AT25" s="304">
        <f t="shared" si="73"/>
        <v>0</v>
      </c>
      <c r="AU25" s="304">
        <f t="shared" si="73"/>
        <v>0</v>
      </c>
      <c r="AV25" s="304">
        <f t="shared" si="73"/>
        <v>2489</v>
      </c>
      <c r="AW25" s="304">
        <f t="shared" si="73"/>
        <v>0</v>
      </c>
      <c r="AX25" s="304">
        <f t="shared" si="73"/>
        <v>0</v>
      </c>
      <c r="AY25" s="304">
        <f t="shared" si="73"/>
        <v>0</v>
      </c>
      <c r="AZ25" s="304">
        <f t="shared" si="73"/>
        <v>0</v>
      </c>
      <c r="BA25" s="304">
        <f t="shared" si="73"/>
        <v>0</v>
      </c>
      <c r="BB25" s="304">
        <f t="shared" si="73"/>
        <v>0</v>
      </c>
      <c r="BC25" s="304">
        <f t="shared" si="73"/>
        <v>0</v>
      </c>
      <c r="BD25" s="304">
        <f t="shared" si="73"/>
        <v>0</v>
      </c>
      <c r="BE25" s="304">
        <f t="shared" si="73"/>
        <v>0</v>
      </c>
      <c r="BF25" s="304">
        <f t="shared" si="73"/>
        <v>0</v>
      </c>
      <c r="BG25" s="304">
        <f t="shared" si="73"/>
        <v>0</v>
      </c>
      <c r="BH25" s="304">
        <f t="shared" si="73"/>
        <v>0</v>
      </c>
      <c r="BI25" s="304">
        <f>BI17+BI21</f>
        <v>0</v>
      </c>
      <c r="BJ25" s="364"/>
      <c r="BK25" s="364"/>
      <c r="BL25" s="364"/>
      <c r="BM25" s="364"/>
      <c r="BN25" s="364"/>
      <c r="BO25" s="364"/>
      <c r="BP25" s="374">
        <f t="shared" si="72"/>
        <v>8790</v>
      </c>
    </row>
    <row r="26" spans="1:69" s="277" customFormat="1" ht="12.75">
      <c r="A26" s="774"/>
      <c r="B26" s="780"/>
      <c r="C26" s="785" t="s">
        <v>1256</v>
      </c>
      <c r="D26" s="786"/>
      <c r="E26" s="305"/>
      <c r="F26" s="305"/>
      <c r="G26" s="305"/>
      <c r="H26" s="305"/>
      <c r="I26" s="305"/>
      <c r="J26" s="305"/>
      <c r="K26" s="305"/>
      <c r="L26" s="305"/>
      <c r="M26" s="305"/>
      <c r="N26" s="305" t="e">
        <f>N27/N25*10000</f>
        <v>#DIV/0!</v>
      </c>
      <c r="O26" s="305" t="e">
        <f t="shared" ref="O26:W26" si="74">O27/O25*10000</f>
        <v>#DIV/0!</v>
      </c>
      <c r="P26" s="305" t="e">
        <f t="shared" si="74"/>
        <v>#DIV/0!</v>
      </c>
      <c r="Q26" s="305" t="e">
        <f t="shared" si="74"/>
        <v>#DIV/0!</v>
      </c>
      <c r="R26" s="305" t="e">
        <f t="shared" si="74"/>
        <v>#DIV/0!</v>
      </c>
      <c r="S26" s="305" t="e">
        <f t="shared" si="74"/>
        <v>#DIV/0!</v>
      </c>
      <c r="T26" s="305" t="e">
        <f t="shared" si="74"/>
        <v>#DIV/0!</v>
      </c>
      <c r="U26" s="305" t="e">
        <f t="shared" si="74"/>
        <v>#DIV/0!</v>
      </c>
      <c r="V26" s="305" t="e">
        <f t="shared" si="74"/>
        <v>#DIV/0!</v>
      </c>
      <c r="W26" s="305" t="e">
        <f t="shared" si="74"/>
        <v>#DIV/0!</v>
      </c>
      <c r="X26" s="305" t="e">
        <f t="shared" ref="X26:BI26" si="75">X27/X25*10000</f>
        <v>#DIV/0!</v>
      </c>
      <c r="Y26" s="305" t="e">
        <f t="shared" si="75"/>
        <v>#DIV/0!</v>
      </c>
      <c r="Z26" s="305" t="e">
        <f t="shared" si="75"/>
        <v>#DIV/0!</v>
      </c>
      <c r="AA26" s="305">
        <f t="shared" si="75"/>
        <v>12752.559726962458</v>
      </c>
      <c r="AB26" s="305">
        <f t="shared" si="75"/>
        <v>12902.455661664393</v>
      </c>
      <c r="AC26" s="305">
        <f t="shared" si="75"/>
        <v>12902.455661664393</v>
      </c>
      <c r="AD26" s="305">
        <f t="shared" si="75"/>
        <v>12902.455661664393</v>
      </c>
      <c r="AE26" s="305">
        <f t="shared" si="75"/>
        <v>13002.730375426621</v>
      </c>
      <c r="AF26" s="305">
        <f t="shared" si="75"/>
        <v>13002.730375426621</v>
      </c>
      <c r="AG26" s="305">
        <f t="shared" si="75"/>
        <v>13002.730375426621</v>
      </c>
      <c r="AH26" s="305">
        <f t="shared" si="75"/>
        <v>13002.730375426621</v>
      </c>
      <c r="AI26" s="305">
        <f t="shared" si="75"/>
        <v>12909.569909538168</v>
      </c>
      <c r="AJ26" s="305">
        <f t="shared" si="75"/>
        <v>13102.389078498294</v>
      </c>
      <c r="AK26" s="305">
        <f t="shared" si="75"/>
        <v>13102.389078498294</v>
      </c>
      <c r="AL26" s="305">
        <f t="shared" si="75"/>
        <v>13102.389078498294</v>
      </c>
      <c r="AM26" s="305">
        <f t="shared" si="75"/>
        <v>13252.901023890785</v>
      </c>
      <c r="AN26" s="305">
        <f t="shared" si="75"/>
        <v>13252.901023890785</v>
      </c>
      <c r="AO26" s="305">
        <f t="shared" si="75"/>
        <v>13252.901023890785</v>
      </c>
      <c r="AP26" s="305">
        <f t="shared" si="75"/>
        <v>13252.901023890785</v>
      </c>
      <c r="AQ26" s="305">
        <f t="shared" si="75"/>
        <v>12400</v>
      </c>
      <c r="AR26" s="305">
        <f t="shared" si="75"/>
        <v>12600</v>
      </c>
      <c r="AS26" s="305">
        <f t="shared" si="75"/>
        <v>12600</v>
      </c>
      <c r="AT26" s="305" t="e">
        <f t="shared" si="75"/>
        <v>#DIV/0!</v>
      </c>
      <c r="AU26" s="305" t="e">
        <f t="shared" si="75"/>
        <v>#DIV/0!</v>
      </c>
      <c r="AV26" s="305">
        <f t="shared" si="75"/>
        <v>13073.121735636802</v>
      </c>
      <c r="AW26" s="305" t="e">
        <f t="shared" si="75"/>
        <v>#DIV/0!</v>
      </c>
      <c r="AX26" s="305" t="e">
        <f t="shared" si="75"/>
        <v>#DIV/0!</v>
      </c>
      <c r="AY26" s="305" t="e">
        <f t="shared" si="75"/>
        <v>#DIV/0!</v>
      </c>
      <c r="AZ26" s="305" t="e">
        <f t="shared" si="75"/>
        <v>#DIV/0!</v>
      </c>
      <c r="BA26" s="305" t="e">
        <f t="shared" si="75"/>
        <v>#DIV/0!</v>
      </c>
      <c r="BB26" s="305" t="e">
        <f t="shared" si="75"/>
        <v>#DIV/0!</v>
      </c>
      <c r="BC26" s="305" t="e">
        <f t="shared" si="75"/>
        <v>#DIV/0!</v>
      </c>
      <c r="BD26" s="305" t="e">
        <f t="shared" si="75"/>
        <v>#DIV/0!</v>
      </c>
      <c r="BE26" s="305" t="e">
        <f t="shared" si="75"/>
        <v>#DIV/0!</v>
      </c>
      <c r="BF26" s="305" t="e">
        <f t="shared" si="75"/>
        <v>#DIV/0!</v>
      </c>
      <c r="BG26" s="305" t="e">
        <f t="shared" si="75"/>
        <v>#DIV/0!</v>
      </c>
      <c r="BH26" s="305" t="e">
        <f t="shared" si="75"/>
        <v>#DIV/0!</v>
      </c>
      <c r="BI26" s="305" t="e">
        <f t="shared" si="75"/>
        <v>#DIV/0!</v>
      </c>
      <c r="BJ26" s="365"/>
      <c r="BK26" s="365"/>
      <c r="BL26" s="365"/>
      <c r="BM26" s="365"/>
      <c r="BN26" s="365"/>
      <c r="BO26" s="365"/>
      <c r="BP26" s="379">
        <f>BP27/BP25*10000</f>
        <v>12955.881683731512</v>
      </c>
    </row>
    <row r="27" spans="1:69" s="276" customFormat="1" ht="12.75">
      <c r="A27" s="774"/>
      <c r="B27" s="781"/>
      <c r="C27" s="775" t="s">
        <v>1257</v>
      </c>
      <c r="D27" s="775"/>
      <c r="E27" s="303"/>
      <c r="F27" s="303"/>
      <c r="G27" s="303"/>
      <c r="H27" s="303"/>
      <c r="I27" s="303"/>
      <c r="J27" s="303"/>
      <c r="K27" s="303"/>
      <c r="L27" s="303"/>
      <c r="M27" s="303"/>
      <c r="N27" s="303">
        <f t="shared" ref="N27:W27" si="76">N19+N23</f>
        <v>0</v>
      </c>
      <c r="O27" s="303">
        <f t="shared" si="76"/>
        <v>0</v>
      </c>
      <c r="P27" s="303">
        <f t="shared" si="76"/>
        <v>0</v>
      </c>
      <c r="Q27" s="303">
        <f t="shared" si="76"/>
        <v>0</v>
      </c>
      <c r="R27" s="303">
        <f t="shared" si="76"/>
        <v>0</v>
      </c>
      <c r="S27" s="303">
        <f t="shared" si="76"/>
        <v>0</v>
      </c>
      <c r="T27" s="303">
        <f t="shared" si="76"/>
        <v>0</v>
      </c>
      <c r="U27" s="303">
        <f t="shared" si="76"/>
        <v>0</v>
      </c>
      <c r="V27" s="303">
        <f t="shared" si="76"/>
        <v>0</v>
      </c>
      <c r="W27" s="303">
        <f t="shared" si="76"/>
        <v>0</v>
      </c>
      <c r="X27" s="303">
        <f t="shared" ref="X27:BI27" si="77">X19+X23</f>
        <v>0</v>
      </c>
      <c r="Y27" s="303">
        <f t="shared" si="77"/>
        <v>0</v>
      </c>
      <c r="Z27" s="303">
        <f t="shared" si="77"/>
        <v>0</v>
      </c>
      <c r="AA27" s="303">
        <f t="shared" si="77"/>
        <v>1868.25</v>
      </c>
      <c r="AB27" s="303">
        <f t="shared" si="77"/>
        <v>945.75</v>
      </c>
      <c r="AC27" s="303">
        <f t="shared" si="77"/>
        <v>945.75</v>
      </c>
      <c r="AD27" s="303">
        <f t="shared" si="77"/>
        <v>945.75</v>
      </c>
      <c r="AE27" s="303">
        <f t="shared" si="77"/>
        <v>1142.94</v>
      </c>
      <c r="AF27" s="303">
        <f t="shared" si="77"/>
        <v>761.96</v>
      </c>
      <c r="AG27" s="303">
        <f t="shared" si="77"/>
        <v>761.96</v>
      </c>
      <c r="AH27" s="303">
        <f t="shared" si="77"/>
        <v>761.96</v>
      </c>
      <c r="AI27" s="303">
        <f t="shared" si="77"/>
        <v>8134.32</v>
      </c>
      <c r="AJ27" s="303">
        <f t="shared" si="77"/>
        <v>383.9</v>
      </c>
      <c r="AK27" s="303">
        <f t="shared" si="77"/>
        <v>383.9</v>
      </c>
      <c r="AL27" s="303">
        <f t="shared" si="77"/>
        <v>383.9</v>
      </c>
      <c r="AM27" s="303">
        <f t="shared" si="77"/>
        <v>388.31</v>
      </c>
      <c r="AN27" s="303">
        <f t="shared" si="77"/>
        <v>388.31</v>
      </c>
      <c r="AO27" s="303">
        <f t="shared" si="77"/>
        <v>388.31</v>
      </c>
      <c r="AP27" s="303">
        <f t="shared" si="77"/>
        <v>388.31</v>
      </c>
      <c r="AQ27" s="303">
        <f t="shared" si="77"/>
        <v>181.04</v>
      </c>
      <c r="AR27" s="303">
        <f t="shared" si="77"/>
        <v>183.96</v>
      </c>
      <c r="AS27" s="303">
        <f t="shared" si="77"/>
        <v>183.96</v>
      </c>
      <c r="AT27" s="303">
        <f t="shared" si="77"/>
        <v>0</v>
      </c>
      <c r="AU27" s="303">
        <f t="shared" si="77"/>
        <v>0</v>
      </c>
      <c r="AV27" s="303">
        <f t="shared" si="77"/>
        <v>3253.9</v>
      </c>
      <c r="AW27" s="303">
        <f t="shared" si="77"/>
        <v>0</v>
      </c>
      <c r="AX27" s="303">
        <f t="shared" si="77"/>
        <v>0</v>
      </c>
      <c r="AY27" s="303">
        <f t="shared" si="77"/>
        <v>0</v>
      </c>
      <c r="AZ27" s="303">
        <f t="shared" si="77"/>
        <v>0</v>
      </c>
      <c r="BA27" s="303">
        <f t="shared" si="77"/>
        <v>0</v>
      </c>
      <c r="BB27" s="303">
        <f t="shared" si="77"/>
        <v>0</v>
      </c>
      <c r="BC27" s="303">
        <f t="shared" si="77"/>
        <v>0</v>
      </c>
      <c r="BD27" s="303">
        <f t="shared" si="77"/>
        <v>0</v>
      </c>
      <c r="BE27" s="303">
        <f t="shared" si="77"/>
        <v>0</v>
      </c>
      <c r="BF27" s="303">
        <f t="shared" si="77"/>
        <v>0</v>
      </c>
      <c r="BG27" s="303">
        <f t="shared" si="77"/>
        <v>0</v>
      </c>
      <c r="BH27" s="303">
        <f t="shared" si="77"/>
        <v>0</v>
      </c>
      <c r="BI27" s="303">
        <f t="shared" si="77"/>
        <v>0</v>
      </c>
      <c r="BJ27" s="363"/>
      <c r="BK27" s="363"/>
      <c r="BL27" s="363"/>
      <c r="BM27" s="363"/>
      <c r="BN27" s="363"/>
      <c r="BO27" s="363"/>
      <c r="BP27" s="370">
        <f t="shared" ref="BP27:BP29" si="78">I27+V27+AI27+AV27+BI27</f>
        <v>11388.22</v>
      </c>
    </row>
    <row r="28" spans="1:69" s="276" customFormat="1" ht="12.75">
      <c r="A28" s="763" t="s">
        <v>1263</v>
      </c>
      <c r="B28" s="776" t="s">
        <v>1264</v>
      </c>
      <c r="C28" s="290" t="s">
        <v>1254</v>
      </c>
      <c r="D28" s="291">
        <v>68</v>
      </c>
      <c r="E28" s="298">
        <v>0</v>
      </c>
      <c r="F28" s="298">
        <v>0</v>
      </c>
      <c r="G28" s="299">
        <v>0</v>
      </c>
      <c r="H28" s="299">
        <v>0</v>
      </c>
      <c r="I28" s="324">
        <f t="shared" ref="I28:I33" si="79">SUM(E28:H28)</f>
        <v>0</v>
      </c>
      <c r="J28" s="299">
        <v>0</v>
      </c>
      <c r="K28" s="299">
        <v>0</v>
      </c>
      <c r="L28" s="299">
        <v>0</v>
      </c>
      <c r="M28" s="299">
        <v>0</v>
      </c>
      <c r="N28" s="299"/>
      <c r="O28" s="299"/>
      <c r="P28" s="328">
        <v>9</v>
      </c>
      <c r="Q28" s="340">
        <v>3</v>
      </c>
      <c r="R28" s="340">
        <v>2</v>
      </c>
      <c r="S28" s="341">
        <v>1</v>
      </c>
      <c r="T28" s="340">
        <v>0</v>
      </c>
      <c r="U28" s="328">
        <v>1</v>
      </c>
      <c r="V28" s="317">
        <f t="shared" ref="V28:V33" si="80">SUM(J28:U28)</f>
        <v>16</v>
      </c>
      <c r="W28" s="299">
        <v>1</v>
      </c>
      <c r="X28" s="299">
        <v>1</v>
      </c>
      <c r="Y28" s="298">
        <v>2</v>
      </c>
      <c r="Z28" s="298">
        <v>2</v>
      </c>
      <c r="AA28" s="298">
        <v>1</v>
      </c>
      <c r="AB28" s="298">
        <v>2</v>
      </c>
      <c r="AC28" s="298">
        <v>2</v>
      </c>
      <c r="AD28" s="298">
        <v>2</v>
      </c>
      <c r="AE28" s="298">
        <v>1</v>
      </c>
      <c r="AF28" s="298">
        <v>2</v>
      </c>
      <c r="AG28" s="299">
        <v>2</v>
      </c>
      <c r="AH28" s="299">
        <v>1</v>
      </c>
      <c r="AI28" s="317">
        <f t="shared" ref="AI28:AI33" si="81">SUM(W28:AH28)</f>
        <v>19</v>
      </c>
      <c r="AJ28" s="299">
        <v>2</v>
      </c>
      <c r="AK28" s="299">
        <v>1</v>
      </c>
      <c r="AL28" s="298">
        <v>2</v>
      </c>
      <c r="AM28" s="298">
        <v>1</v>
      </c>
      <c r="AN28" s="298">
        <v>3</v>
      </c>
      <c r="AO28" s="298">
        <v>2</v>
      </c>
      <c r="AP28" s="298">
        <v>3</v>
      </c>
      <c r="AQ28" s="298">
        <v>2</v>
      </c>
      <c r="AR28" s="298">
        <v>1</v>
      </c>
      <c r="AS28" s="298">
        <v>3</v>
      </c>
      <c r="AT28" s="299">
        <v>1</v>
      </c>
      <c r="AU28" s="299">
        <v>1</v>
      </c>
      <c r="AV28" s="317">
        <f t="shared" ref="AV28:AV33" si="82">SUM(AJ28:AU28)</f>
        <v>22</v>
      </c>
      <c r="AW28" s="299">
        <v>1</v>
      </c>
      <c r="AX28" s="299">
        <v>2</v>
      </c>
      <c r="AY28" s="336">
        <v>2</v>
      </c>
      <c r="AZ28" s="336">
        <v>3</v>
      </c>
      <c r="BA28" s="336">
        <v>3</v>
      </c>
      <c r="BB28" s="336">
        <v>0</v>
      </c>
      <c r="BC28" s="336">
        <v>0</v>
      </c>
      <c r="BD28" s="336"/>
      <c r="BE28" s="336"/>
      <c r="BF28" s="336"/>
      <c r="BG28" s="336"/>
      <c r="BH28" s="336"/>
      <c r="BI28" s="359">
        <f t="shared" ref="BI28:BI33" si="83">SUM(AW28:BH28)</f>
        <v>11</v>
      </c>
      <c r="BJ28" s="360"/>
      <c r="BK28" s="360"/>
      <c r="BL28" s="360"/>
      <c r="BM28" s="360"/>
      <c r="BN28" s="360"/>
      <c r="BO28" s="360"/>
      <c r="BP28" s="374">
        <f t="shared" si="78"/>
        <v>68</v>
      </c>
      <c r="BQ28" s="373">
        <f>BP28-D28</f>
        <v>0</v>
      </c>
    </row>
    <row r="29" spans="1:69" s="276" customFormat="1" ht="12.75">
      <c r="A29" s="765"/>
      <c r="B29" s="777"/>
      <c r="C29" s="290" t="s">
        <v>1255</v>
      </c>
      <c r="D29" s="291">
        <v>189</v>
      </c>
      <c r="E29" s="292">
        <f>E28*D29</f>
        <v>0</v>
      </c>
      <c r="F29" s="292">
        <f>F28*D29</f>
        <v>0</v>
      </c>
      <c r="G29" s="292">
        <f>G28*D29</f>
        <v>0</v>
      </c>
      <c r="H29" s="292">
        <f>H28*D29</f>
        <v>0</v>
      </c>
      <c r="I29" s="324">
        <f t="shared" si="79"/>
        <v>0</v>
      </c>
      <c r="J29" s="299">
        <f>J28*D29</f>
        <v>0</v>
      </c>
      <c r="K29" s="298">
        <f>K28*D29</f>
        <v>0</v>
      </c>
      <c r="L29" s="298">
        <f>L28*D29</f>
        <v>0</v>
      </c>
      <c r="M29" s="298">
        <f>M28*D29</f>
        <v>0</v>
      </c>
      <c r="N29" s="298">
        <f>N28*D29</f>
        <v>0</v>
      </c>
      <c r="O29" s="298">
        <f>O28*D29</f>
        <v>0</v>
      </c>
      <c r="P29" s="298">
        <f>P28*D29</f>
        <v>1701</v>
      </c>
      <c r="Q29" s="298">
        <f>Q28*D29</f>
        <v>567</v>
      </c>
      <c r="R29" s="298">
        <f>R28*D29</f>
        <v>378</v>
      </c>
      <c r="S29" s="336">
        <f>S28*D29</f>
        <v>189</v>
      </c>
      <c r="T29" s="298">
        <f>T28*D29</f>
        <v>0</v>
      </c>
      <c r="U29" s="298">
        <f>U28*D29</f>
        <v>189</v>
      </c>
      <c r="V29" s="317">
        <f t="shared" si="80"/>
        <v>3024</v>
      </c>
      <c r="W29" s="298">
        <f>W28*D29</f>
        <v>189</v>
      </c>
      <c r="X29" s="298">
        <f>X28*D29</f>
        <v>189</v>
      </c>
      <c r="Y29" s="298">
        <f>Y28*D29</f>
        <v>378</v>
      </c>
      <c r="Z29" s="298">
        <f>Z28*D29</f>
        <v>378</v>
      </c>
      <c r="AA29" s="298">
        <f>AA28*D29</f>
        <v>189</v>
      </c>
      <c r="AB29" s="298">
        <f>AB28*D29</f>
        <v>378</v>
      </c>
      <c r="AC29" s="298">
        <f>AC28*D29</f>
        <v>378</v>
      </c>
      <c r="AD29" s="298">
        <f>AD28*D29</f>
        <v>378</v>
      </c>
      <c r="AE29" s="298">
        <f>AE28*D29</f>
        <v>189</v>
      </c>
      <c r="AF29" s="298">
        <f>AF28*D29</f>
        <v>378</v>
      </c>
      <c r="AG29" s="298">
        <f>AG28*D29</f>
        <v>378</v>
      </c>
      <c r="AH29" s="298">
        <f>AH28*D29</f>
        <v>189</v>
      </c>
      <c r="AI29" s="317">
        <f t="shared" si="81"/>
        <v>3591</v>
      </c>
      <c r="AJ29" s="298">
        <f>AJ28*D29</f>
        <v>378</v>
      </c>
      <c r="AK29" s="298">
        <f>AK28*D29</f>
        <v>189</v>
      </c>
      <c r="AL29" s="298">
        <f>AL28*D29</f>
        <v>378</v>
      </c>
      <c r="AM29" s="298">
        <f>AM28*D29</f>
        <v>189</v>
      </c>
      <c r="AN29" s="298">
        <f>AN28*D29</f>
        <v>567</v>
      </c>
      <c r="AO29" s="298">
        <f>AO28*D29</f>
        <v>378</v>
      </c>
      <c r="AP29" s="298">
        <f>AP28*D29</f>
        <v>567</v>
      </c>
      <c r="AQ29" s="298">
        <f>AQ28*D29</f>
        <v>378</v>
      </c>
      <c r="AR29" s="298">
        <f>AR28*D29</f>
        <v>189</v>
      </c>
      <c r="AS29" s="298">
        <f>AS28*D29</f>
        <v>567</v>
      </c>
      <c r="AT29" s="298">
        <f>AT28*D29</f>
        <v>189</v>
      </c>
      <c r="AU29" s="298">
        <f>AU28*D29</f>
        <v>189</v>
      </c>
      <c r="AV29" s="317">
        <f t="shared" si="82"/>
        <v>4158</v>
      </c>
      <c r="AW29" s="299">
        <f>AW28*D29</f>
        <v>189</v>
      </c>
      <c r="AX29" s="299">
        <f>AX28*D29</f>
        <v>378</v>
      </c>
      <c r="AY29" s="299">
        <f>AY28*D29</f>
        <v>378</v>
      </c>
      <c r="AZ29" s="299">
        <f>AZ28*D29</f>
        <v>567</v>
      </c>
      <c r="BA29" s="299">
        <f>BA28*D29</f>
        <v>567</v>
      </c>
      <c r="BB29" s="299">
        <f>BB28*D29</f>
        <v>0</v>
      </c>
      <c r="BC29" s="299">
        <f>BC28*D29</f>
        <v>0</v>
      </c>
      <c r="BD29" s="299">
        <f>BD28*D29</f>
        <v>0</v>
      </c>
      <c r="BE29" s="299">
        <f>BE28*D29</f>
        <v>0</v>
      </c>
      <c r="BF29" s="299">
        <f>BF28*D29</f>
        <v>0</v>
      </c>
      <c r="BG29" s="299">
        <f>BG28*D29</f>
        <v>0</v>
      </c>
      <c r="BH29" s="299">
        <f>BH28*D29</f>
        <v>0</v>
      </c>
      <c r="BI29" s="359">
        <f t="shared" si="83"/>
        <v>2079</v>
      </c>
      <c r="BJ29" s="360"/>
      <c r="BK29" s="360"/>
      <c r="BL29" s="360"/>
      <c r="BM29" s="360"/>
      <c r="BN29" s="360"/>
      <c r="BO29" s="360"/>
      <c r="BP29" s="374">
        <f t="shared" si="78"/>
        <v>12852</v>
      </c>
    </row>
    <row r="30" spans="1:69" s="276" customFormat="1" ht="12.75">
      <c r="A30" s="765"/>
      <c r="B30" s="777"/>
      <c r="C30" s="783" t="s">
        <v>1256</v>
      </c>
      <c r="D30" s="784"/>
      <c r="E30" s="306">
        <v>0</v>
      </c>
      <c r="F30" s="298">
        <f t="shared" ref="F30:K30" si="84">E30</f>
        <v>0</v>
      </c>
      <c r="G30" s="298">
        <v>0</v>
      </c>
      <c r="H30" s="298">
        <f t="shared" si="84"/>
        <v>0</v>
      </c>
      <c r="I30" s="324" t="e">
        <f>I31/I29*10000</f>
        <v>#DIV/0!</v>
      </c>
      <c r="J30" s="298">
        <f>H30</f>
        <v>0</v>
      </c>
      <c r="K30" s="298">
        <f t="shared" si="84"/>
        <v>0</v>
      </c>
      <c r="L30" s="298">
        <v>0</v>
      </c>
      <c r="M30" s="298">
        <v>0</v>
      </c>
      <c r="N30" s="298"/>
      <c r="O30" s="298">
        <f t="shared" ref="O30:U30" si="85">N30</f>
        <v>0</v>
      </c>
      <c r="P30" s="328">
        <v>12297</v>
      </c>
      <c r="Q30" s="328">
        <f>P30+500</f>
        <v>12797</v>
      </c>
      <c r="R30" s="328">
        <f t="shared" si="85"/>
        <v>12797</v>
      </c>
      <c r="S30" s="328">
        <f t="shared" si="85"/>
        <v>12797</v>
      </c>
      <c r="T30" s="328">
        <f t="shared" si="85"/>
        <v>12797</v>
      </c>
      <c r="U30" s="328">
        <f t="shared" si="85"/>
        <v>12797</v>
      </c>
      <c r="V30" s="337">
        <f>V31/V29*10000</f>
        <v>12515.749999999998</v>
      </c>
      <c r="W30" s="298">
        <f>U30+600</f>
        <v>13397</v>
      </c>
      <c r="X30" s="298">
        <f t="shared" ref="X30:Z30" si="86">W30</f>
        <v>13397</v>
      </c>
      <c r="Y30" s="298">
        <f t="shared" si="86"/>
        <v>13397</v>
      </c>
      <c r="Z30" s="298">
        <f t="shared" si="86"/>
        <v>13397</v>
      </c>
      <c r="AA30" s="298">
        <f>Z30+300</f>
        <v>13697</v>
      </c>
      <c r="AB30" s="298">
        <f t="shared" ref="AB30:AD30" si="87">AA30</f>
        <v>13697</v>
      </c>
      <c r="AC30" s="298">
        <f t="shared" si="87"/>
        <v>13697</v>
      </c>
      <c r="AD30" s="298">
        <f t="shared" si="87"/>
        <v>13697</v>
      </c>
      <c r="AE30" s="298">
        <f>AD30+300</f>
        <v>13997</v>
      </c>
      <c r="AF30" s="298">
        <f t="shared" ref="AF30:AH30" si="88">AE30</f>
        <v>13997</v>
      </c>
      <c r="AG30" s="298">
        <f t="shared" si="88"/>
        <v>13997</v>
      </c>
      <c r="AH30" s="298">
        <f t="shared" si="88"/>
        <v>13997</v>
      </c>
      <c r="AI30" s="337">
        <f>AI31/AI29*10000</f>
        <v>13696.999999999996</v>
      </c>
      <c r="AJ30" s="298">
        <f>AH30</f>
        <v>13997</v>
      </c>
      <c r="AK30" s="298">
        <f>AJ30</f>
        <v>13997</v>
      </c>
      <c r="AL30" s="298">
        <f>AK30</f>
        <v>13997</v>
      </c>
      <c r="AM30" s="298">
        <f>AL30+300</f>
        <v>14297</v>
      </c>
      <c r="AN30" s="298">
        <f t="shared" ref="AN30:AU30" si="89">AM30</f>
        <v>14297</v>
      </c>
      <c r="AO30" s="298">
        <f t="shared" si="89"/>
        <v>14297</v>
      </c>
      <c r="AP30" s="298">
        <f t="shared" si="89"/>
        <v>14297</v>
      </c>
      <c r="AQ30" s="298">
        <f t="shared" si="89"/>
        <v>14297</v>
      </c>
      <c r="AR30" s="298">
        <f t="shared" si="89"/>
        <v>14297</v>
      </c>
      <c r="AS30" s="298">
        <f t="shared" si="89"/>
        <v>14297</v>
      </c>
      <c r="AT30" s="298">
        <f t="shared" si="89"/>
        <v>14297</v>
      </c>
      <c r="AU30" s="298">
        <f t="shared" si="89"/>
        <v>14297</v>
      </c>
      <c r="AV30" s="337">
        <f>AV31/AV29*10000</f>
        <v>14228.818181818184</v>
      </c>
      <c r="AW30" s="299">
        <f>AU30+300</f>
        <v>14597</v>
      </c>
      <c r="AX30" s="299">
        <f>AW30</f>
        <v>14597</v>
      </c>
      <c r="AY30" s="299">
        <f t="shared" ref="AY30:BH30" si="90">AX30</f>
        <v>14597</v>
      </c>
      <c r="AZ30" s="336">
        <f t="shared" si="90"/>
        <v>14597</v>
      </c>
      <c r="BA30" s="336">
        <f t="shared" si="90"/>
        <v>14597</v>
      </c>
      <c r="BB30" s="336">
        <f>BA30+500</f>
        <v>15097</v>
      </c>
      <c r="BC30" s="336">
        <f t="shared" si="90"/>
        <v>15097</v>
      </c>
      <c r="BD30" s="336">
        <f t="shared" si="90"/>
        <v>15097</v>
      </c>
      <c r="BE30" s="336">
        <f t="shared" si="90"/>
        <v>15097</v>
      </c>
      <c r="BF30" s="336">
        <f t="shared" si="90"/>
        <v>15097</v>
      </c>
      <c r="BG30" s="336">
        <f t="shared" si="90"/>
        <v>15097</v>
      </c>
      <c r="BH30" s="336">
        <f t="shared" si="90"/>
        <v>15097</v>
      </c>
      <c r="BI30" s="359">
        <f>BI31/BI29*10000</f>
        <v>14597</v>
      </c>
      <c r="BJ30" s="360"/>
      <c r="BK30" s="360"/>
      <c r="BL30" s="360"/>
      <c r="BM30" s="360"/>
      <c r="BN30" s="360"/>
      <c r="BO30" s="360"/>
      <c r="BP30" s="378">
        <f>BP31/BP29*10000</f>
        <v>13736.705882352942</v>
      </c>
    </row>
    <row r="31" spans="1:69" s="276" customFormat="1" ht="12.75">
      <c r="A31" s="765"/>
      <c r="B31" s="778"/>
      <c r="C31" s="769" t="s">
        <v>1257</v>
      </c>
      <c r="D31" s="769"/>
      <c r="E31" s="290">
        <f t="shared" ref="E31:H31" si="91">E29*E30/10000</f>
        <v>0</v>
      </c>
      <c r="F31" s="290">
        <f t="shared" si="91"/>
        <v>0</v>
      </c>
      <c r="G31" s="290">
        <f t="shared" si="91"/>
        <v>0</v>
      </c>
      <c r="H31" s="290">
        <f t="shared" si="91"/>
        <v>0</v>
      </c>
      <c r="I31" s="325">
        <f t="shared" si="79"/>
        <v>0</v>
      </c>
      <c r="J31" s="298">
        <f>J29*J30/10000</f>
        <v>0</v>
      </c>
      <c r="K31" s="298">
        <f>K29*K30/10000</f>
        <v>0</v>
      </c>
      <c r="L31" s="298">
        <f t="shared" ref="L31:U31" si="92">L29*L30/10000</f>
        <v>0</v>
      </c>
      <c r="M31" s="298">
        <f t="shared" si="92"/>
        <v>0</v>
      </c>
      <c r="N31" s="298">
        <f t="shared" si="92"/>
        <v>0</v>
      </c>
      <c r="O31" s="298">
        <f t="shared" si="92"/>
        <v>0</v>
      </c>
      <c r="P31" s="298">
        <f t="shared" si="92"/>
        <v>2091.7197000000001</v>
      </c>
      <c r="Q31" s="298">
        <f t="shared" si="92"/>
        <v>725.58989999999994</v>
      </c>
      <c r="R31" s="298">
        <f t="shared" si="92"/>
        <v>483.72660000000002</v>
      </c>
      <c r="S31" s="298">
        <f t="shared" si="92"/>
        <v>241.86330000000001</v>
      </c>
      <c r="T31" s="298">
        <f t="shared" si="92"/>
        <v>0</v>
      </c>
      <c r="U31" s="298">
        <f t="shared" si="92"/>
        <v>241.86330000000001</v>
      </c>
      <c r="V31" s="317">
        <f t="shared" si="80"/>
        <v>3784.7628</v>
      </c>
      <c r="W31" s="298">
        <f>W29*W30/10000</f>
        <v>253.20330000000001</v>
      </c>
      <c r="X31" s="298">
        <f t="shared" ref="X31:AH31" si="93">X29*X30/10000</f>
        <v>253.20330000000001</v>
      </c>
      <c r="Y31" s="298">
        <f t="shared" si="93"/>
        <v>506.40660000000003</v>
      </c>
      <c r="Z31" s="298">
        <f t="shared" si="93"/>
        <v>506.40660000000003</v>
      </c>
      <c r="AA31" s="298">
        <f t="shared" si="93"/>
        <v>258.87329999999997</v>
      </c>
      <c r="AB31" s="298">
        <f t="shared" si="93"/>
        <v>517.74659999999994</v>
      </c>
      <c r="AC31" s="298">
        <f t="shared" si="93"/>
        <v>517.74659999999994</v>
      </c>
      <c r="AD31" s="298">
        <f t="shared" si="93"/>
        <v>517.74659999999994</v>
      </c>
      <c r="AE31" s="298">
        <f t="shared" si="93"/>
        <v>264.54329999999999</v>
      </c>
      <c r="AF31" s="298">
        <f t="shared" si="93"/>
        <v>529.08659999999998</v>
      </c>
      <c r="AG31" s="298">
        <f t="shared" si="93"/>
        <v>529.08659999999998</v>
      </c>
      <c r="AH31" s="298">
        <f t="shared" si="93"/>
        <v>264.54329999999999</v>
      </c>
      <c r="AI31" s="317">
        <f t="shared" si="81"/>
        <v>4918.5926999999992</v>
      </c>
      <c r="AJ31" s="298">
        <f>AJ29*AJ30/10000</f>
        <v>529.08659999999998</v>
      </c>
      <c r="AK31" s="298">
        <f t="shared" ref="AK31:AU31" si="94">AK29*AK30/10000</f>
        <v>264.54329999999999</v>
      </c>
      <c r="AL31" s="298">
        <f t="shared" si="94"/>
        <v>529.08659999999998</v>
      </c>
      <c r="AM31" s="298">
        <f t="shared" si="94"/>
        <v>270.2133</v>
      </c>
      <c r="AN31" s="298">
        <f t="shared" si="94"/>
        <v>810.63990000000001</v>
      </c>
      <c r="AO31" s="298">
        <f t="shared" si="94"/>
        <v>540.42660000000001</v>
      </c>
      <c r="AP31" s="298">
        <f t="shared" si="94"/>
        <v>810.63990000000001</v>
      </c>
      <c r="AQ31" s="299">
        <f t="shared" si="94"/>
        <v>540.42660000000001</v>
      </c>
      <c r="AR31" s="299">
        <f t="shared" si="94"/>
        <v>270.2133</v>
      </c>
      <c r="AS31" s="299">
        <f t="shared" si="94"/>
        <v>810.63990000000001</v>
      </c>
      <c r="AT31" s="299">
        <f t="shared" si="94"/>
        <v>270.2133</v>
      </c>
      <c r="AU31" s="299">
        <f t="shared" si="94"/>
        <v>270.2133</v>
      </c>
      <c r="AV31" s="317">
        <f t="shared" si="82"/>
        <v>5916.3426000000009</v>
      </c>
      <c r="AW31" s="299">
        <f>AW29*AW30/10000</f>
        <v>275.88330000000002</v>
      </c>
      <c r="AX31" s="299">
        <f t="shared" ref="AX31:BH31" si="95">AX29*AX30/10000</f>
        <v>551.76660000000004</v>
      </c>
      <c r="AY31" s="299">
        <f t="shared" si="95"/>
        <v>551.76660000000004</v>
      </c>
      <c r="AZ31" s="299">
        <f t="shared" si="95"/>
        <v>827.6499</v>
      </c>
      <c r="BA31" s="299">
        <f t="shared" si="95"/>
        <v>827.6499</v>
      </c>
      <c r="BB31" s="299">
        <f t="shared" si="95"/>
        <v>0</v>
      </c>
      <c r="BC31" s="299">
        <f t="shared" si="95"/>
        <v>0</v>
      </c>
      <c r="BD31" s="299">
        <f t="shared" si="95"/>
        <v>0</v>
      </c>
      <c r="BE31" s="299">
        <f t="shared" si="95"/>
        <v>0</v>
      </c>
      <c r="BF31" s="299">
        <f t="shared" si="95"/>
        <v>0</v>
      </c>
      <c r="BG31" s="299">
        <f t="shared" si="95"/>
        <v>0</v>
      </c>
      <c r="BH31" s="299">
        <f t="shared" si="95"/>
        <v>0</v>
      </c>
      <c r="BI31" s="359">
        <f t="shared" si="83"/>
        <v>3034.7163</v>
      </c>
      <c r="BJ31" s="360"/>
      <c r="BK31" s="360"/>
      <c r="BL31" s="360"/>
      <c r="BM31" s="360"/>
      <c r="BN31" s="360"/>
      <c r="BO31" s="360"/>
      <c r="BP31" s="370">
        <f t="shared" ref="BP31:BP33" si="96">I31+V31+AI31+AV31+BI31</f>
        <v>17654.414400000001</v>
      </c>
    </row>
    <row r="32" spans="1:69" s="276" customFormat="1" ht="12.75">
      <c r="A32" s="765"/>
      <c r="B32" s="776" t="s">
        <v>1265</v>
      </c>
      <c r="C32" s="290" t="s">
        <v>1254</v>
      </c>
      <c r="D32" s="291">
        <v>46</v>
      </c>
      <c r="E32" s="301">
        <v>0</v>
      </c>
      <c r="F32" s="301">
        <v>0</v>
      </c>
      <c r="G32" s="300">
        <v>0</v>
      </c>
      <c r="H32" s="300">
        <v>0</v>
      </c>
      <c r="I32" s="325">
        <f t="shared" si="79"/>
        <v>0</v>
      </c>
      <c r="J32" s="300">
        <v>0</v>
      </c>
      <c r="K32" s="300">
        <v>0</v>
      </c>
      <c r="L32" s="326">
        <v>0</v>
      </c>
      <c r="M32" s="301">
        <v>0</v>
      </c>
      <c r="N32" s="300"/>
      <c r="O32" s="300"/>
      <c r="P32" s="329">
        <v>8</v>
      </c>
      <c r="Q32" s="332">
        <v>0</v>
      </c>
      <c r="R32" s="329">
        <v>4</v>
      </c>
      <c r="S32" s="342">
        <v>0</v>
      </c>
      <c r="T32" s="332">
        <v>0</v>
      </c>
      <c r="U32" s="329">
        <v>1</v>
      </c>
      <c r="V32" s="338">
        <f t="shared" si="80"/>
        <v>13</v>
      </c>
      <c r="W32" s="300">
        <v>1</v>
      </c>
      <c r="X32" s="300">
        <v>0</v>
      </c>
      <c r="Y32" s="301">
        <v>1</v>
      </c>
      <c r="Z32" s="301">
        <v>1</v>
      </c>
      <c r="AA32" s="301">
        <v>1</v>
      </c>
      <c r="AB32" s="301">
        <v>1</v>
      </c>
      <c r="AC32" s="301">
        <v>2</v>
      </c>
      <c r="AD32" s="301">
        <v>2</v>
      </c>
      <c r="AE32" s="301">
        <v>1</v>
      </c>
      <c r="AF32" s="301">
        <v>1</v>
      </c>
      <c r="AG32" s="300">
        <v>1</v>
      </c>
      <c r="AH32" s="300">
        <v>1</v>
      </c>
      <c r="AI32" s="338">
        <f t="shared" si="81"/>
        <v>13</v>
      </c>
      <c r="AJ32" s="300">
        <v>1</v>
      </c>
      <c r="AK32" s="300">
        <v>1</v>
      </c>
      <c r="AL32" s="301">
        <v>1</v>
      </c>
      <c r="AM32" s="301">
        <v>1</v>
      </c>
      <c r="AN32" s="301">
        <v>1</v>
      </c>
      <c r="AO32" s="301">
        <v>1</v>
      </c>
      <c r="AP32" s="301">
        <v>1</v>
      </c>
      <c r="AQ32" s="301">
        <v>2</v>
      </c>
      <c r="AR32" s="301">
        <v>1</v>
      </c>
      <c r="AS32" s="301">
        <v>2</v>
      </c>
      <c r="AT32" s="300">
        <v>1</v>
      </c>
      <c r="AU32" s="300">
        <v>1</v>
      </c>
      <c r="AV32" s="338">
        <f t="shared" si="82"/>
        <v>14</v>
      </c>
      <c r="AW32" s="300">
        <v>1</v>
      </c>
      <c r="AX32" s="300">
        <v>1</v>
      </c>
      <c r="AY32" s="326">
        <v>1</v>
      </c>
      <c r="AZ32" s="326">
        <v>1</v>
      </c>
      <c r="BA32" s="326">
        <v>1</v>
      </c>
      <c r="BB32" s="326">
        <v>1</v>
      </c>
      <c r="BC32" s="326"/>
      <c r="BD32" s="326"/>
      <c r="BE32" s="326"/>
      <c r="BF32" s="326"/>
      <c r="BG32" s="326"/>
      <c r="BH32" s="326"/>
      <c r="BI32" s="361">
        <f t="shared" si="83"/>
        <v>6</v>
      </c>
      <c r="BJ32" s="362"/>
      <c r="BK32" s="362"/>
      <c r="BL32" s="362"/>
      <c r="BM32" s="362"/>
      <c r="BN32" s="362"/>
      <c r="BO32" s="362"/>
      <c r="BP32" s="370">
        <f t="shared" si="96"/>
        <v>46</v>
      </c>
      <c r="BQ32" s="373">
        <f>BP32-D32</f>
        <v>0</v>
      </c>
    </row>
    <row r="33" spans="1:149" s="276" customFormat="1" ht="12.75">
      <c r="A33" s="765"/>
      <c r="B33" s="777"/>
      <c r="C33" s="290" t="s">
        <v>1255</v>
      </c>
      <c r="D33" s="291">
        <v>234</v>
      </c>
      <c r="E33" s="302">
        <f>E32*D33</f>
        <v>0</v>
      </c>
      <c r="F33" s="302">
        <f>F32*D33</f>
        <v>0</v>
      </c>
      <c r="G33" s="302">
        <f>G32*D33</f>
        <v>0</v>
      </c>
      <c r="H33" s="302">
        <f>H32*D33</f>
        <v>0</v>
      </c>
      <c r="I33" s="324">
        <f t="shared" si="79"/>
        <v>0</v>
      </c>
      <c r="J33" s="300">
        <f>J32*D33</f>
        <v>0</v>
      </c>
      <c r="K33" s="300">
        <f>K32*D33</f>
        <v>0</v>
      </c>
      <c r="L33" s="300">
        <f>L32*D33</f>
        <v>0</v>
      </c>
      <c r="M33" s="300">
        <f>M32*D33</f>
        <v>0</v>
      </c>
      <c r="N33" s="300">
        <f>N32*D33</f>
        <v>0</v>
      </c>
      <c r="O33" s="300">
        <f>O32*D33</f>
        <v>0</v>
      </c>
      <c r="P33" s="300">
        <f>P32*D33</f>
        <v>1872</v>
      </c>
      <c r="Q33" s="300">
        <f>Q32*D33</f>
        <v>0</v>
      </c>
      <c r="R33" s="300">
        <f>R32*D33</f>
        <v>936</v>
      </c>
      <c r="S33" s="300">
        <f>S32*D33</f>
        <v>0</v>
      </c>
      <c r="T33" s="300">
        <f>T32*D33</f>
        <v>0</v>
      </c>
      <c r="U33" s="300">
        <f>U32*D33</f>
        <v>234</v>
      </c>
      <c r="V33" s="338">
        <f t="shared" si="80"/>
        <v>3042</v>
      </c>
      <c r="W33" s="300">
        <f>W32*D33</f>
        <v>234</v>
      </c>
      <c r="X33" s="300">
        <f>X32*D33</f>
        <v>0</v>
      </c>
      <c r="Y33" s="300">
        <f>Y32*D33</f>
        <v>234</v>
      </c>
      <c r="Z33" s="300">
        <f>Z32*D33</f>
        <v>234</v>
      </c>
      <c r="AA33" s="300">
        <f>AA32*D33</f>
        <v>234</v>
      </c>
      <c r="AB33" s="300">
        <f>AB32*D33</f>
        <v>234</v>
      </c>
      <c r="AC33" s="300">
        <f>AC32*D33</f>
        <v>468</v>
      </c>
      <c r="AD33" s="300">
        <f>AD32*D33</f>
        <v>468</v>
      </c>
      <c r="AE33" s="300">
        <f>AE32*D33</f>
        <v>234</v>
      </c>
      <c r="AF33" s="300">
        <f>AF32*D33</f>
        <v>234</v>
      </c>
      <c r="AG33" s="300">
        <f>AG32*D33</f>
        <v>234</v>
      </c>
      <c r="AH33" s="300">
        <f>AH32*D33</f>
        <v>234</v>
      </c>
      <c r="AI33" s="338">
        <f t="shared" si="81"/>
        <v>3042</v>
      </c>
      <c r="AJ33" s="300">
        <f>AJ32*D33</f>
        <v>234</v>
      </c>
      <c r="AK33" s="300">
        <f>AK32*D33</f>
        <v>234</v>
      </c>
      <c r="AL33" s="298">
        <f>AL32*D33</f>
        <v>234</v>
      </c>
      <c r="AM33" s="298">
        <f>AM32*D33</f>
        <v>234</v>
      </c>
      <c r="AN33" s="298">
        <f>AN32*D33</f>
        <v>234</v>
      </c>
      <c r="AO33" s="298">
        <f>AO32*D33</f>
        <v>234</v>
      </c>
      <c r="AP33" s="298">
        <f>AP32*D33</f>
        <v>234</v>
      </c>
      <c r="AQ33" s="300">
        <f>AQ32*D33</f>
        <v>468</v>
      </c>
      <c r="AR33" s="300">
        <f>AR32*D33</f>
        <v>234</v>
      </c>
      <c r="AS33" s="300">
        <f>AS32*D33</f>
        <v>468</v>
      </c>
      <c r="AT33" s="300">
        <f>AT32*D33</f>
        <v>234</v>
      </c>
      <c r="AU33" s="300">
        <f>AU32*D33</f>
        <v>234</v>
      </c>
      <c r="AV33" s="338">
        <f t="shared" si="82"/>
        <v>3276</v>
      </c>
      <c r="AW33" s="300">
        <f>AW32*D33</f>
        <v>234</v>
      </c>
      <c r="AX33" s="300">
        <f>AX32*D33</f>
        <v>234</v>
      </c>
      <c r="AY33" s="300">
        <f>AY32*D33</f>
        <v>234</v>
      </c>
      <c r="AZ33" s="300">
        <f>AZ32*D33</f>
        <v>234</v>
      </c>
      <c r="BA33" s="300">
        <f>BA32*D33</f>
        <v>234</v>
      </c>
      <c r="BB33" s="300">
        <f>BB32*D33</f>
        <v>234</v>
      </c>
      <c r="BC33" s="300">
        <f>BC32*D33</f>
        <v>0</v>
      </c>
      <c r="BD33" s="300">
        <f>BD32*D33</f>
        <v>0</v>
      </c>
      <c r="BE33" s="300">
        <f>BE32*D33</f>
        <v>0</v>
      </c>
      <c r="BF33" s="300">
        <f>BF32*D33</f>
        <v>0</v>
      </c>
      <c r="BG33" s="300">
        <f>BG32*D33</f>
        <v>0</v>
      </c>
      <c r="BH33" s="300">
        <f>BH32*D33</f>
        <v>0</v>
      </c>
      <c r="BI33" s="361">
        <f t="shared" si="83"/>
        <v>1404</v>
      </c>
      <c r="BJ33" s="362"/>
      <c r="BK33" s="362"/>
      <c r="BL33" s="362"/>
      <c r="BM33" s="362"/>
      <c r="BN33" s="362"/>
      <c r="BO33" s="362"/>
      <c r="BP33" s="370">
        <f t="shared" si="96"/>
        <v>10764</v>
      </c>
    </row>
    <row r="34" spans="1:149" s="276" customFormat="1" ht="12.75">
      <c r="A34" s="765"/>
      <c r="B34" s="777"/>
      <c r="C34" s="783" t="s">
        <v>1256</v>
      </c>
      <c r="D34" s="784"/>
      <c r="E34" s="307">
        <v>0</v>
      </c>
      <c r="F34" s="301">
        <f t="shared" ref="F34:K34" si="97">E34</f>
        <v>0</v>
      </c>
      <c r="G34" s="308">
        <v>0</v>
      </c>
      <c r="H34" s="308">
        <f t="shared" si="97"/>
        <v>0</v>
      </c>
      <c r="I34" s="330" t="e">
        <f>I35/I33*10000</f>
        <v>#DIV/0!</v>
      </c>
      <c r="J34" s="308">
        <f>H34</f>
        <v>0</v>
      </c>
      <c r="K34" s="308">
        <f t="shared" si="97"/>
        <v>0</v>
      </c>
      <c r="L34" s="301">
        <v>0</v>
      </c>
      <c r="M34" s="301">
        <v>0</v>
      </c>
      <c r="N34" s="308"/>
      <c r="O34" s="308">
        <f t="shared" ref="O34:U34" si="98">N34</f>
        <v>0</v>
      </c>
      <c r="P34" s="329">
        <v>12437</v>
      </c>
      <c r="Q34" s="343">
        <f>P34+800</f>
        <v>13237</v>
      </c>
      <c r="R34" s="343">
        <f t="shared" si="98"/>
        <v>13237</v>
      </c>
      <c r="S34" s="343">
        <f t="shared" si="98"/>
        <v>13237</v>
      </c>
      <c r="T34" s="343">
        <f t="shared" si="98"/>
        <v>13237</v>
      </c>
      <c r="U34" s="343">
        <f t="shared" si="98"/>
        <v>13237</v>
      </c>
      <c r="V34" s="338">
        <f>V35/V33*10000</f>
        <v>12744.692307692307</v>
      </c>
      <c r="W34" s="308">
        <f>U34+800</f>
        <v>14037</v>
      </c>
      <c r="X34" s="308">
        <f t="shared" ref="X34:Z34" si="99">W34</f>
        <v>14037</v>
      </c>
      <c r="Y34" s="301">
        <f t="shared" si="99"/>
        <v>14037</v>
      </c>
      <c r="Z34" s="301">
        <f t="shared" si="99"/>
        <v>14037</v>
      </c>
      <c r="AA34" s="301">
        <f>Z34+300</f>
        <v>14337</v>
      </c>
      <c r="AB34" s="301">
        <f t="shared" ref="AB34:AD34" si="100">AA34</f>
        <v>14337</v>
      </c>
      <c r="AC34" s="301">
        <f t="shared" si="100"/>
        <v>14337</v>
      </c>
      <c r="AD34" s="301">
        <f t="shared" si="100"/>
        <v>14337</v>
      </c>
      <c r="AE34" s="301">
        <f>AD34+300</f>
        <v>14637</v>
      </c>
      <c r="AF34" s="301">
        <f t="shared" ref="AF34:AH34" si="101">AE34</f>
        <v>14637</v>
      </c>
      <c r="AG34" s="301">
        <f t="shared" si="101"/>
        <v>14637</v>
      </c>
      <c r="AH34" s="301">
        <f t="shared" si="101"/>
        <v>14637</v>
      </c>
      <c r="AI34" s="338">
        <f>AI35/AI33*10000</f>
        <v>14360.076923076924</v>
      </c>
      <c r="AJ34" s="300">
        <f>AH34</f>
        <v>14637</v>
      </c>
      <c r="AK34" s="300">
        <f t="shared" ref="AK34:AQ34" si="102">AJ34</f>
        <v>14637</v>
      </c>
      <c r="AL34" s="298">
        <f t="shared" si="102"/>
        <v>14637</v>
      </c>
      <c r="AM34" s="298">
        <f>AL34+300</f>
        <v>14937</v>
      </c>
      <c r="AN34" s="298">
        <f t="shared" si="102"/>
        <v>14937</v>
      </c>
      <c r="AO34" s="298">
        <f t="shared" si="102"/>
        <v>14937</v>
      </c>
      <c r="AP34" s="298">
        <f t="shared" si="102"/>
        <v>14937</v>
      </c>
      <c r="AQ34" s="300">
        <f t="shared" si="102"/>
        <v>14937</v>
      </c>
      <c r="AR34" s="301">
        <f>AQ34+300</f>
        <v>15237</v>
      </c>
      <c r="AS34" s="301">
        <f t="shared" ref="AS34:AU34" si="103">AR34</f>
        <v>15237</v>
      </c>
      <c r="AT34" s="300">
        <f t="shared" si="103"/>
        <v>15237</v>
      </c>
      <c r="AU34" s="300">
        <f t="shared" si="103"/>
        <v>15237</v>
      </c>
      <c r="AV34" s="339">
        <f>AV35/AV33*10000</f>
        <v>14979.857142857139</v>
      </c>
      <c r="AW34" s="300">
        <f>AU34</f>
        <v>15237</v>
      </c>
      <c r="AX34" s="300">
        <f>AW34</f>
        <v>15237</v>
      </c>
      <c r="AY34" s="326">
        <f>AX34</f>
        <v>15237</v>
      </c>
      <c r="AZ34" s="326">
        <f t="shared" ref="AZ34:BH34" si="104">AY34</f>
        <v>15237</v>
      </c>
      <c r="BA34" s="326">
        <f t="shared" si="104"/>
        <v>15237</v>
      </c>
      <c r="BB34" s="326">
        <f t="shared" si="104"/>
        <v>15237</v>
      </c>
      <c r="BC34" s="326">
        <f t="shared" si="104"/>
        <v>15237</v>
      </c>
      <c r="BD34" s="326">
        <f t="shared" si="104"/>
        <v>15237</v>
      </c>
      <c r="BE34" s="326">
        <f t="shared" si="104"/>
        <v>15237</v>
      </c>
      <c r="BF34" s="326">
        <f t="shared" si="104"/>
        <v>15237</v>
      </c>
      <c r="BG34" s="326">
        <f t="shared" si="104"/>
        <v>15237</v>
      </c>
      <c r="BH34" s="326">
        <f t="shared" si="104"/>
        <v>15237</v>
      </c>
      <c r="BI34" s="361">
        <f>BI35/BI33*10000</f>
        <v>15236.999999999998</v>
      </c>
      <c r="BJ34" s="362"/>
      <c r="BK34" s="362"/>
      <c r="BL34" s="362"/>
      <c r="BM34" s="362"/>
      <c r="BN34" s="362"/>
      <c r="BO34" s="362"/>
      <c r="BP34" s="378">
        <f>BP35/BP33*10000</f>
        <v>14206.565217391302</v>
      </c>
    </row>
    <row r="35" spans="1:149" s="276" customFormat="1" ht="12.75">
      <c r="A35" s="765"/>
      <c r="B35" s="778"/>
      <c r="C35" s="769" t="s">
        <v>1257</v>
      </c>
      <c r="D35" s="769"/>
      <c r="E35" s="301">
        <f t="shared" ref="E35:H35" si="105">E33*E34/10000</f>
        <v>0</v>
      </c>
      <c r="F35" s="301">
        <f t="shared" si="105"/>
        <v>0</v>
      </c>
      <c r="G35" s="301">
        <f t="shared" si="105"/>
        <v>0</v>
      </c>
      <c r="H35" s="301">
        <f t="shared" si="105"/>
        <v>0</v>
      </c>
      <c r="I35" s="327">
        <f>SUM(E35:H35)</f>
        <v>0</v>
      </c>
      <c r="J35" s="300">
        <f>J33*J34/10000</f>
        <v>0</v>
      </c>
      <c r="K35" s="300">
        <f t="shared" ref="K35:U35" si="106">K33*K34/10000</f>
        <v>0</v>
      </c>
      <c r="L35" s="300">
        <f t="shared" si="106"/>
        <v>0</v>
      </c>
      <c r="M35" s="300">
        <f t="shared" si="106"/>
        <v>0</v>
      </c>
      <c r="N35" s="300">
        <f t="shared" si="106"/>
        <v>0</v>
      </c>
      <c r="O35" s="300"/>
      <c r="P35" s="300">
        <f t="shared" si="106"/>
        <v>2328.2064</v>
      </c>
      <c r="Q35" s="300">
        <f t="shared" si="106"/>
        <v>0</v>
      </c>
      <c r="R35" s="300">
        <f t="shared" si="106"/>
        <v>1238.9831999999999</v>
      </c>
      <c r="S35" s="300">
        <f t="shared" si="106"/>
        <v>0</v>
      </c>
      <c r="T35" s="300">
        <f t="shared" si="106"/>
        <v>0</v>
      </c>
      <c r="U35" s="300">
        <f t="shared" si="106"/>
        <v>309.74579999999997</v>
      </c>
      <c r="V35" s="338">
        <f>SUM(J35:U35)</f>
        <v>3876.9353999999998</v>
      </c>
      <c r="W35" s="300">
        <f>W33*W34/10000</f>
        <v>328.4658</v>
      </c>
      <c r="X35" s="300">
        <f t="shared" ref="X35:AH35" si="107">X33*X34/10000</f>
        <v>0</v>
      </c>
      <c r="Y35" s="300">
        <f t="shared" si="107"/>
        <v>328.4658</v>
      </c>
      <c r="Z35" s="300">
        <f t="shared" si="107"/>
        <v>328.4658</v>
      </c>
      <c r="AA35" s="300">
        <f t="shared" si="107"/>
        <v>335.48579999999998</v>
      </c>
      <c r="AB35" s="300">
        <f t="shared" si="107"/>
        <v>335.48579999999998</v>
      </c>
      <c r="AC35" s="300">
        <f t="shared" si="107"/>
        <v>670.97159999999997</v>
      </c>
      <c r="AD35" s="300">
        <f t="shared" si="107"/>
        <v>670.97159999999997</v>
      </c>
      <c r="AE35" s="300">
        <f t="shared" si="107"/>
        <v>342.50580000000002</v>
      </c>
      <c r="AF35" s="300">
        <f t="shared" si="107"/>
        <v>342.50580000000002</v>
      </c>
      <c r="AG35" s="300">
        <f t="shared" si="107"/>
        <v>342.50580000000002</v>
      </c>
      <c r="AH35" s="300">
        <f t="shared" si="107"/>
        <v>342.50580000000002</v>
      </c>
      <c r="AI35" s="338">
        <f>SUM(W35:AH35)</f>
        <v>4368.3353999999999</v>
      </c>
      <c r="AJ35" s="300">
        <f>AJ33*AJ34/10000</f>
        <v>342.50580000000002</v>
      </c>
      <c r="AK35" s="300">
        <f t="shared" ref="AK35:AU35" si="108">AK33*AK34/10000</f>
        <v>342.50580000000002</v>
      </c>
      <c r="AL35" s="298">
        <f t="shared" si="108"/>
        <v>342.50580000000002</v>
      </c>
      <c r="AM35" s="298">
        <f t="shared" si="108"/>
        <v>349.5258</v>
      </c>
      <c r="AN35" s="298">
        <f t="shared" si="108"/>
        <v>349.5258</v>
      </c>
      <c r="AO35" s="298">
        <f t="shared" si="108"/>
        <v>349.5258</v>
      </c>
      <c r="AP35" s="298">
        <f t="shared" si="108"/>
        <v>349.5258</v>
      </c>
      <c r="AQ35" s="300">
        <f t="shared" si="108"/>
        <v>699.05160000000001</v>
      </c>
      <c r="AR35" s="300">
        <f t="shared" si="108"/>
        <v>356.54579999999999</v>
      </c>
      <c r="AS35" s="300">
        <f t="shared" si="108"/>
        <v>713.09159999999997</v>
      </c>
      <c r="AT35" s="300">
        <f t="shared" si="108"/>
        <v>356.54579999999999</v>
      </c>
      <c r="AU35" s="300">
        <f t="shared" si="108"/>
        <v>356.54579999999999</v>
      </c>
      <c r="AV35" s="338">
        <f>SUM(AJ35:AU35)</f>
        <v>4907.4011999999993</v>
      </c>
      <c r="AW35" s="300">
        <f>AW33*AW34/10000</f>
        <v>356.54579999999999</v>
      </c>
      <c r="AX35" s="300">
        <f t="shared" ref="AX35:BH35" si="109">AX33*AX34/10000</f>
        <v>356.54579999999999</v>
      </c>
      <c r="AY35" s="300">
        <f t="shared" si="109"/>
        <v>356.54579999999999</v>
      </c>
      <c r="AZ35" s="300">
        <f t="shared" si="109"/>
        <v>356.54579999999999</v>
      </c>
      <c r="BA35" s="300">
        <f t="shared" si="109"/>
        <v>356.54579999999999</v>
      </c>
      <c r="BB35" s="300">
        <f t="shared" si="109"/>
        <v>356.54579999999999</v>
      </c>
      <c r="BC35" s="300">
        <f t="shared" si="109"/>
        <v>0</v>
      </c>
      <c r="BD35" s="300">
        <f t="shared" si="109"/>
        <v>0</v>
      </c>
      <c r="BE35" s="300">
        <f t="shared" si="109"/>
        <v>0</v>
      </c>
      <c r="BF35" s="300">
        <f t="shared" si="109"/>
        <v>0</v>
      </c>
      <c r="BG35" s="300">
        <f t="shared" si="109"/>
        <v>0</v>
      </c>
      <c r="BH35" s="300">
        <f t="shared" si="109"/>
        <v>0</v>
      </c>
      <c r="BI35" s="361">
        <f>SUM(AW35:BH35)</f>
        <v>2139.2747999999997</v>
      </c>
      <c r="BJ35" s="362"/>
      <c r="BK35" s="362"/>
      <c r="BL35" s="362"/>
      <c r="BM35" s="362"/>
      <c r="BN35" s="362"/>
      <c r="BO35" s="362"/>
      <c r="BP35" s="370">
        <f t="shared" ref="BP35:BP37" si="110">I35+V35+AI35+AV35+BI35</f>
        <v>15291.946799999998</v>
      </c>
    </row>
    <row r="36" spans="1:149">
      <c r="A36" s="765"/>
      <c r="B36" s="775" t="s">
        <v>1259</v>
      </c>
      <c r="C36" s="303" t="s">
        <v>1254</v>
      </c>
      <c r="D36" s="305">
        <f t="shared" ref="D36:F36" si="111">D28+D32</f>
        <v>114</v>
      </c>
      <c r="E36" s="304">
        <f t="shared" si="111"/>
        <v>0</v>
      </c>
      <c r="F36" s="304">
        <f t="shared" si="111"/>
        <v>0</v>
      </c>
      <c r="G36" s="304">
        <f t="shared" ref="G36:N36" si="112">G28+G32</f>
        <v>0</v>
      </c>
      <c r="H36" s="304">
        <f t="shared" si="112"/>
        <v>0</v>
      </c>
      <c r="I36" s="304">
        <f t="shared" si="112"/>
        <v>0</v>
      </c>
      <c r="J36" s="304">
        <f t="shared" si="112"/>
        <v>0</v>
      </c>
      <c r="K36" s="304">
        <f t="shared" si="112"/>
        <v>0</v>
      </c>
      <c r="L36" s="304">
        <f t="shared" si="112"/>
        <v>0</v>
      </c>
      <c r="M36" s="304">
        <f t="shared" si="112"/>
        <v>0</v>
      </c>
      <c r="N36" s="304">
        <f t="shared" si="112"/>
        <v>0</v>
      </c>
      <c r="O36" s="304">
        <f t="shared" ref="O36:AI37" si="113">O28+O32</f>
        <v>0</v>
      </c>
      <c r="P36" s="304">
        <f t="shared" si="113"/>
        <v>17</v>
      </c>
      <c r="Q36" s="304">
        <f t="shared" si="113"/>
        <v>3</v>
      </c>
      <c r="R36" s="304">
        <f t="shared" si="113"/>
        <v>6</v>
      </c>
      <c r="S36" s="304">
        <f t="shared" si="113"/>
        <v>1</v>
      </c>
      <c r="T36" s="304">
        <f t="shared" si="113"/>
        <v>0</v>
      </c>
      <c r="U36" s="304">
        <f t="shared" si="113"/>
        <v>2</v>
      </c>
      <c r="V36" s="344">
        <f>V28+V32</f>
        <v>29</v>
      </c>
      <c r="W36" s="304">
        <f t="shared" si="113"/>
        <v>2</v>
      </c>
      <c r="X36" s="304">
        <f t="shared" si="113"/>
        <v>1</v>
      </c>
      <c r="Y36" s="304">
        <f t="shared" si="113"/>
        <v>3</v>
      </c>
      <c r="Z36" s="304">
        <f t="shared" si="113"/>
        <v>3</v>
      </c>
      <c r="AA36" s="304">
        <f t="shared" si="113"/>
        <v>2</v>
      </c>
      <c r="AB36" s="304">
        <f t="shared" si="113"/>
        <v>3</v>
      </c>
      <c r="AC36" s="304">
        <f t="shared" si="113"/>
        <v>4</v>
      </c>
      <c r="AD36" s="304">
        <f t="shared" si="113"/>
        <v>4</v>
      </c>
      <c r="AE36" s="304">
        <f t="shared" si="113"/>
        <v>2</v>
      </c>
      <c r="AF36" s="304">
        <f t="shared" si="113"/>
        <v>3</v>
      </c>
      <c r="AG36" s="304">
        <f t="shared" si="113"/>
        <v>3</v>
      </c>
      <c r="AH36" s="304">
        <f t="shared" si="113"/>
        <v>2</v>
      </c>
      <c r="AI36" s="304">
        <f t="shared" si="113"/>
        <v>32</v>
      </c>
      <c r="AJ36" s="304">
        <f>AJ28+AJ32</f>
        <v>3</v>
      </c>
      <c r="AK36" s="304">
        <f t="shared" ref="AK36:BI36" si="114">AK28+AK32</f>
        <v>2</v>
      </c>
      <c r="AL36" s="304">
        <f t="shared" si="114"/>
        <v>3</v>
      </c>
      <c r="AM36" s="304">
        <f t="shared" si="114"/>
        <v>2</v>
      </c>
      <c r="AN36" s="304">
        <f t="shared" si="114"/>
        <v>4</v>
      </c>
      <c r="AO36" s="304">
        <f t="shared" si="114"/>
        <v>3</v>
      </c>
      <c r="AP36" s="304">
        <f t="shared" si="114"/>
        <v>4</v>
      </c>
      <c r="AQ36" s="304">
        <f t="shared" si="114"/>
        <v>4</v>
      </c>
      <c r="AR36" s="304">
        <f t="shared" si="114"/>
        <v>2</v>
      </c>
      <c r="AS36" s="304">
        <f t="shared" si="114"/>
        <v>5</v>
      </c>
      <c r="AT36" s="304">
        <f t="shared" si="114"/>
        <v>2</v>
      </c>
      <c r="AU36" s="304">
        <f t="shared" si="114"/>
        <v>2</v>
      </c>
      <c r="AV36" s="304">
        <f t="shared" si="114"/>
        <v>36</v>
      </c>
      <c r="AW36" s="304">
        <f t="shared" si="114"/>
        <v>2</v>
      </c>
      <c r="AX36" s="304">
        <f t="shared" si="114"/>
        <v>3</v>
      </c>
      <c r="AY36" s="304">
        <f t="shared" si="114"/>
        <v>3</v>
      </c>
      <c r="AZ36" s="304">
        <f t="shared" si="114"/>
        <v>4</v>
      </c>
      <c r="BA36" s="304">
        <f t="shared" si="114"/>
        <v>4</v>
      </c>
      <c r="BB36" s="304">
        <f t="shared" si="114"/>
        <v>1</v>
      </c>
      <c r="BC36" s="304">
        <f t="shared" si="114"/>
        <v>0</v>
      </c>
      <c r="BD36" s="304">
        <f t="shared" si="114"/>
        <v>0</v>
      </c>
      <c r="BE36" s="304">
        <f t="shared" si="114"/>
        <v>0</v>
      </c>
      <c r="BF36" s="304">
        <f t="shared" si="114"/>
        <v>0</v>
      </c>
      <c r="BG36" s="304">
        <f t="shared" si="114"/>
        <v>0</v>
      </c>
      <c r="BH36" s="304">
        <f t="shared" si="114"/>
        <v>0</v>
      </c>
      <c r="BI36" s="304">
        <f t="shared" si="114"/>
        <v>17</v>
      </c>
      <c r="BJ36" s="364"/>
      <c r="BK36" s="364"/>
      <c r="BL36" s="364"/>
      <c r="BM36" s="364"/>
      <c r="BN36" s="364"/>
      <c r="BO36" s="364"/>
      <c r="BP36" s="374">
        <f t="shared" si="110"/>
        <v>114</v>
      </c>
      <c r="BQ36" s="373">
        <f>BP36-D36</f>
        <v>0</v>
      </c>
      <c r="BR36" s="373"/>
      <c r="BS36" s="373"/>
      <c r="BT36" s="373"/>
      <c r="BU36" s="373"/>
      <c r="BV36" s="373"/>
      <c r="BW36" s="373"/>
      <c r="BX36" s="373"/>
      <c r="BY36" s="373"/>
      <c r="BZ36" s="373"/>
      <c r="CA36" s="373"/>
      <c r="CB36" s="373"/>
      <c r="CC36" s="373"/>
      <c r="CD36" s="373"/>
      <c r="CE36" s="373"/>
      <c r="CF36" s="373"/>
      <c r="CG36" s="373"/>
      <c r="CH36" s="373"/>
      <c r="CI36" s="373"/>
      <c r="CJ36" s="373"/>
      <c r="CK36" s="373"/>
      <c r="CL36" s="373"/>
      <c r="CM36" s="373"/>
      <c r="CN36" s="373"/>
      <c r="CO36" s="373"/>
      <c r="CP36" s="373"/>
      <c r="CQ36" s="373"/>
      <c r="CR36" s="373"/>
      <c r="CS36" s="373"/>
      <c r="CT36" s="373"/>
      <c r="CU36" s="373"/>
      <c r="CV36" s="373"/>
      <c r="CW36" s="373"/>
      <c r="CX36" s="373"/>
      <c r="CY36" s="373"/>
      <c r="CZ36" s="373"/>
      <c r="DA36" s="373"/>
      <c r="DB36" s="373"/>
      <c r="DC36" s="373"/>
      <c r="DD36" s="373"/>
      <c r="DE36" s="373"/>
      <c r="DF36" s="373"/>
      <c r="DG36" s="373"/>
      <c r="DH36" s="373"/>
      <c r="DI36" s="373"/>
      <c r="DJ36" s="373"/>
      <c r="DK36" s="373"/>
      <c r="DL36" s="373"/>
      <c r="DM36" s="373"/>
      <c r="DN36" s="373"/>
      <c r="DO36" s="373"/>
      <c r="DP36" s="373"/>
      <c r="DQ36" s="373"/>
      <c r="DR36" s="373"/>
      <c r="DS36" s="373"/>
      <c r="DT36" s="373"/>
      <c r="DU36" s="373"/>
      <c r="DV36" s="373"/>
      <c r="DW36" s="373"/>
      <c r="DX36" s="373"/>
      <c r="DY36" s="373"/>
      <c r="DZ36" s="373"/>
      <c r="EA36" s="373"/>
      <c r="EB36" s="373"/>
      <c r="EC36" s="373"/>
      <c r="ED36" s="373"/>
      <c r="EE36" s="373"/>
      <c r="EF36" s="373"/>
      <c r="EG36" s="373"/>
      <c r="EH36" s="373"/>
      <c r="EI36" s="373"/>
      <c r="EJ36" s="373"/>
      <c r="EK36" s="373"/>
      <c r="EL36" s="373"/>
      <c r="EM36" s="373"/>
      <c r="EN36" s="373"/>
      <c r="EO36" s="373"/>
      <c r="EP36" s="373"/>
      <c r="EQ36" s="373"/>
      <c r="ER36" s="373"/>
      <c r="ES36" s="373"/>
    </row>
    <row r="37" spans="1:149">
      <c r="A37" s="765"/>
      <c r="B37" s="775"/>
      <c r="C37" s="294" t="s">
        <v>1255</v>
      </c>
      <c r="D37" s="305"/>
      <c r="E37" s="304">
        <f>E29+E33</f>
        <v>0</v>
      </c>
      <c r="F37" s="304">
        <f t="shared" ref="F37:W37" si="115">F29+F33</f>
        <v>0</v>
      </c>
      <c r="G37" s="304">
        <f t="shared" si="115"/>
        <v>0</v>
      </c>
      <c r="H37" s="304">
        <f t="shared" si="115"/>
        <v>0</v>
      </c>
      <c r="I37" s="304">
        <f t="shared" si="115"/>
        <v>0</v>
      </c>
      <c r="J37" s="304">
        <f t="shared" si="115"/>
        <v>0</v>
      </c>
      <c r="K37" s="304">
        <f t="shared" si="115"/>
        <v>0</v>
      </c>
      <c r="L37" s="304">
        <f t="shared" si="115"/>
        <v>0</v>
      </c>
      <c r="M37" s="304">
        <f t="shared" si="115"/>
        <v>0</v>
      </c>
      <c r="N37" s="304">
        <f t="shared" si="115"/>
        <v>0</v>
      </c>
      <c r="O37" s="304">
        <f t="shared" si="115"/>
        <v>0</v>
      </c>
      <c r="P37" s="304">
        <f t="shared" si="115"/>
        <v>3573</v>
      </c>
      <c r="Q37" s="304">
        <f t="shared" si="115"/>
        <v>567</v>
      </c>
      <c r="R37" s="304">
        <f t="shared" si="115"/>
        <v>1314</v>
      </c>
      <c r="S37" s="304">
        <f t="shared" si="115"/>
        <v>189</v>
      </c>
      <c r="T37" s="304">
        <f t="shared" si="115"/>
        <v>0</v>
      </c>
      <c r="U37" s="304">
        <f t="shared" si="115"/>
        <v>423</v>
      </c>
      <c r="V37" s="304">
        <f t="shared" si="115"/>
        <v>6066</v>
      </c>
      <c r="W37" s="304">
        <f t="shared" si="115"/>
        <v>423</v>
      </c>
      <c r="X37" s="304">
        <f t="shared" si="113"/>
        <v>189</v>
      </c>
      <c r="Y37" s="304">
        <f t="shared" si="113"/>
        <v>612</v>
      </c>
      <c r="Z37" s="304">
        <f t="shared" si="113"/>
        <v>612</v>
      </c>
      <c r="AA37" s="304">
        <f t="shared" si="113"/>
        <v>423</v>
      </c>
      <c r="AB37" s="304">
        <f t="shared" si="113"/>
        <v>612</v>
      </c>
      <c r="AC37" s="304">
        <f t="shared" si="113"/>
        <v>846</v>
      </c>
      <c r="AD37" s="304">
        <f t="shared" si="113"/>
        <v>846</v>
      </c>
      <c r="AE37" s="304">
        <f t="shared" si="113"/>
        <v>423</v>
      </c>
      <c r="AF37" s="304">
        <f t="shared" si="113"/>
        <v>612</v>
      </c>
      <c r="AG37" s="304">
        <f t="shared" si="113"/>
        <v>612</v>
      </c>
      <c r="AH37" s="304">
        <f t="shared" si="113"/>
        <v>423</v>
      </c>
      <c r="AI37" s="304">
        <f t="shared" si="113"/>
        <v>6633</v>
      </c>
      <c r="AJ37" s="304">
        <f t="shared" ref="AJ37:BI37" si="116">AJ29+AJ33</f>
        <v>612</v>
      </c>
      <c r="AK37" s="304">
        <f t="shared" si="116"/>
        <v>423</v>
      </c>
      <c r="AL37" s="304">
        <f t="shared" si="116"/>
        <v>612</v>
      </c>
      <c r="AM37" s="304">
        <f t="shared" si="116"/>
        <v>423</v>
      </c>
      <c r="AN37" s="304">
        <f t="shared" si="116"/>
        <v>801</v>
      </c>
      <c r="AO37" s="304">
        <f t="shared" si="116"/>
        <v>612</v>
      </c>
      <c r="AP37" s="304">
        <f t="shared" si="116"/>
        <v>801</v>
      </c>
      <c r="AQ37" s="304">
        <f t="shared" si="116"/>
        <v>846</v>
      </c>
      <c r="AR37" s="304">
        <f t="shared" si="116"/>
        <v>423</v>
      </c>
      <c r="AS37" s="304">
        <f t="shared" si="116"/>
        <v>1035</v>
      </c>
      <c r="AT37" s="304">
        <f t="shared" si="116"/>
        <v>423</v>
      </c>
      <c r="AU37" s="304">
        <f t="shared" si="116"/>
        <v>423</v>
      </c>
      <c r="AV37" s="304">
        <f t="shared" si="116"/>
        <v>7434</v>
      </c>
      <c r="AW37" s="304">
        <f t="shared" si="116"/>
        <v>423</v>
      </c>
      <c r="AX37" s="304">
        <f t="shared" si="116"/>
        <v>612</v>
      </c>
      <c r="AY37" s="304">
        <f t="shared" si="116"/>
        <v>612</v>
      </c>
      <c r="AZ37" s="304">
        <f t="shared" si="116"/>
        <v>801</v>
      </c>
      <c r="BA37" s="304">
        <f t="shared" si="116"/>
        <v>801</v>
      </c>
      <c r="BB37" s="304">
        <f t="shared" si="116"/>
        <v>234</v>
      </c>
      <c r="BC37" s="304">
        <f t="shared" si="116"/>
        <v>0</v>
      </c>
      <c r="BD37" s="304">
        <f t="shared" si="116"/>
        <v>0</v>
      </c>
      <c r="BE37" s="304">
        <f t="shared" si="116"/>
        <v>0</v>
      </c>
      <c r="BF37" s="304">
        <f t="shared" si="116"/>
        <v>0</v>
      </c>
      <c r="BG37" s="304">
        <f t="shared" si="116"/>
        <v>0</v>
      </c>
      <c r="BH37" s="304">
        <f t="shared" si="116"/>
        <v>0</v>
      </c>
      <c r="BI37" s="304">
        <f t="shared" si="116"/>
        <v>3483</v>
      </c>
      <c r="BJ37" s="364"/>
      <c r="BK37" s="364"/>
      <c r="BL37" s="364"/>
      <c r="BM37" s="364"/>
      <c r="BN37" s="364"/>
      <c r="BO37" s="364"/>
      <c r="BP37" s="374">
        <f t="shared" si="110"/>
        <v>23616</v>
      </c>
      <c r="BQ37" s="373"/>
      <c r="BR37" s="373"/>
      <c r="BS37" s="373"/>
      <c r="BT37" s="373"/>
      <c r="BU37" s="373"/>
      <c r="BV37" s="373"/>
      <c r="BW37" s="373"/>
      <c r="BX37" s="373"/>
      <c r="BY37" s="373"/>
      <c r="BZ37" s="373"/>
      <c r="CA37" s="373"/>
      <c r="CB37" s="373"/>
      <c r="CC37" s="373"/>
      <c r="CD37" s="373"/>
      <c r="CE37" s="373"/>
      <c r="CF37" s="373"/>
      <c r="CG37" s="373"/>
      <c r="CH37" s="373"/>
      <c r="CI37" s="373"/>
      <c r="CJ37" s="373"/>
      <c r="CK37" s="373"/>
      <c r="CL37" s="373"/>
      <c r="CM37" s="373"/>
      <c r="CN37" s="373"/>
      <c r="CO37" s="373"/>
      <c r="CP37" s="373"/>
      <c r="CQ37" s="373"/>
      <c r="CR37" s="373"/>
      <c r="CS37" s="373"/>
      <c r="CT37" s="373"/>
      <c r="CU37" s="373"/>
      <c r="CV37" s="373"/>
      <c r="CW37" s="373"/>
      <c r="CX37" s="373"/>
      <c r="CY37" s="373"/>
      <c r="CZ37" s="373"/>
      <c r="DA37" s="373"/>
      <c r="DB37" s="373"/>
      <c r="DC37" s="373"/>
      <c r="DD37" s="373"/>
      <c r="DE37" s="373"/>
      <c r="DF37" s="373"/>
      <c r="DG37" s="373"/>
      <c r="DH37" s="373"/>
      <c r="DI37" s="373"/>
      <c r="DJ37" s="373"/>
      <c r="DK37" s="373"/>
      <c r="DL37" s="373"/>
      <c r="DM37" s="373"/>
      <c r="DN37" s="373"/>
      <c r="DO37" s="373"/>
      <c r="DP37" s="373"/>
      <c r="DQ37" s="373"/>
      <c r="DR37" s="373"/>
      <c r="DS37" s="373"/>
      <c r="DT37" s="373"/>
      <c r="DU37" s="373"/>
      <c r="DV37" s="373"/>
      <c r="DW37" s="373"/>
      <c r="DX37" s="373"/>
      <c r="DY37" s="373"/>
      <c r="DZ37" s="373"/>
      <c r="EA37" s="373"/>
      <c r="EB37" s="373"/>
      <c r="EC37" s="373"/>
      <c r="ED37" s="373"/>
      <c r="EE37" s="373"/>
      <c r="EF37" s="373"/>
      <c r="EG37" s="373"/>
      <c r="EH37" s="373"/>
      <c r="EI37" s="373"/>
      <c r="EJ37" s="373"/>
      <c r="EK37" s="373"/>
      <c r="EL37" s="373"/>
      <c r="EM37" s="373"/>
      <c r="EN37" s="373"/>
      <c r="EO37" s="373"/>
      <c r="EP37" s="373"/>
      <c r="EQ37" s="373"/>
      <c r="ER37" s="373"/>
      <c r="ES37" s="373"/>
    </row>
    <row r="38" spans="1:149" s="278" customFormat="1">
      <c r="A38" s="765"/>
      <c r="B38" s="775"/>
      <c r="C38" s="785" t="s">
        <v>1256</v>
      </c>
      <c r="D38" s="786"/>
      <c r="E38" s="295" t="e">
        <f>E39/E37*10000</f>
        <v>#DIV/0!</v>
      </c>
      <c r="F38" s="295" t="e">
        <f t="shared" ref="F38:BP38" si="117">F39/F37*10000</f>
        <v>#DIV/0!</v>
      </c>
      <c r="G38" s="295" t="e">
        <f t="shared" si="117"/>
        <v>#DIV/0!</v>
      </c>
      <c r="H38" s="295" t="e">
        <f t="shared" si="117"/>
        <v>#DIV/0!</v>
      </c>
      <c r="I38" s="295" t="e">
        <f t="shared" si="117"/>
        <v>#DIV/0!</v>
      </c>
      <c r="J38" s="295" t="e">
        <f t="shared" si="117"/>
        <v>#DIV/0!</v>
      </c>
      <c r="K38" s="295" t="e">
        <f t="shared" si="117"/>
        <v>#DIV/0!</v>
      </c>
      <c r="L38" s="295" t="e">
        <f t="shared" si="117"/>
        <v>#DIV/0!</v>
      </c>
      <c r="M38" s="295" t="e">
        <f t="shared" si="117"/>
        <v>#DIV/0!</v>
      </c>
      <c r="N38" s="295" t="e">
        <f t="shared" si="117"/>
        <v>#DIV/0!</v>
      </c>
      <c r="O38" s="295" t="e">
        <f t="shared" si="117"/>
        <v>#DIV/0!</v>
      </c>
      <c r="P38" s="295">
        <f t="shared" si="117"/>
        <v>12370.350125944587</v>
      </c>
      <c r="Q38" s="295">
        <f t="shared" si="117"/>
        <v>12796.999999999998</v>
      </c>
      <c r="R38" s="295">
        <f t="shared" si="117"/>
        <v>13110.424657534246</v>
      </c>
      <c r="S38" s="295">
        <f t="shared" si="117"/>
        <v>12797</v>
      </c>
      <c r="T38" s="295" t="e">
        <f t="shared" si="117"/>
        <v>#DIV/0!</v>
      </c>
      <c r="U38" s="295">
        <f t="shared" si="117"/>
        <v>13040.404255319148</v>
      </c>
      <c r="V38" s="295">
        <f t="shared" si="117"/>
        <v>12630.560830860533</v>
      </c>
      <c r="W38" s="295">
        <f t="shared" si="117"/>
        <v>13751.04255319149</v>
      </c>
      <c r="X38" s="295">
        <f t="shared" si="117"/>
        <v>13397.000000000002</v>
      </c>
      <c r="Y38" s="295">
        <f t="shared" si="117"/>
        <v>13641.705882352941</v>
      </c>
      <c r="Z38" s="295">
        <f t="shared" si="117"/>
        <v>13641.705882352941</v>
      </c>
      <c r="AA38" s="295">
        <f t="shared" si="117"/>
        <v>14051.042553191486</v>
      </c>
      <c r="AB38" s="295">
        <f t="shared" si="117"/>
        <v>13941.705882352939</v>
      </c>
      <c r="AC38" s="295">
        <f t="shared" si="117"/>
        <v>14051.042553191486</v>
      </c>
      <c r="AD38" s="295">
        <f t="shared" si="117"/>
        <v>14051.042553191486</v>
      </c>
      <c r="AE38" s="295">
        <f t="shared" si="117"/>
        <v>14351.042553191488</v>
      </c>
      <c r="AF38" s="295">
        <f t="shared" si="117"/>
        <v>14241.705882352942</v>
      </c>
      <c r="AG38" s="295">
        <f t="shared" si="117"/>
        <v>14241.705882352942</v>
      </c>
      <c r="AH38" s="295">
        <f t="shared" si="117"/>
        <v>14351.042553191488</v>
      </c>
      <c r="AI38" s="295">
        <f t="shared" si="117"/>
        <v>14001.097693351423</v>
      </c>
      <c r="AJ38" s="295">
        <f t="shared" si="117"/>
        <v>14241.705882352942</v>
      </c>
      <c r="AK38" s="295">
        <f t="shared" si="117"/>
        <v>14351.042553191488</v>
      </c>
      <c r="AL38" s="295">
        <f t="shared" si="117"/>
        <v>14241.705882352942</v>
      </c>
      <c r="AM38" s="295">
        <f t="shared" si="117"/>
        <v>14651.04255319149</v>
      </c>
      <c r="AN38" s="295">
        <f t="shared" si="117"/>
        <v>14483.966292134832</v>
      </c>
      <c r="AO38" s="295">
        <f t="shared" si="117"/>
        <v>14541.705882352942</v>
      </c>
      <c r="AP38" s="295">
        <f t="shared" si="117"/>
        <v>14483.966292134832</v>
      </c>
      <c r="AQ38" s="295">
        <f t="shared" si="117"/>
        <v>14651.04255319149</v>
      </c>
      <c r="AR38" s="295">
        <f t="shared" si="117"/>
        <v>14817</v>
      </c>
      <c r="AS38" s="295">
        <f t="shared" si="117"/>
        <v>14722.043478260868</v>
      </c>
      <c r="AT38" s="295">
        <f t="shared" si="117"/>
        <v>14817</v>
      </c>
      <c r="AU38" s="295">
        <f t="shared" si="117"/>
        <v>14817</v>
      </c>
      <c r="AV38" s="295">
        <f t="shared" si="117"/>
        <v>14559.784503631961</v>
      </c>
      <c r="AW38" s="295">
        <f t="shared" si="117"/>
        <v>14951.042553191492</v>
      </c>
      <c r="AX38" s="295">
        <f t="shared" si="117"/>
        <v>14841.705882352942</v>
      </c>
      <c r="AY38" s="295">
        <f t="shared" si="117"/>
        <v>14841.705882352942</v>
      </c>
      <c r="AZ38" s="295">
        <f t="shared" si="117"/>
        <v>14783.966292134832</v>
      </c>
      <c r="BA38" s="295">
        <f t="shared" si="117"/>
        <v>14783.966292134832</v>
      </c>
      <c r="BB38" s="295">
        <f t="shared" si="117"/>
        <v>15236.999999999998</v>
      </c>
      <c r="BC38" s="295" t="e">
        <f t="shared" si="117"/>
        <v>#DIV/0!</v>
      </c>
      <c r="BD38" s="295" t="e">
        <f t="shared" si="117"/>
        <v>#DIV/0!</v>
      </c>
      <c r="BE38" s="295" t="e">
        <f t="shared" si="117"/>
        <v>#DIV/0!</v>
      </c>
      <c r="BF38" s="295" t="e">
        <f t="shared" si="117"/>
        <v>#DIV/0!</v>
      </c>
      <c r="BG38" s="295" t="e">
        <f t="shared" si="117"/>
        <v>#DIV/0!</v>
      </c>
      <c r="BH38" s="295" t="e">
        <f t="shared" si="117"/>
        <v>#DIV/0!</v>
      </c>
      <c r="BI38" s="295">
        <f t="shared" si="117"/>
        <v>14854.984496124029</v>
      </c>
      <c r="BJ38" s="366"/>
      <c r="BK38" s="366"/>
      <c r="BL38" s="366"/>
      <c r="BM38" s="366"/>
      <c r="BN38" s="366"/>
      <c r="BO38" s="366"/>
      <c r="BP38" s="380">
        <f t="shared" si="117"/>
        <v>13950.864329268294</v>
      </c>
    </row>
    <row r="39" spans="1:149">
      <c r="A39" s="767"/>
      <c r="B39" s="775"/>
      <c r="C39" s="775" t="s">
        <v>1257</v>
      </c>
      <c r="D39" s="775"/>
      <c r="E39" s="296">
        <f>E31+E35</f>
        <v>0</v>
      </c>
      <c r="F39" s="296">
        <f t="shared" ref="F39:W39" si="118">F31+F35</f>
        <v>0</v>
      </c>
      <c r="G39" s="296">
        <f t="shared" si="118"/>
        <v>0</v>
      </c>
      <c r="H39" s="296">
        <f t="shared" si="118"/>
        <v>0</v>
      </c>
      <c r="I39" s="296">
        <f t="shared" si="118"/>
        <v>0</v>
      </c>
      <c r="J39" s="296">
        <f t="shared" si="118"/>
        <v>0</v>
      </c>
      <c r="K39" s="296">
        <f t="shared" si="118"/>
        <v>0</v>
      </c>
      <c r="L39" s="296">
        <f t="shared" si="118"/>
        <v>0</v>
      </c>
      <c r="M39" s="296">
        <f t="shared" si="118"/>
        <v>0</v>
      </c>
      <c r="N39" s="296">
        <f t="shared" si="118"/>
        <v>0</v>
      </c>
      <c r="O39" s="296">
        <f t="shared" si="118"/>
        <v>0</v>
      </c>
      <c r="P39" s="296">
        <f t="shared" si="118"/>
        <v>4419.9261000000006</v>
      </c>
      <c r="Q39" s="296">
        <f t="shared" si="118"/>
        <v>725.58989999999994</v>
      </c>
      <c r="R39" s="296">
        <f t="shared" si="118"/>
        <v>1722.7097999999999</v>
      </c>
      <c r="S39" s="296">
        <f t="shared" si="118"/>
        <v>241.86330000000001</v>
      </c>
      <c r="T39" s="296">
        <f t="shared" si="118"/>
        <v>0</v>
      </c>
      <c r="U39" s="296">
        <f t="shared" si="118"/>
        <v>551.60910000000001</v>
      </c>
      <c r="V39" s="296">
        <f t="shared" si="118"/>
        <v>7661.6981999999998</v>
      </c>
      <c r="W39" s="296">
        <f t="shared" si="118"/>
        <v>581.66910000000007</v>
      </c>
      <c r="X39" s="296">
        <f t="shared" ref="X39:BI39" si="119">X31+X35</f>
        <v>253.20330000000001</v>
      </c>
      <c r="Y39" s="296">
        <f t="shared" si="119"/>
        <v>834.87239999999997</v>
      </c>
      <c r="Z39" s="296">
        <f t="shared" si="119"/>
        <v>834.87239999999997</v>
      </c>
      <c r="AA39" s="296">
        <f t="shared" si="119"/>
        <v>594.3590999999999</v>
      </c>
      <c r="AB39" s="296">
        <f t="shared" si="119"/>
        <v>853.23239999999987</v>
      </c>
      <c r="AC39" s="296">
        <f t="shared" si="119"/>
        <v>1188.7181999999998</v>
      </c>
      <c r="AD39" s="296">
        <f t="shared" si="119"/>
        <v>1188.7181999999998</v>
      </c>
      <c r="AE39" s="296">
        <f t="shared" si="119"/>
        <v>607.04909999999995</v>
      </c>
      <c r="AF39" s="296">
        <f t="shared" si="119"/>
        <v>871.5924</v>
      </c>
      <c r="AG39" s="296">
        <f t="shared" si="119"/>
        <v>871.5924</v>
      </c>
      <c r="AH39" s="296">
        <f t="shared" si="119"/>
        <v>607.04909999999995</v>
      </c>
      <c r="AI39" s="296">
        <f t="shared" si="119"/>
        <v>9286.9280999999992</v>
      </c>
      <c r="AJ39" s="296">
        <f t="shared" si="119"/>
        <v>871.5924</v>
      </c>
      <c r="AK39" s="296">
        <f t="shared" si="119"/>
        <v>607.04909999999995</v>
      </c>
      <c r="AL39" s="296">
        <f t="shared" si="119"/>
        <v>871.5924</v>
      </c>
      <c r="AM39" s="296">
        <f t="shared" si="119"/>
        <v>619.73910000000001</v>
      </c>
      <c r="AN39" s="296">
        <f t="shared" si="119"/>
        <v>1160.1657</v>
      </c>
      <c r="AO39" s="296">
        <f t="shared" si="119"/>
        <v>889.95240000000001</v>
      </c>
      <c r="AP39" s="296">
        <f t="shared" si="119"/>
        <v>1160.1657</v>
      </c>
      <c r="AQ39" s="296">
        <f t="shared" si="119"/>
        <v>1239.4782</v>
      </c>
      <c r="AR39" s="296">
        <f t="shared" si="119"/>
        <v>626.75909999999999</v>
      </c>
      <c r="AS39" s="296">
        <f t="shared" si="119"/>
        <v>1523.7314999999999</v>
      </c>
      <c r="AT39" s="296">
        <f t="shared" si="119"/>
        <v>626.75909999999999</v>
      </c>
      <c r="AU39" s="296">
        <f t="shared" si="119"/>
        <v>626.75909999999999</v>
      </c>
      <c r="AV39" s="296">
        <f t="shared" si="119"/>
        <v>10823.7438</v>
      </c>
      <c r="AW39" s="296">
        <f t="shared" si="119"/>
        <v>632.42910000000006</v>
      </c>
      <c r="AX39" s="296">
        <f t="shared" si="119"/>
        <v>908.31240000000003</v>
      </c>
      <c r="AY39" s="296">
        <f t="shared" si="119"/>
        <v>908.31240000000003</v>
      </c>
      <c r="AZ39" s="296">
        <f t="shared" si="119"/>
        <v>1184.1957</v>
      </c>
      <c r="BA39" s="296">
        <f t="shared" si="119"/>
        <v>1184.1957</v>
      </c>
      <c r="BB39" s="296">
        <f t="shared" si="119"/>
        <v>356.54579999999999</v>
      </c>
      <c r="BC39" s="296">
        <f t="shared" si="119"/>
        <v>0</v>
      </c>
      <c r="BD39" s="296">
        <f t="shared" si="119"/>
        <v>0</v>
      </c>
      <c r="BE39" s="296">
        <f t="shared" si="119"/>
        <v>0</v>
      </c>
      <c r="BF39" s="296">
        <f t="shared" si="119"/>
        <v>0</v>
      </c>
      <c r="BG39" s="296">
        <f t="shared" si="119"/>
        <v>0</v>
      </c>
      <c r="BH39" s="296">
        <f t="shared" si="119"/>
        <v>0</v>
      </c>
      <c r="BI39" s="296">
        <f t="shared" si="119"/>
        <v>5173.9910999999993</v>
      </c>
      <c r="BJ39" s="358"/>
      <c r="BK39" s="358"/>
      <c r="BL39" s="358"/>
      <c r="BM39" s="358"/>
      <c r="BN39" s="358"/>
      <c r="BO39" s="358"/>
      <c r="BP39" s="374">
        <f t="shared" ref="BP39:BP41" si="120">I39+V39+AI39+AV39+BI39</f>
        <v>32946.361199999999</v>
      </c>
      <c r="BQ39" s="373"/>
      <c r="BR39" s="373"/>
      <c r="BS39" s="373"/>
      <c r="BT39" s="373"/>
      <c r="BU39" s="373"/>
      <c r="BV39" s="373"/>
      <c r="BW39" s="373"/>
      <c r="BX39" s="373"/>
      <c r="BY39" s="373"/>
      <c r="BZ39" s="373"/>
      <c r="CA39" s="373"/>
      <c r="CB39" s="373"/>
      <c r="CC39" s="373"/>
      <c r="CD39" s="373"/>
      <c r="CE39" s="373"/>
      <c r="CF39" s="373"/>
      <c r="CG39" s="373"/>
      <c r="CH39" s="373"/>
      <c r="CI39" s="373"/>
      <c r="CJ39" s="373"/>
      <c r="CK39" s="373"/>
      <c r="CL39" s="373"/>
      <c r="CM39" s="373"/>
      <c r="CN39" s="373"/>
      <c r="CO39" s="373"/>
      <c r="CP39" s="373"/>
      <c r="CQ39" s="373"/>
      <c r="CR39" s="373"/>
      <c r="CS39" s="373"/>
      <c r="CT39" s="373"/>
      <c r="CU39" s="373"/>
      <c r="CV39" s="373"/>
      <c r="CW39" s="373"/>
      <c r="CX39" s="373"/>
      <c r="CY39" s="373"/>
      <c r="CZ39" s="373"/>
      <c r="DA39" s="373"/>
      <c r="DB39" s="373"/>
      <c r="DC39" s="373"/>
      <c r="DD39" s="373"/>
      <c r="DE39" s="373"/>
      <c r="DF39" s="373"/>
      <c r="DG39" s="373"/>
      <c r="DH39" s="373"/>
      <c r="DI39" s="373"/>
      <c r="DJ39" s="373"/>
      <c r="DK39" s="373"/>
      <c r="DL39" s="373"/>
      <c r="DM39" s="373"/>
      <c r="DN39" s="373"/>
      <c r="DO39" s="373"/>
      <c r="DP39" s="373"/>
      <c r="DQ39" s="373"/>
      <c r="DR39" s="373"/>
      <c r="DS39" s="373"/>
      <c r="DT39" s="373"/>
      <c r="DU39" s="373"/>
      <c r="DV39" s="373"/>
      <c r="DW39" s="373"/>
      <c r="DX39" s="373"/>
      <c r="DY39" s="373"/>
      <c r="DZ39" s="373"/>
      <c r="EA39" s="373"/>
      <c r="EB39" s="373"/>
      <c r="EC39" s="373"/>
      <c r="ED39" s="373"/>
      <c r="EE39" s="373"/>
      <c r="EF39" s="373"/>
      <c r="EG39" s="373"/>
      <c r="EH39" s="373"/>
      <c r="EI39" s="373"/>
      <c r="EJ39" s="373"/>
      <c r="EK39" s="373"/>
      <c r="EL39" s="373"/>
      <c r="EM39" s="373"/>
      <c r="EN39" s="373"/>
      <c r="EO39" s="373"/>
      <c r="EP39" s="373"/>
      <c r="EQ39" s="373"/>
      <c r="ER39" s="373"/>
      <c r="ES39" s="373"/>
    </row>
    <row r="40" spans="1:149" s="276" customFormat="1" ht="12.75">
      <c r="A40" s="763" t="s">
        <v>1266</v>
      </c>
      <c r="B40" s="764"/>
      <c r="C40" s="309" t="s">
        <v>1254</v>
      </c>
      <c r="D40" s="310">
        <v>2</v>
      </c>
      <c r="E40" s="311"/>
      <c r="F40" s="311"/>
      <c r="G40" s="300"/>
      <c r="H40" s="300"/>
      <c r="I40" s="327">
        <f t="shared" ref="I40:I43" si="121">SUM(E40:H40)</f>
        <v>0</v>
      </c>
      <c r="J40" s="300"/>
      <c r="K40" s="300"/>
      <c r="L40" s="326"/>
      <c r="M40" s="311"/>
      <c r="N40" s="300"/>
      <c r="O40" s="300"/>
      <c r="P40" s="311"/>
      <c r="Q40" s="300"/>
      <c r="R40" s="311"/>
      <c r="S40" s="326"/>
      <c r="T40" s="300"/>
      <c r="U40" s="311"/>
      <c r="V40" s="338">
        <f t="shared" ref="V40:V45" si="122">SUM(J40:U40)</f>
        <v>0</v>
      </c>
      <c r="W40" s="300"/>
      <c r="X40" s="300"/>
      <c r="Y40" s="311"/>
      <c r="Z40" s="311"/>
      <c r="AA40" s="311"/>
      <c r="AB40" s="311"/>
      <c r="AC40" s="311"/>
      <c r="AD40" s="311"/>
      <c r="AE40" s="301">
        <v>0</v>
      </c>
      <c r="AF40" s="301">
        <v>0</v>
      </c>
      <c r="AG40" s="300"/>
      <c r="AH40" s="300"/>
      <c r="AI40" s="338">
        <f t="shared" ref="AI40:AI45" si="123">SUM(W40:AH40)</f>
        <v>0</v>
      </c>
      <c r="AJ40" s="300"/>
      <c r="AK40" s="300"/>
      <c r="AL40" s="326"/>
      <c r="AM40" s="326"/>
      <c r="AN40" s="300">
        <v>1</v>
      </c>
      <c r="AO40" s="300"/>
      <c r="AP40" s="300"/>
      <c r="AQ40" s="300"/>
      <c r="AR40" s="301">
        <v>1</v>
      </c>
      <c r="AS40" s="326">
        <v>0</v>
      </c>
      <c r="AT40" s="300"/>
      <c r="AU40" s="300"/>
      <c r="AV40" s="338">
        <f t="shared" ref="AV40:AV45" si="124">SUM(AJ40:AU40)</f>
        <v>2</v>
      </c>
      <c r="AW40" s="300"/>
      <c r="AX40" s="300"/>
      <c r="AY40" s="326"/>
      <c r="AZ40" s="326"/>
      <c r="BA40" s="326"/>
      <c r="BB40" s="326"/>
      <c r="BC40" s="326"/>
      <c r="BD40" s="326"/>
      <c r="BE40" s="326"/>
      <c r="BF40" s="326"/>
      <c r="BG40" s="326"/>
      <c r="BH40" s="326"/>
      <c r="BI40" s="361">
        <f t="shared" ref="BI40:BI43" si="125">SUM(AW40:BH40)</f>
        <v>0</v>
      </c>
      <c r="BJ40" s="362"/>
      <c r="BK40" s="362"/>
      <c r="BL40" s="362"/>
      <c r="BM40" s="362"/>
      <c r="BN40" s="362"/>
      <c r="BO40" s="362"/>
      <c r="BP40" s="370">
        <f t="shared" si="120"/>
        <v>2</v>
      </c>
      <c r="BQ40" s="377">
        <f>BP40-D40</f>
        <v>0</v>
      </c>
    </row>
    <row r="41" spans="1:149" s="276" customFormat="1" ht="12.75">
      <c r="A41" s="765"/>
      <c r="B41" s="766"/>
      <c r="C41" s="290" t="s">
        <v>1255</v>
      </c>
      <c r="D41" s="291">
        <v>621.55999999999995</v>
      </c>
      <c r="E41" s="302">
        <f>E40*D41</f>
        <v>0</v>
      </c>
      <c r="F41" s="302">
        <f>F40*D41</f>
        <v>0</v>
      </c>
      <c r="G41" s="302">
        <f>G40*D41</f>
        <v>0</v>
      </c>
      <c r="H41" s="302">
        <f>H40*D41</f>
        <v>0</v>
      </c>
      <c r="I41" s="331">
        <f t="shared" si="121"/>
        <v>0</v>
      </c>
      <c r="J41" s="300">
        <f>J40*D41</f>
        <v>0</v>
      </c>
      <c r="K41" s="300">
        <f>K40*D41</f>
        <v>0</v>
      </c>
      <c r="L41" s="300">
        <f>L40*D41</f>
        <v>0</v>
      </c>
      <c r="M41" s="300">
        <f>M40*D41</f>
        <v>0</v>
      </c>
      <c r="N41" s="300">
        <f>N40*D41</f>
        <v>0</v>
      </c>
      <c r="O41" s="300">
        <f>O40*D41</f>
        <v>0</v>
      </c>
      <c r="P41" s="300">
        <f>P40*D41</f>
        <v>0</v>
      </c>
      <c r="Q41" s="300">
        <f>Q40*D41</f>
        <v>0</v>
      </c>
      <c r="R41" s="300">
        <f>R40*D41</f>
        <v>0</v>
      </c>
      <c r="S41" s="300">
        <f>S40*D41</f>
        <v>0</v>
      </c>
      <c r="T41" s="300">
        <f>T40*D41</f>
        <v>0</v>
      </c>
      <c r="U41" s="300">
        <f>U40*D41</f>
        <v>0</v>
      </c>
      <c r="V41" s="338">
        <f t="shared" si="122"/>
        <v>0</v>
      </c>
      <c r="W41" s="300">
        <f>W40*D41</f>
        <v>0</v>
      </c>
      <c r="X41" s="300">
        <f>X40*D41</f>
        <v>0</v>
      </c>
      <c r="Y41" s="300">
        <f>Y40*D41</f>
        <v>0</v>
      </c>
      <c r="Z41" s="300">
        <f>Z40*D41</f>
        <v>0</v>
      </c>
      <c r="AA41" s="300">
        <f>AA40*D41</f>
        <v>0</v>
      </c>
      <c r="AB41" s="300">
        <f>AB40*D41</f>
        <v>0</v>
      </c>
      <c r="AC41" s="300">
        <f>AC40*D41</f>
        <v>0</v>
      </c>
      <c r="AD41" s="300">
        <f>AD40*D41</f>
        <v>0</v>
      </c>
      <c r="AE41" s="300">
        <f>AE40*D41</f>
        <v>0</v>
      </c>
      <c r="AF41" s="300">
        <f>AF40*D41</f>
        <v>0</v>
      </c>
      <c r="AG41" s="300">
        <f>AG40*D41</f>
        <v>0</v>
      </c>
      <c r="AH41" s="300">
        <f>AH40*D41</f>
        <v>0</v>
      </c>
      <c r="AI41" s="338">
        <f t="shared" si="123"/>
        <v>0</v>
      </c>
      <c r="AJ41" s="300">
        <f>AJ40*D41</f>
        <v>0</v>
      </c>
      <c r="AK41" s="300">
        <f>AK40*D41</f>
        <v>0</v>
      </c>
      <c r="AL41" s="300">
        <f>AL40*D41</f>
        <v>0</v>
      </c>
      <c r="AM41" s="300">
        <f>AM40*D41</f>
        <v>0</v>
      </c>
      <c r="AN41" s="300">
        <f>AN40*D41</f>
        <v>621.55999999999995</v>
      </c>
      <c r="AO41" s="300">
        <f>AO40*D41</f>
        <v>0</v>
      </c>
      <c r="AP41" s="300">
        <f>AP40*D41</f>
        <v>0</v>
      </c>
      <c r="AQ41" s="300">
        <f>AQ40*D41</f>
        <v>0</v>
      </c>
      <c r="AR41" s="300">
        <f>AR40*D41</f>
        <v>621.55999999999995</v>
      </c>
      <c r="AS41" s="300">
        <f>AS40*D41</f>
        <v>0</v>
      </c>
      <c r="AT41" s="300">
        <f>AT40*D41</f>
        <v>0</v>
      </c>
      <c r="AU41" s="300">
        <f>AU40*D41</f>
        <v>0</v>
      </c>
      <c r="AV41" s="338">
        <f t="shared" si="124"/>
        <v>1243.1199999999999</v>
      </c>
      <c r="AW41" s="300">
        <f>AW40*D41</f>
        <v>0</v>
      </c>
      <c r="AX41" s="300">
        <f>AX40*D41</f>
        <v>0</v>
      </c>
      <c r="AY41" s="300">
        <f>AY40*D41</f>
        <v>0</v>
      </c>
      <c r="AZ41" s="300">
        <f>AZ40*D41</f>
        <v>0</v>
      </c>
      <c r="BA41" s="300">
        <f>BA40*D41</f>
        <v>0</v>
      </c>
      <c r="BB41" s="300">
        <f>BB40*D41</f>
        <v>0</v>
      </c>
      <c r="BC41" s="300">
        <f>BC40*D41</f>
        <v>0</v>
      </c>
      <c r="BD41" s="300">
        <f>BD40*D41</f>
        <v>0</v>
      </c>
      <c r="BE41" s="300">
        <f>BE40*D41</f>
        <v>0</v>
      </c>
      <c r="BF41" s="300">
        <f>BF40*D41</f>
        <v>0</v>
      </c>
      <c r="BG41" s="300">
        <f>BG40*D41</f>
        <v>0</v>
      </c>
      <c r="BH41" s="300">
        <f>BH40*D41</f>
        <v>0</v>
      </c>
      <c r="BI41" s="361">
        <f t="shared" si="125"/>
        <v>0</v>
      </c>
      <c r="BJ41" s="362"/>
      <c r="BK41" s="362"/>
      <c r="BL41" s="362"/>
      <c r="BM41" s="362"/>
      <c r="BN41" s="362"/>
      <c r="BO41" s="362"/>
      <c r="BP41" s="374">
        <f t="shared" si="120"/>
        <v>1243.1199999999999</v>
      </c>
    </row>
    <row r="42" spans="1:149" s="276" customFormat="1" ht="12.75">
      <c r="A42" s="765"/>
      <c r="B42" s="766"/>
      <c r="C42" s="783" t="s">
        <v>1256</v>
      </c>
      <c r="D42" s="784"/>
      <c r="E42" s="307">
        <v>0</v>
      </c>
      <c r="F42" s="311"/>
      <c r="G42" s="300"/>
      <c r="H42" s="300"/>
      <c r="I42" s="327" t="e">
        <f>I43/I41</f>
        <v>#DIV/0!</v>
      </c>
      <c r="J42" s="300"/>
      <c r="K42" s="300"/>
      <c r="L42" s="326"/>
      <c r="M42" s="311"/>
      <c r="N42" s="300"/>
      <c r="O42" s="300"/>
      <c r="P42" s="311"/>
      <c r="Q42" s="300"/>
      <c r="R42" s="311"/>
      <c r="S42" s="326"/>
      <c r="T42" s="300"/>
      <c r="U42" s="311"/>
      <c r="V42" s="338" t="e">
        <f>V43/V41*10000</f>
        <v>#DIV/0!</v>
      </c>
      <c r="W42" s="300"/>
      <c r="X42" s="300"/>
      <c r="Y42" s="311"/>
      <c r="Z42" s="311"/>
      <c r="AA42" s="311"/>
      <c r="AB42" s="311"/>
      <c r="AC42" s="311"/>
      <c r="AD42" s="311"/>
      <c r="AE42" s="301"/>
      <c r="AF42" s="301">
        <v>0</v>
      </c>
      <c r="AG42" s="300"/>
      <c r="AH42" s="300"/>
      <c r="AI42" s="338" t="e">
        <f>AI43/AI41*10000</f>
        <v>#DIV/0!</v>
      </c>
      <c r="AJ42" s="300"/>
      <c r="AK42" s="300"/>
      <c r="AL42" s="326"/>
      <c r="AM42" s="326"/>
      <c r="AN42" s="300">
        <v>18000</v>
      </c>
      <c r="AO42" s="300"/>
      <c r="AP42" s="300"/>
      <c r="AQ42" s="300"/>
      <c r="AR42" s="301">
        <f>AN42+1000</f>
        <v>19000</v>
      </c>
      <c r="AS42" s="326">
        <v>0</v>
      </c>
      <c r="AT42" s="300"/>
      <c r="AU42" s="300"/>
      <c r="AV42" s="338">
        <f>AV43/AV41*10000</f>
        <v>18499.999999999996</v>
      </c>
      <c r="AW42" s="300"/>
      <c r="AX42" s="300"/>
      <c r="AY42" s="326"/>
      <c r="AZ42" s="326"/>
      <c r="BA42" s="326"/>
      <c r="BB42" s="326"/>
      <c r="BC42" s="326"/>
      <c r="BD42" s="326"/>
      <c r="BE42" s="326"/>
      <c r="BF42" s="326"/>
      <c r="BG42" s="326"/>
      <c r="BH42" s="326"/>
      <c r="BI42" s="361" t="e">
        <f>BI43/BI41*10000</f>
        <v>#DIV/0!</v>
      </c>
      <c r="BJ42" s="362"/>
      <c r="BK42" s="362"/>
      <c r="BL42" s="362"/>
      <c r="BM42" s="362"/>
      <c r="BN42" s="362"/>
      <c r="BO42" s="362"/>
      <c r="BP42" s="381">
        <f>BP43/BP41*10000</f>
        <v>18499.999999999996</v>
      </c>
    </row>
    <row r="43" spans="1:149" s="276" customFormat="1" ht="12.75">
      <c r="A43" s="767"/>
      <c r="B43" s="768"/>
      <c r="C43" s="769" t="s">
        <v>1257</v>
      </c>
      <c r="D43" s="769"/>
      <c r="E43" s="309">
        <f t="shared" ref="E43:H43" si="126">E42*E41/10000</f>
        <v>0</v>
      </c>
      <c r="F43" s="309">
        <f t="shared" si="126"/>
        <v>0</v>
      </c>
      <c r="G43" s="309">
        <f t="shared" si="126"/>
        <v>0</v>
      </c>
      <c r="H43" s="309">
        <f t="shared" si="126"/>
        <v>0</v>
      </c>
      <c r="I43" s="327">
        <f t="shared" si="121"/>
        <v>0</v>
      </c>
      <c r="J43" s="300">
        <f>J42*J41/10000</f>
        <v>0</v>
      </c>
      <c r="K43" s="300">
        <f t="shared" ref="K43:U43" si="127">K42*K41/10000</f>
        <v>0</v>
      </c>
      <c r="L43" s="300">
        <f t="shared" si="127"/>
        <v>0</v>
      </c>
      <c r="M43" s="300">
        <f t="shared" si="127"/>
        <v>0</v>
      </c>
      <c r="N43" s="300">
        <f t="shared" si="127"/>
        <v>0</v>
      </c>
      <c r="O43" s="300">
        <f t="shared" si="127"/>
        <v>0</v>
      </c>
      <c r="P43" s="300">
        <f t="shared" si="127"/>
        <v>0</v>
      </c>
      <c r="Q43" s="300">
        <f t="shared" si="127"/>
        <v>0</v>
      </c>
      <c r="R43" s="300">
        <f t="shared" si="127"/>
        <v>0</v>
      </c>
      <c r="S43" s="300">
        <f t="shared" si="127"/>
        <v>0</v>
      </c>
      <c r="T43" s="300">
        <f t="shared" si="127"/>
        <v>0</v>
      </c>
      <c r="U43" s="300">
        <f t="shared" si="127"/>
        <v>0</v>
      </c>
      <c r="V43" s="338">
        <f t="shared" si="122"/>
        <v>0</v>
      </c>
      <c r="W43" s="300">
        <f>W42*W41/10000</f>
        <v>0</v>
      </c>
      <c r="X43" s="300">
        <f t="shared" ref="X43:AH43" si="128">X42*X41/10000</f>
        <v>0</v>
      </c>
      <c r="Y43" s="300">
        <f t="shared" si="128"/>
        <v>0</v>
      </c>
      <c r="Z43" s="300">
        <f t="shared" si="128"/>
        <v>0</v>
      </c>
      <c r="AA43" s="300">
        <f t="shared" si="128"/>
        <v>0</v>
      </c>
      <c r="AB43" s="300">
        <f t="shared" si="128"/>
        <v>0</v>
      </c>
      <c r="AC43" s="300">
        <f t="shared" si="128"/>
        <v>0</v>
      </c>
      <c r="AD43" s="300">
        <f t="shared" si="128"/>
        <v>0</v>
      </c>
      <c r="AE43" s="300">
        <f t="shared" si="128"/>
        <v>0</v>
      </c>
      <c r="AF43" s="300">
        <f t="shared" si="128"/>
        <v>0</v>
      </c>
      <c r="AG43" s="300">
        <f t="shared" si="128"/>
        <v>0</v>
      </c>
      <c r="AH43" s="300">
        <f t="shared" si="128"/>
        <v>0</v>
      </c>
      <c r="AI43" s="338">
        <f t="shared" si="123"/>
        <v>0</v>
      </c>
      <c r="AJ43" s="300">
        <f>AJ42*AJ41/10000</f>
        <v>0</v>
      </c>
      <c r="AK43" s="300">
        <f t="shared" ref="AK43:AU43" si="129">AK42*AK41/10000</f>
        <v>0</v>
      </c>
      <c r="AL43" s="300">
        <f t="shared" si="129"/>
        <v>0</v>
      </c>
      <c r="AM43" s="300">
        <f t="shared" si="129"/>
        <v>0</v>
      </c>
      <c r="AN43" s="300">
        <f t="shared" si="129"/>
        <v>1118.8079999999998</v>
      </c>
      <c r="AO43" s="300">
        <f t="shared" si="129"/>
        <v>0</v>
      </c>
      <c r="AP43" s="300">
        <f t="shared" si="129"/>
        <v>0</v>
      </c>
      <c r="AQ43" s="300">
        <f t="shared" si="129"/>
        <v>0</v>
      </c>
      <c r="AR43" s="300">
        <f t="shared" si="129"/>
        <v>1180.9639999999997</v>
      </c>
      <c r="AS43" s="300">
        <f t="shared" si="129"/>
        <v>0</v>
      </c>
      <c r="AT43" s="300">
        <f t="shared" si="129"/>
        <v>0</v>
      </c>
      <c r="AU43" s="300">
        <f t="shared" si="129"/>
        <v>0</v>
      </c>
      <c r="AV43" s="338">
        <f t="shared" si="124"/>
        <v>2299.7719999999995</v>
      </c>
      <c r="AW43" s="300">
        <f>AW42*AW41/10000</f>
        <v>0</v>
      </c>
      <c r="AX43" s="300">
        <f t="shared" ref="AX43:BH43" si="130">AX42*AX41/10000</f>
        <v>0</v>
      </c>
      <c r="AY43" s="300">
        <f t="shared" si="130"/>
        <v>0</v>
      </c>
      <c r="AZ43" s="300">
        <f t="shared" si="130"/>
        <v>0</v>
      </c>
      <c r="BA43" s="300">
        <f t="shared" si="130"/>
        <v>0</v>
      </c>
      <c r="BB43" s="300">
        <f t="shared" si="130"/>
        <v>0</v>
      </c>
      <c r="BC43" s="300">
        <f t="shared" si="130"/>
        <v>0</v>
      </c>
      <c r="BD43" s="300">
        <f t="shared" si="130"/>
        <v>0</v>
      </c>
      <c r="BE43" s="300">
        <f t="shared" si="130"/>
        <v>0</v>
      </c>
      <c r="BF43" s="300">
        <f t="shared" si="130"/>
        <v>0</v>
      </c>
      <c r="BG43" s="300">
        <f t="shared" si="130"/>
        <v>0</v>
      </c>
      <c r="BH43" s="300">
        <f t="shared" si="130"/>
        <v>0</v>
      </c>
      <c r="BI43" s="361">
        <f t="shared" si="125"/>
        <v>0</v>
      </c>
      <c r="BJ43" s="362"/>
      <c r="BK43" s="362"/>
      <c r="BL43" s="362"/>
      <c r="BM43" s="362"/>
      <c r="BN43" s="362"/>
      <c r="BO43" s="362"/>
      <c r="BP43" s="370">
        <f t="shared" ref="BP43:BP49" si="131">I43+V43+AI43+AV43+BI43</f>
        <v>2299.7719999999995</v>
      </c>
    </row>
    <row r="44" spans="1:149" s="276" customFormat="1" ht="12.75">
      <c r="A44" s="763" t="s">
        <v>1267</v>
      </c>
      <c r="B44" s="764"/>
      <c r="C44" s="309" t="s">
        <v>1254</v>
      </c>
      <c r="D44" s="310">
        <v>20</v>
      </c>
      <c r="E44" s="285"/>
      <c r="F44" s="309"/>
      <c r="G44" s="309"/>
      <c r="H44" s="309"/>
      <c r="I44" s="327"/>
      <c r="J44" s="300"/>
      <c r="K44" s="300"/>
      <c r="L44" s="300"/>
      <c r="M44" s="300"/>
      <c r="N44" s="300"/>
      <c r="O44" s="300"/>
      <c r="P44" s="332">
        <v>1</v>
      </c>
      <c r="Q44" s="332">
        <v>0</v>
      </c>
      <c r="R44" s="332">
        <v>0</v>
      </c>
      <c r="S44" s="332">
        <v>0</v>
      </c>
      <c r="T44" s="300"/>
      <c r="U44" s="300"/>
      <c r="V44" s="338">
        <f t="shared" si="122"/>
        <v>1</v>
      </c>
      <c r="W44" s="300">
        <v>1</v>
      </c>
      <c r="X44" s="300"/>
      <c r="Y44" s="300">
        <v>1</v>
      </c>
      <c r="Z44" s="300">
        <v>1</v>
      </c>
      <c r="AA44" s="300">
        <v>0</v>
      </c>
      <c r="AB44" s="300">
        <v>1</v>
      </c>
      <c r="AC44" s="300">
        <v>1</v>
      </c>
      <c r="AD44" s="300">
        <v>1</v>
      </c>
      <c r="AE44" s="300">
        <v>0</v>
      </c>
      <c r="AF44" s="300">
        <v>1</v>
      </c>
      <c r="AG44" s="300">
        <v>1</v>
      </c>
      <c r="AH44" s="300"/>
      <c r="AI44" s="338">
        <f t="shared" si="123"/>
        <v>8</v>
      </c>
      <c r="AJ44" s="300">
        <v>1</v>
      </c>
      <c r="AK44" s="300">
        <v>1</v>
      </c>
      <c r="AL44" s="300">
        <v>1</v>
      </c>
      <c r="AM44" s="300">
        <v>0</v>
      </c>
      <c r="AN44" s="300">
        <v>1</v>
      </c>
      <c r="AO44" s="300">
        <v>1</v>
      </c>
      <c r="AP44" s="300">
        <v>1</v>
      </c>
      <c r="AQ44" s="300"/>
      <c r="AR44" s="300">
        <v>1</v>
      </c>
      <c r="AS44" s="300"/>
      <c r="AT44" s="300">
        <v>1</v>
      </c>
      <c r="AU44" s="300">
        <v>1</v>
      </c>
      <c r="AV44" s="338">
        <f t="shared" si="124"/>
        <v>9</v>
      </c>
      <c r="AW44" s="300"/>
      <c r="AX44" s="300"/>
      <c r="AY44" s="300">
        <v>1</v>
      </c>
      <c r="AZ44" s="300"/>
      <c r="BA44" s="300">
        <v>1</v>
      </c>
      <c r="BB44" s="300"/>
      <c r="BC44" s="300"/>
      <c r="BD44" s="300"/>
      <c r="BE44" s="300"/>
      <c r="BF44" s="300"/>
      <c r="BG44" s="300"/>
      <c r="BH44" s="300"/>
      <c r="BI44" s="361">
        <f>SUM(AY44:BH44)</f>
        <v>2</v>
      </c>
      <c r="BJ44" s="362"/>
      <c r="BK44" s="362"/>
      <c r="BL44" s="362"/>
      <c r="BM44" s="362"/>
      <c r="BN44" s="362"/>
      <c r="BO44" s="362"/>
      <c r="BP44" s="370">
        <f>BI44+AV44+AI44+V44</f>
        <v>20</v>
      </c>
      <c r="BQ44" s="373">
        <f>BP44-D44</f>
        <v>0</v>
      </c>
      <c r="BR44" s="373">
        <f>BQ44-E44</f>
        <v>0</v>
      </c>
    </row>
    <row r="45" spans="1:149" s="276" customFormat="1" ht="12.75">
      <c r="A45" s="765"/>
      <c r="B45" s="766"/>
      <c r="C45" s="290" t="s">
        <v>1255</v>
      </c>
      <c r="D45" s="291">
        <v>270</v>
      </c>
      <c r="E45" s="290">
        <f>E44*D45</f>
        <v>0</v>
      </c>
      <c r="F45" s="290">
        <f>F44*D45</f>
        <v>0</v>
      </c>
      <c r="G45" s="290">
        <f>G44*D45</f>
        <v>0</v>
      </c>
      <c r="H45" s="309">
        <f>H44*D45</f>
        <v>0</v>
      </c>
      <c r="I45" s="327">
        <f t="shared" ref="I45:I49" si="132">SUM(E45:H45)</f>
        <v>0</v>
      </c>
      <c r="J45" s="300">
        <f>J44*D45</f>
        <v>0</v>
      </c>
      <c r="K45" s="300">
        <f>K44*D45</f>
        <v>0</v>
      </c>
      <c r="L45" s="300">
        <f>L44*D45</f>
        <v>0</v>
      </c>
      <c r="M45" s="300">
        <f>M44*D45</f>
        <v>0</v>
      </c>
      <c r="N45" s="300">
        <f>N44*D45</f>
        <v>0</v>
      </c>
      <c r="O45" s="300">
        <f>O44*D45</f>
        <v>0</v>
      </c>
      <c r="P45" s="300">
        <f>P44*D45</f>
        <v>270</v>
      </c>
      <c r="Q45" s="300">
        <f>Q44*D45</f>
        <v>0</v>
      </c>
      <c r="R45" s="300">
        <f>R44*D45</f>
        <v>0</v>
      </c>
      <c r="S45" s="300">
        <f>S44*D45</f>
        <v>0</v>
      </c>
      <c r="T45" s="300">
        <f>T44*D45</f>
        <v>0</v>
      </c>
      <c r="U45" s="300">
        <f>U44*D45</f>
        <v>0</v>
      </c>
      <c r="V45" s="338">
        <f t="shared" si="122"/>
        <v>270</v>
      </c>
      <c r="W45" s="300">
        <f>W44*D45</f>
        <v>270</v>
      </c>
      <c r="X45" s="300">
        <f>X44*D45</f>
        <v>0</v>
      </c>
      <c r="Y45" s="300">
        <f>Y44*D45</f>
        <v>270</v>
      </c>
      <c r="Z45" s="300">
        <f>Z44*D45</f>
        <v>270</v>
      </c>
      <c r="AA45" s="300">
        <f>AA44*D45</f>
        <v>0</v>
      </c>
      <c r="AB45" s="300">
        <f>AB44*D45</f>
        <v>270</v>
      </c>
      <c r="AC45" s="300">
        <f>AC44*D45</f>
        <v>270</v>
      </c>
      <c r="AD45" s="300">
        <f>AD44*D45</f>
        <v>270</v>
      </c>
      <c r="AE45" s="300">
        <f>AE44*D45</f>
        <v>0</v>
      </c>
      <c r="AF45" s="300">
        <f>AF44*D45</f>
        <v>270</v>
      </c>
      <c r="AG45" s="300">
        <f>AG44*D45</f>
        <v>270</v>
      </c>
      <c r="AH45" s="300">
        <f>AH44*D45</f>
        <v>0</v>
      </c>
      <c r="AI45" s="338">
        <f t="shared" si="123"/>
        <v>2160</v>
      </c>
      <c r="AJ45" s="300">
        <f>AJ44*D45</f>
        <v>270</v>
      </c>
      <c r="AK45" s="300">
        <f>AK44*D45</f>
        <v>270</v>
      </c>
      <c r="AL45" s="300">
        <f t="shared" ref="AL45:AU45" si="133">AL44*$D$45</f>
        <v>270</v>
      </c>
      <c r="AM45" s="300">
        <f t="shared" si="133"/>
        <v>0</v>
      </c>
      <c r="AN45" s="300">
        <f t="shared" si="133"/>
        <v>270</v>
      </c>
      <c r="AO45" s="300">
        <f t="shared" si="133"/>
        <v>270</v>
      </c>
      <c r="AP45" s="300">
        <f t="shared" si="133"/>
        <v>270</v>
      </c>
      <c r="AQ45" s="300">
        <f t="shared" si="133"/>
        <v>0</v>
      </c>
      <c r="AR45" s="300">
        <f t="shared" si="133"/>
        <v>270</v>
      </c>
      <c r="AS45" s="300">
        <f t="shared" si="133"/>
        <v>0</v>
      </c>
      <c r="AT45" s="300">
        <f t="shared" si="133"/>
        <v>270</v>
      </c>
      <c r="AU45" s="300">
        <f t="shared" si="133"/>
        <v>270</v>
      </c>
      <c r="AV45" s="338">
        <f t="shared" si="124"/>
        <v>2430</v>
      </c>
      <c r="AW45" s="300">
        <f>AW44*D45</f>
        <v>0</v>
      </c>
      <c r="AX45" s="300">
        <f>AX44*D45</f>
        <v>0</v>
      </c>
      <c r="AY45" s="300">
        <f>AY44*D45</f>
        <v>270</v>
      </c>
      <c r="AZ45" s="300">
        <f>AZ44*D45</f>
        <v>0</v>
      </c>
      <c r="BA45" s="300">
        <f>BA44*D45</f>
        <v>270</v>
      </c>
      <c r="BB45" s="300">
        <f>BB44*D45</f>
        <v>0</v>
      </c>
      <c r="BC45" s="300">
        <f>BC44*D45</f>
        <v>0</v>
      </c>
      <c r="BD45" s="300">
        <f>BD44*D45</f>
        <v>0</v>
      </c>
      <c r="BE45" s="300">
        <f>BE44*D45</f>
        <v>0</v>
      </c>
      <c r="BF45" s="300">
        <f>BF44*D45</f>
        <v>0</v>
      </c>
      <c r="BG45" s="300">
        <f>BG44*D45</f>
        <v>0</v>
      </c>
      <c r="BH45" s="300">
        <f>BH44*D45</f>
        <v>0</v>
      </c>
      <c r="BI45" s="361">
        <f t="shared" ref="BI45:BI49" si="134">SUM(AW45:BH45)</f>
        <v>540</v>
      </c>
      <c r="BJ45" s="361"/>
      <c r="BK45" s="361"/>
      <c r="BL45" s="361"/>
      <c r="BM45" s="361"/>
      <c r="BN45" s="361"/>
      <c r="BO45" s="361"/>
      <c r="BP45" s="382">
        <f t="shared" si="131"/>
        <v>5400</v>
      </c>
    </row>
    <row r="46" spans="1:149" s="276" customFormat="1" ht="12.75">
      <c r="A46" s="765"/>
      <c r="B46" s="766"/>
      <c r="C46" s="783" t="s">
        <v>1256</v>
      </c>
      <c r="D46" s="784"/>
      <c r="E46" s="309"/>
      <c r="F46" s="309"/>
      <c r="G46" s="309"/>
      <c r="H46" s="309"/>
      <c r="I46" s="327"/>
      <c r="J46" s="300"/>
      <c r="K46" s="300"/>
      <c r="L46" s="300"/>
      <c r="M46" s="300"/>
      <c r="N46" s="300"/>
      <c r="O46" s="300"/>
      <c r="P46" s="332">
        <v>14850</v>
      </c>
      <c r="Q46" s="332">
        <f t="shared" ref="Q46:U46" si="135">P46</f>
        <v>14850</v>
      </c>
      <c r="R46" s="332">
        <f>Q46+500</f>
        <v>15350</v>
      </c>
      <c r="S46" s="332">
        <f t="shared" si="135"/>
        <v>15350</v>
      </c>
      <c r="T46" s="332">
        <f t="shared" si="135"/>
        <v>15350</v>
      </c>
      <c r="U46" s="332">
        <f t="shared" si="135"/>
        <v>15350</v>
      </c>
      <c r="V46" s="338"/>
      <c r="W46" s="300">
        <v>15000</v>
      </c>
      <c r="X46" s="300">
        <f>V46</f>
        <v>0</v>
      </c>
      <c r="Y46" s="300">
        <f>W46</f>
        <v>15000</v>
      </c>
      <c r="Z46" s="300">
        <f t="shared" ref="Z46:AC46" si="136">Y46</f>
        <v>15000</v>
      </c>
      <c r="AA46" s="300">
        <f t="shared" si="136"/>
        <v>15000</v>
      </c>
      <c r="AB46" s="300">
        <f t="shared" si="136"/>
        <v>15000</v>
      </c>
      <c r="AC46" s="300">
        <f t="shared" si="136"/>
        <v>15000</v>
      </c>
      <c r="AD46" s="300">
        <f>AC46+500</f>
        <v>15500</v>
      </c>
      <c r="AE46" s="300">
        <f t="shared" ref="AE46:AH46" si="137">AD46</f>
        <v>15500</v>
      </c>
      <c r="AF46" s="300">
        <f t="shared" si="137"/>
        <v>15500</v>
      </c>
      <c r="AG46" s="300">
        <f t="shared" si="137"/>
        <v>15500</v>
      </c>
      <c r="AH46" s="300">
        <f t="shared" si="137"/>
        <v>15500</v>
      </c>
      <c r="AI46" s="338">
        <f>AI47/AI45*10000</f>
        <v>15187.5</v>
      </c>
      <c r="AJ46" s="300">
        <f>AH46</f>
        <v>15500</v>
      </c>
      <c r="AK46" s="300">
        <f>AJ46</f>
        <v>15500</v>
      </c>
      <c r="AL46" s="300">
        <f>AK46</f>
        <v>15500</v>
      </c>
      <c r="AM46" s="300">
        <f>AL46+500</f>
        <v>16000</v>
      </c>
      <c r="AN46" s="300">
        <f t="shared" ref="AN46:AU46" si="138">AM46</f>
        <v>16000</v>
      </c>
      <c r="AO46" s="300">
        <f t="shared" si="138"/>
        <v>16000</v>
      </c>
      <c r="AP46" s="300">
        <f t="shared" si="138"/>
        <v>16000</v>
      </c>
      <c r="AQ46" s="300">
        <f t="shared" si="138"/>
        <v>16000</v>
      </c>
      <c r="AR46" s="300">
        <f t="shared" si="138"/>
        <v>16000</v>
      </c>
      <c r="AS46" s="300">
        <f t="shared" si="138"/>
        <v>16000</v>
      </c>
      <c r="AT46" s="300">
        <f t="shared" si="138"/>
        <v>16000</v>
      </c>
      <c r="AU46" s="300">
        <f t="shared" si="138"/>
        <v>16000</v>
      </c>
      <c r="AV46" s="338"/>
      <c r="AW46" s="300">
        <f>AU46+500</f>
        <v>16500</v>
      </c>
      <c r="AX46" s="300">
        <f t="shared" ref="AX46:BA46" si="139">AV46</f>
        <v>0</v>
      </c>
      <c r="AY46" s="300">
        <f t="shared" si="139"/>
        <v>16500</v>
      </c>
      <c r="AZ46" s="300">
        <f t="shared" si="139"/>
        <v>0</v>
      </c>
      <c r="BA46" s="300">
        <f t="shared" si="139"/>
        <v>16500</v>
      </c>
      <c r="BB46" s="300"/>
      <c r="BC46" s="300"/>
      <c r="BD46" s="300"/>
      <c r="BE46" s="300"/>
      <c r="BF46" s="300"/>
      <c r="BG46" s="300"/>
      <c r="BH46" s="300"/>
      <c r="BI46" s="361"/>
      <c r="BJ46" s="361"/>
      <c r="BK46" s="361"/>
      <c r="BL46" s="361"/>
      <c r="BM46" s="361"/>
      <c r="BN46" s="361"/>
      <c r="BO46" s="361"/>
      <c r="BP46" s="382">
        <f>BP47/BP45*10000</f>
        <v>15592.5</v>
      </c>
    </row>
    <row r="47" spans="1:149" s="276" customFormat="1" ht="12.75">
      <c r="A47" s="767"/>
      <c r="B47" s="768"/>
      <c r="C47" s="769" t="s">
        <v>1257</v>
      </c>
      <c r="D47" s="769"/>
      <c r="E47" s="309">
        <f>E45*E46/10000</f>
        <v>0</v>
      </c>
      <c r="F47" s="309">
        <f t="shared" ref="F47:H47" si="140">F46*F45/10000</f>
        <v>0</v>
      </c>
      <c r="G47" s="309">
        <f t="shared" si="140"/>
        <v>0</v>
      </c>
      <c r="H47" s="309">
        <f t="shared" si="140"/>
        <v>0</v>
      </c>
      <c r="I47" s="327">
        <f t="shared" si="132"/>
        <v>0</v>
      </c>
      <c r="J47" s="300">
        <f>J45*J46/10000</f>
        <v>0</v>
      </c>
      <c r="K47" s="300">
        <f t="shared" ref="K47:U47" si="141">K46*K45/10000</f>
        <v>0</v>
      </c>
      <c r="L47" s="300">
        <f t="shared" si="141"/>
        <v>0</v>
      </c>
      <c r="M47" s="300">
        <f t="shared" si="141"/>
        <v>0</v>
      </c>
      <c r="N47" s="300">
        <f t="shared" si="141"/>
        <v>0</v>
      </c>
      <c r="O47" s="300">
        <f t="shared" si="141"/>
        <v>0</v>
      </c>
      <c r="P47" s="300">
        <f t="shared" si="141"/>
        <v>400.95</v>
      </c>
      <c r="Q47" s="300">
        <f t="shared" si="141"/>
        <v>0</v>
      </c>
      <c r="R47" s="300">
        <f t="shared" si="141"/>
        <v>0</v>
      </c>
      <c r="S47" s="300">
        <f t="shared" si="141"/>
        <v>0</v>
      </c>
      <c r="T47" s="300">
        <f t="shared" si="141"/>
        <v>0</v>
      </c>
      <c r="U47" s="300">
        <f t="shared" si="141"/>
        <v>0</v>
      </c>
      <c r="V47" s="338">
        <f t="shared" ref="V47:V49" si="142">SUM(J47:U47)</f>
        <v>400.95</v>
      </c>
      <c r="W47" s="300">
        <f t="shared" ref="W47:AH47" si="143">W46*W45/10000</f>
        <v>405</v>
      </c>
      <c r="X47" s="300">
        <f t="shared" si="143"/>
        <v>0</v>
      </c>
      <c r="Y47" s="300">
        <f t="shared" si="143"/>
        <v>405</v>
      </c>
      <c r="Z47" s="300">
        <f t="shared" si="143"/>
        <v>405</v>
      </c>
      <c r="AA47" s="300">
        <f t="shared" si="143"/>
        <v>0</v>
      </c>
      <c r="AB47" s="300">
        <f t="shared" si="143"/>
        <v>405</v>
      </c>
      <c r="AC47" s="300">
        <f t="shared" si="143"/>
        <v>405</v>
      </c>
      <c r="AD47" s="300">
        <f t="shared" si="143"/>
        <v>418.5</v>
      </c>
      <c r="AE47" s="300">
        <f t="shared" si="143"/>
        <v>0</v>
      </c>
      <c r="AF47" s="300">
        <f t="shared" si="143"/>
        <v>418.5</v>
      </c>
      <c r="AG47" s="300">
        <f t="shared" si="143"/>
        <v>418.5</v>
      </c>
      <c r="AH47" s="300">
        <f t="shared" si="143"/>
        <v>0</v>
      </c>
      <c r="AI47" s="338">
        <f t="shared" ref="AI47:AI49" si="144">SUM(W47:AH47)</f>
        <v>3280.5</v>
      </c>
      <c r="AJ47" s="300">
        <f t="shared" ref="AJ47:AL47" si="145">AJ46*AJ45/10000</f>
        <v>418.5</v>
      </c>
      <c r="AK47" s="300">
        <f t="shared" si="145"/>
        <v>418.5</v>
      </c>
      <c r="AL47" s="300">
        <f t="shared" si="145"/>
        <v>418.5</v>
      </c>
      <c r="AM47" s="300">
        <f t="shared" ref="AM47:AU47" si="146">AM46*AM45/10000</f>
        <v>0</v>
      </c>
      <c r="AN47" s="300">
        <f t="shared" si="146"/>
        <v>432</v>
      </c>
      <c r="AO47" s="300">
        <f t="shared" si="146"/>
        <v>432</v>
      </c>
      <c r="AP47" s="300">
        <f t="shared" si="146"/>
        <v>432</v>
      </c>
      <c r="AQ47" s="300">
        <f t="shared" si="146"/>
        <v>0</v>
      </c>
      <c r="AR47" s="300">
        <f t="shared" si="146"/>
        <v>432</v>
      </c>
      <c r="AS47" s="300">
        <f t="shared" si="146"/>
        <v>0</v>
      </c>
      <c r="AT47" s="300">
        <f t="shared" si="146"/>
        <v>432</v>
      </c>
      <c r="AU47" s="300">
        <f t="shared" si="146"/>
        <v>432</v>
      </c>
      <c r="AV47" s="338">
        <f t="shared" ref="AV47:AV49" si="147">SUM(AJ47:AU47)</f>
        <v>3847.5</v>
      </c>
      <c r="AW47" s="300">
        <f>AW46*AW45/10000</f>
        <v>0</v>
      </c>
      <c r="AX47" s="300">
        <f t="shared" ref="AX47:BH47" si="148">AX46*AX45/10000</f>
        <v>0</v>
      </c>
      <c r="AY47" s="300">
        <f t="shared" si="148"/>
        <v>445.5</v>
      </c>
      <c r="AZ47" s="300">
        <f t="shared" si="148"/>
        <v>0</v>
      </c>
      <c r="BA47" s="300">
        <f t="shared" si="148"/>
        <v>445.5</v>
      </c>
      <c r="BB47" s="300">
        <f t="shared" si="148"/>
        <v>0</v>
      </c>
      <c r="BC47" s="300">
        <f t="shared" si="148"/>
        <v>0</v>
      </c>
      <c r="BD47" s="300">
        <f t="shared" si="148"/>
        <v>0</v>
      </c>
      <c r="BE47" s="300">
        <f t="shared" si="148"/>
        <v>0</v>
      </c>
      <c r="BF47" s="300">
        <f t="shared" si="148"/>
        <v>0</v>
      </c>
      <c r="BG47" s="300">
        <f t="shared" si="148"/>
        <v>0</v>
      </c>
      <c r="BH47" s="300">
        <f t="shared" si="148"/>
        <v>0</v>
      </c>
      <c r="BI47" s="361">
        <f t="shared" si="134"/>
        <v>891</v>
      </c>
      <c r="BJ47" s="361"/>
      <c r="BK47" s="361"/>
      <c r="BL47" s="361"/>
      <c r="BM47" s="361"/>
      <c r="BN47" s="361"/>
      <c r="BO47" s="361"/>
      <c r="BP47" s="382">
        <f t="shared" si="131"/>
        <v>8419.9500000000007</v>
      </c>
    </row>
    <row r="48" spans="1:149">
      <c r="A48" s="782" t="s">
        <v>1268</v>
      </c>
      <c r="B48" s="769"/>
      <c r="C48" s="290" t="s">
        <v>1254</v>
      </c>
      <c r="D48" s="291"/>
      <c r="E48" s="292"/>
      <c r="F48" s="292"/>
      <c r="G48" s="292"/>
      <c r="H48" s="292"/>
      <c r="I48" s="293">
        <f t="shared" si="132"/>
        <v>0</v>
      </c>
      <c r="J48" s="292"/>
      <c r="K48" s="292"/>
      <c r="L48" s="292"/>
      <c r="M48" s="292"/>
      <c r="N48" s="292"/>
      <c r="O48" s="292"/>
      <c r="P48" s="292"/>
      <c r="Q48" s="292"/>
      <c r="R48" s="345"/>
      <c r="S48" s="292"/>
      <c r="T48" s="292"/>
      <c r="U48" s="292"/>
      <c r="V48" s="293">
        <f t="shared" si="142"/>
        <v>0</v>
      </c>
      <c r="W48" s="292"/>
      <c r="X48" s="292"/>
      <c r="Y48" s="292"/>
      <c r="Z48" s="292"/>
      <c r="AA48" s="292"/>
      <c r="AB48" s="292"/>
      <c r="AC48" s="292"/>
      <c r="AD48" s="292"/>
      <c r="AE48" s="292"/>
      <c r="AF48" s="292"/>
      <c r="AG48" s="292"/>
      <c r="AH48" s="292"/>
      <c r="AI48" s="293">
        <f t="shared" si="144"/>
        <v>0</v>
      </c>
      <c r="AJ48" s="292"/>
      <c r="AK48" s="292"/>
      <c r="AL48" s="292"/>
      <c r="AM48" s="292"/>
      <c r="AN48" s="292"/>
      <c r="AO48" s="292"/>
      <c r="AP48" s="292"/>
      <c r="AQ48" s="292"/>
      <c r="AR48" s="292"/>
      <c r="AS48" s="292"/>
      <c r="AT48" s="292"/>
      <c r="AU48" s="292"/>
      <c r="AV48" s="293">
        <f t="shared" si="147"/>
        <v>0</v>
      </c>
      <c r="AW48" s="292"/>
      <c r="AX48" s="292"/>
      <c r="AY48" s="292"/>
      <c r="AZ48" s="292"/>
      <c r="BA48" s="292"/>
      <c r="BB48" s="292"/>
      <c r="BC48" s="292"/>
      <c r="BD48" s="292"/>
      <c r="BE48" s="292"/>
      <c r="BF48" s="292"/>
      <c r="BG48" s="292"/>
      <c r="BH48" s="292"/>
      <c r="BI48" s="293">
        <f t="shared" si="134"/>
        <v>0</v>
      </c>
      <c r="BJ48" s="354"/>
      <c r="BK48" s="354"/>
      <c r="BL48" s="354"/>
      <c r="BM48" s="354"/>
      <c r="BN48" s="354"/>
      <c r="BO48" s="354"/>
      <c r="BP48" s="372">
        <f t="shared" si="131"/>
        <v>0</v>
      </c>
      <c r="BQ48" s="373"/>
      <c r="BR48" s="373"/>
      <c r="BS48" s="373"/>
      <c r="BT48" s="373"/>
      <c r="BU48" s="373"/>
      <c r="BV48" s="373"/>
      <c r="BW48" s="373"/>
      <c r="BX48" s="373"/>
      <c r="BY48" s="373"/>
      <c r="BZ48" s="373"/>
      <c r="CA48" s="373"/>
      <c r="CB48" s="373"/>
      <c r="CC48" s="373"/>
      <c r="CD48" s="373"/>
      <c r="CE48" s="373"/>
      <c r="CF48" s="373"/>
      <c r="CG48" s="373"/>
      <c r="CH48" s="373"/>
      <c r="CI48" s="373"/>
      <c r="CJ48" s="373"/>
      <c r="CK48" s="373"/>
      <c r="CL48" s="373"/>
      <c r="CM48" s="373"/>
      <c r="CN48" s="373"/>
      <c r="CO48" s="373"/>
      <c r="CP48" s="373"/>
      <c r="CQ48" s="373"/>
      <c r="CR48" s="373"/>
      <c r="CS48" s="373"/>
      <c r="CT48" s="373"/>
      <c r="CU48" s="373"/>
      <c r="CV48" s="373"/>
      <c r="CW48" s="373"/>
      <c r="CX48" s="373"/>
      <c r="CY48" s="373"/>
      <c r="CZ48" s="373"/>
      <c r="DA48" s="373"/>
      <c r="DB48" s="373"/>
      <c r="DC48" s="373"/>
      <c r="DD48" s="373"/>
      <c r="DE48" s="373"/>
      <c r="DF48" s="373"/>
      <c r="DG48" s="373"/>
      <c r="DH48" s="373"/>
      <c r="DI48" s="373"/>
      <c r="DJ48" s="373"/>
      <c r="DK48" s="373"/>
      <c r="DL48" s="373"/>
      <c r="DM48" s="373"/>
      <c r="DN48" s="373"/>
      <c r="DO48" s="373"/>
      <c r="DP48" s="373"/>
      <c r="DQ48" s="373"/>
      <c r="DR48" s="373"/>
      <c r="DS48" s="373"/>
      <c r="DT48" s="373"/>
      <c r="DU48" s="373"/>
      <c r="DV48" s="373"/>
      <c r="DW48" s="373"/>
      <c r="DX48" s="373"/>
      <c r="DY48" s="373"/>
      <c r="DZ48" s="373"/>
      <c r="EA48" s="373"/>
      <c r="EB48" s="373"/>
      <c r="EC48" s="373"/>
      <c r="ED48" s="373"/>
      <c r="EE48" s="373"/>
      <c r="EF48" s="373"/>
      <c r="EG48" s="373"/>
      <c r="EH48" s="373"/>
      <c r="EI48" s="373"/>
      <c r="EJ48" s="373"/>
      <c r="EK48" s="373"/>
      <c r="EL48" s="373"/>
      <c r="EM48" s="373"/>
      <c r="EN48" s="373"/>
      <c r="EO48" s="373"/>
      <c r="EP48" s="373"/>
      <c r="EQ48" s="373"/>
      <c r="ER48" s="373"/>
      <c r="ES48" s="373"/>
    </row>
    <row r="49" spans="1:149">
      <c r="A49" s="782"/>
      <c r="B49" s="769"/>
      <c r="C49" s="290" t="s">
        <v>1255</v>
      </c>
      <c r="D49" s="291">
        <v>2240</v>
      </c>
      <c r="E49" s="292"/>
      <c r="F49" s="292"/>
      <c r="G49" s="292"/>
      <c r="H49" s="292"/>
      <c r="I49" s="293">
        <f t="shared" si="132"/>
        <v>0</v>
      </c>
      <c r="J49" s="292"/>
      <c r="K49" s="292"/>
      <c r="L49" s="292"/>
      <c r="M49" s="292"/>
      <c r="N49" s="292"/>
      <c r="O49" s="292"/>
      <c r="P49" s="292"/>
      <c r="Q49" s="292"/>
      <c r="R49" s="345"/>
      <c r="S49" s="292"/>
      <c r="T49" s="292"/>
      <c r="U49" s="292"/>
      <c r="V49" s="293">
        <f t="shared" si="142"/>
        <v>0</v>
      </c>
      <c r="W49" s="292"/>
      <c r="X49" s="292"/>
      <c r="Y49" s="292"/>
      <c r="Z49" s="292"/>
      <c r="AA49" s="292"/>
      <c r="AB49" s="292"/>
      <c r="AC49" s="292"/>
      <c r="AD49" s="292"/>
      <c r="AE49" s="292"/>
      <c r="AF49" s="292"/>
      <c r="AG49" s="292"/>
      <c r="AH49" s="292"/>
      <c r="AI49" s="293">
        <f t="shared" si="144"/>
        <v>0</v>
      </c>
      <c r="AJ49" s="292"/>
      <c r="AK49" s="292"/>
      <c r="AL49" s="292"/>
      <c r="AM49" s="292"/>
      <c r="AN49" s="292">
        <v>1120</v>
      </c>
      <c r="AO49" s="292"/>
      <c r="AP49" s="292"/>
      <c r="AQ49" s="292"/>
      <c r="AR49" s="292">
        <v>1120</v>
      </c>
      <c r="AS49" s="292"/>
      <c r="AT49" s="292"/>
      <c r="AU49" s="292"/>
      <c r="AV49" s="293">
        <f t="shared" si="147"/>
        <v>2240</v>
      </c>
      <c r="AW49" s="292"/>
      <c r="AX49" s="292"/>
      <c r="AY49" s="292"/>
      <c r="AZ49" s="292"/>
      <c r="BA49" s="292"/>
      <c r="BB49" s="292"/>
      <c r="BC49" s="292"/>
      <c r="BD49" s="292"/>
      <c r="BE49" s="292"/>
      <c r="BF49" s="292"/>
      <c r="BG49" s="292"/>
      <c r="BH49" s="292"/>
      <c r="BI49" s="293">
        <f t="shared" si="134"/>
        <v>0</v>
      </c>
      <c r="BJ49" s="355"/>
      <c r="BK49" s="355"/>
      <c r="BL49" s="355"/>
      <c r="BM49" s="355"/>
      <c r="BN49" s="355"/>
      <c r="BO49" s="355"/>
      <c r="BP49" s="374">
        <f t="shared" si="131"/>
        <v>2240</v>
      </c>
      <c r="BQ49" s="373">
        <f>BP49-D49</f>
        <v>0</v>
      </c>
      <c r="BR49" s="373"/>
      <c r="BS49" s="373"/>
      <c r="BT49" s="373"/>
      <c r="BU49" s="373"/>
      <c r="BV49" s="373"/>
      <c r="BW49" s="373"/>
      <c r="BX49" s="373"/>
      <c r="BY49" s="373"/>
      <c r="BZ49" s="373"/>
      <c r="CA49" s="373"/>
      <c r="CB49" s="373"/>
      <c r="CC49" s="373"/>
      <c r="CD49" s="373"/>
      <c r="CE49" s="373"/>
      <c r="CF49" s="373"/>
      <c r="CG49" s="373"/>
      <c r="CH49" s="373"/>
      <c r="CI49" s="373"/>
      <c r="CJ49" s="373"/>
      <c r="CK49" s="373"/>
      <c r="CL49" s="373"/>
      <c r="CM49" s="373"/>
      <c r="CN49" s="373"/>
      <c r="CO49" s="373"/>
      <c r="CP49" s="373"/>
      <c r="CQ49" s="373"/>
      <c r="CR49" s="373"/>
      <c r="CS49" s="373"/>
      <c r="CT49" s="373"/>
      <c r="CU49" s="373"/>
      <c r="CV49" s="373"/>
      <c r="CW49" s="373"/>
      <c r="CX49" s="373"/>
      <c r="CY49" s="373"/>
      <c r="CZ49" s="373"/>
      <c r="DA49" s="373"/>
      <c r="DB49" s="373"/>
      <c r="DC49" s="373"/>
      <c r="DD49" s="373"/>
      <c r="DE49" s="373"/>
      <c r="DF49" s="373"/>
      <c r="DG49" s="373"/>
      <c r="DH49" s="373"/>
      <c r="DI49" s="373"/>
      <c r="DJ49" s="373"/>
      <c r="DK49" s="373"/>
      <c r="DL49" s="373"/>
      <c r="DM49" s="373"/>
      <c r="DN49" s="373"/>
      <c r="DO49" s="373"/>
      <c r="DP49" s="373"/>
      <c r="DQ49" s="373"/>
      <c r="DR49" s="373"/>
      <c r="DS49" s="373"/>
      <c r="DT49" s="373"/>
      <c r="DU49" s="373"/>
      <c r="DV49" s="373"/>
      <c r="DW49" s="373"/>
      <c r="DX49" s="373"/>
      <c r="DY49" s="373"/>
      <c r="DZ49" s="373"/>
      <c r="EA49" s="373"/>
      <c r="EB49" s="373"/>
      <c r="EC49" s="373"/>
      <c r="ED49" s="373"/>
      <c r="EE49" s="373"/>
      <c r="EF49" s="373"/>
      <c r="EG49" s="373"/>
      <c r="EH49" s="373"/>
      <c r="EI49" s="373"/>
      <c r="EJ49" s="373"/>
      <c r="EK49" s="373"/>
      <c r="EL49" s="373"/>
      <c r="EM49" s="373"/>
      <c r="EN49" s="373"/>
      <c r="EO49" s="373"/>
      <c r="EP49" s="373"/>
      <c r="EQ49" s="373"/>
      <c r="ER49" s="373"/>
      <c r="ES49" s="373"/>
    </row>
    <row r="50" spans="1:149">
      <c r="A50" s="782"/>
      <c r="B50" s="769"/>
      <c r="C50" s="783" t="s">
        <v>1256</v>
      </c>
      <c r="D50" s="784"/>
      <c r="E50" s="292"/>
      <c r="F50" s="292"/>
      <c r="G50" s="292"/>
      <c r="H50" s="292"/>
      <c r="I50" s="293" t="e">
        <f>I51/I49</f>
        <v>#DIV/0!</v>
      </c>
      <c r="J50" s="292"/>
      <c r="K50" s="292"/>
      <c r="L50" s="292"/>
      <c r="M50" s="292"/>
      <c r="N50" s="292"/>
      <c r="O50" s="292"/>
      <c r="P50" s="292"/>
      <c r="Q50" s="292"/>
      <c r="R50" s="345"/>
      <c r="S50" s="292"/>
      <c r="T50" s="292"/>
      <c r="U50" s="292"/>
      <c r="V50" s="293" t="e">
        <f>V51/V49*10000</f>
        <v>#DIV/0!</v>
      </c>
      <c r="W50" s="292"/>
      <c r="X50" s="292"/>
      <c r="Y50" s="292"/>
      <c r="Z50" s="292"/>
      <c r="AA50" s="292"/>
      <c r="AB50" s="292"/>
      <c r="AC50" s="292"/>
      <c r="AD50" s="292"/>
      <c r="AE50" s="292"/>
      <c r="AF50" s="292"/>
      <c r="AG50" s="292"/>
      <c r="AH50" s="292"/>
      <c r="AI50" s="348" t="e">
        <f>AI51/AI49*10000</f>
        <v>#DIV/0!</v>
      </c>
      <c r="AJ50" s="292"/>
      <c r="AK50" s="292"/>
      <c r="AL50" s="349"/>
      <c r="AM50" s="292"/>
      <c r="AN50" s="345">
        <v>20000</v>
      </c>
      <c r="AO50" s="292"/>
      <c r="AP50" s="292"/>
      <c r="AQ50" s="292"/>
      <c r="AR50" s="292">
        <f>AN50</f>
        <v>20000</v>
      </c>
      <c r="AS50" s="292"/>
      <c r="AT50" s="292"/>
      <c r="AU50" s="292"/>
      <c r="AV50" s="293">
        <f>AV51/AV49*10000</f>
        <v>20000</v>
      </c>
      <c r="AW50" s="292"/>
      <c r="AX50" s="292"/>
      <c r="AY50" s="292"/>
      <c r="AZ50" s="292"/>
      <c r="BA50" s="292"/>
      <c r="BB50" s="292"/>
      <c r="BC50" s="292"/>
      <c r="BD50" s="292"/>
      <c r="BE50" s="292"/>
      <c r="BF50" s="292"/>
      <c r="BG50" s="292"/>
      <c r="BH50" s="292"/>
      <c r="BI50" s="293" t="e">
        <f>BI51/BI49*10000</f>
        <v>#DIV/0!</v>
      </c>
      <c r="BJ50" s="354"/>
      <c r="BK50" s="354"/>
      <c r="BL50" s="354"/>
      <c r="BM50" s="354"/>
      <c r="BN50" s="354"/>
      <c r="BO50" s="354"/>
      <c r="BP50" s="383">
        <f>BP51/BP49*10000</f>
        <v>20000</v>
      </c>
      <c r="BQ50" s="373"/>
      <c r="BR50" s="373"/>
      <c r="BS50" s="373"/>
      <c r="BT50" s="373"/>
      <c r="BU50" s="373"/>
      <c r="BV50" s="373"/>
      <c r="BW50" s="373"/>
      <c r="BX50" s="373"/>
      <c r="BY50" s="373"/>
      <c r="BZ50" s="373"/>
      <c r="CA50" s="373"/>
      <c r="CB50" s="373"/>
      <c r="CC50" s="373"/>
      <c r="CD50" s="373"/>
      <c r="CE50" s="373"/>
      <c r="CF50" s="373"/>
      <c r="CG50" s="373"/>
      <c r="CH50" s="373"/>
      <c r="CI50" s="373"/>
      <c r="CJ50" s="373"/>
      <c r="CK50" s="373"/>
      <c r="CL50" s="373"/>
      <c r="CM50" s="373"/>
      <c r="CN50" s="373"/>
      <c r="CO50" s="373"/>
      <c r="CP50" s="373"/>
      <c r="CQ50" s="373"/>
      <c r="CR50" s="373"/>
      <c r="CS50" s="373"/>
      <c r="CT50" s="373"/>
      <c r="CU50" s="373"/>
      <c r="CV50" s="373"/>
      <c r="CW50" s="373"/>
      <c r="CX50" s="373"/>
      <c r="CY50" s="373"/>
      <c r="CZ50" s="373"/>
      <c r="DA50" s="373"/>
      <c r="DB50" s="373"/>
      <c r="DC50" s="373"/>
      <c r="DD50" s="373"/>
      <c r="DE50" s="373"/>
      <c r="DF50" s="373"/>
      <c r="DG50" s="373"/>
      <c r="DH50" s="373"/>
      <c r="DI50" s="373"/>
      <c r="DJ50" s="373"/>
      <c r="DK50" s="373"/>
      <c r="DL50" s="373"/>
      <c r="DM50" s="373"/>
      <c r="DN50" s="373"/>
      <c r="DO50" s="373"/>
      <c r="DP50" s="373"/>
      <c r="DQ50" s="373"/>
      <c r="DR50" s="373"/>
      <c r="DS50" s="373"/>
      <c r="DT50" s="373"/>
      <c r="DU50" s="373"/>
      <c r="DV50" s="373"/>
      <c r="DW50" s="373"/>
      <c r="DX50" s="373"/>
      <c r="DY50" s="373"/>
      <c r="DZ50" s="373"/>
      <c r="EA50" s="373"/>
      <c r="EB50" s="373"/>
      <c r="EC50" s="373"/>
      <c r="ED50" s="373"/>
      <c r="EE50" s="373"/>
      <c r="EF50" s="373"/>
      <c r="EG50" s="373"/>
      <c r="EH50" s="373"/>
      <c r="EI50" s="373"/>
      <c r="EJ50" s="373"/>
      <c r="EK50" s="373"/>
      <c r="EL50" s="373"/>
      <c r="EM50" s="373"/>
      <c r="EN50" s="373"/>
      <c r="EO50" s="373"/>
      <c r="EP50" s="373"/>
      <c r="EQ50" s="373"/>
      <c r="ER50" s="373"/>
      <c r="ES50" s="373"/>
    </row>
    <row r="51" spans="1:149">
      <c r="A51" s="782"/>
      <c r="B51" s="769"/>
      <c r="C51" s="769" t="s">
        <v>1257</v>
      </c>
      <c r="D51" s="769"/>
      <c r="E51" s="292"/>
      <c r="F51" s="292"/>
      <c r="G51" s="292"/>
      <c r="H51" s="292"/>
      <c r="I51" s="293">
        <f t="shared" ref="I51:I53" si="149">SUM(E51:H51)</f>
        <v>0</v>
      </c>
      <c r="J51" s="292"/>
      <c r="K51" s="292"/>
      <c r="L51" s="292"/>
      <c r="M51" s="292"/>
      <c r="N51" s="292"/>
      <c r="O51" s="292"/>
      <c r="P51" s="292"/>
      <c r="Q51" s="292"/>
      <c r="R51" s="345"/>
      <c r="S51" s="292"/>
      <c r="T51" s="292"/>
      <c r="U51" s="292"/>
      <c r="V51" s="293">
        <f t="shared" ref="V51:V53" si="150">SUM(J51:U51)</f>
        <v>0</v>
      </c>
      <c r="W51" s="292"/>
      <c r="X51" s="292"/>
      <c r="Y51" s="292"/>
      <c r="Z51" s="292"/>
      <c r="AA51" s="292"/>
      <c r="AB51" s="292"/>
      <c r="AC51" s="292"/>
      <c r="AD51" s="292"/>
      <c r="AE51" s="292"/>
      <c r="AF51" s="292"/>
      <c r="AG51" s="292"/>
      <c r="AH51" s="292"/>
      <c r="AI51" s="293">
        <f t="shared" ref="AI51:AI53" si="151">SUM(W51:AH51)</f>
        <v>0</v>
      </c>
      <c r="AJ51" s="292"/>
      <c r="AK51" s="292"/>
      <c r="AL51" s="292"/>
      <c r="AM51" s="292"/>
      <c r="AN51" s="292">
        <f>AN49*AN50/10000</f>
        <v>2240</v>
      </c>
      <c r="AO51" s="292"/>
      <c r="AP51" s="292"/>
      <c r="AQ51" s="292"/>
      <c r="AR51" s="292">
        <f>AR49*AR50/10000</f>
        <v>2240</v>
      </c>
      <c r="AS51" s="292"/>
      <c r="AT51" s="292"/>
      <c r="AU51" s="292"/>
      <c r="AV51" s="293">
        <f t="shared" ref="AV51:AV53" si="152">SUM(AJ51:AU51)</f>
        <v>4480</v>
      </c>
      <c r="AW51" s="292"/>
      <c r="AX51" s="292"/>
      <c r="AY51" s="292"/>
      <c r="AZ51" s="292"/>
      <c r="BA51" s="292"/>
      <c r="BB51" s="292"/>
      <c r="BC51" s="292"/>
      <c r="BD51" s="292"/>
      <c r="BE51" s="292"/>
      <c r="BF51" s="292"/>
      <c r="BG51" s="292"/>
      <c r="BH51" s="292"/>
      <c r="BI51" s="293">
        <f t="shared" ref="BI51:BI53" si="153">SUM(AW51:BH51)</f>
        <v>0</v>
      </c>
      <c r="BJ51" s="355"/>
      <c r="BK51" s="355"/>
      <c r="BL51" s="355"/>
      <c r="BM51" s="355"/>
      <c r="BN51" s="355"/>
      <c r="BO51" s="355"/>
      <c r="BP51" s="374">
        <f t="shared" ref="BP51:BP53" si="154">I51+V51+AI51+AV51+BI51</f>
        <v>4480</v>
      </c>
      <c r="BQ51" s="373"/>
      <c r="BR51" s="373"/>
      <c r="BS51" s="373"/>
      <c r="BT51" s="373"/>
      <c r="BU51" s="373"/>
      <c r="BV51" s="373"/>
      <c r="BW51" s="373"/>
      <c r="BX51" s="373"/>
      <c r="BY51" s="373"/>
      <c r="BZ51" s="373"/>
      <c r="CA51" s="373"/>
      <c r="CB51" s="373"/>
      <c r="CC51" s="373"/>
      <c r="CD51" s="373"/>
      <c r="CE51" s="373"/>
      <c r="CF51" s="373"/>
      <c r="CG51" s="373"/>
      <c r="CH51" s="373"/>
      <c r="CI51" s="373"/>
      <c r="CJ51" s="373"/>
      <c r="CK51" s="373"/>
      <c r="CL51" s="373"/>
      <c r="CM51" s="373"/>
      <c r="CN51" s="373"/>
      <c r="CO51" s="373"/>
      <c r="CP51" s="373"/>
      <c r="CQ51" s="373"/>
      <c r="CR51" s="373"/>
      <c r="CS51" s="373"/>
      <c r="CT51" s="373"/>
      <c r="CU51" s="373"/>
      <c r="CV51" s="373"/>
      <c r="CW51" s="373"/>
      <c r="CX51" s="373"/>
      <c r="CY51" s="373"/>
      <c r="CZ51" s="373"/>
      <c r="DA51" s="373"/>
      <c r="DB51" s="373"/>
      <c r="DC51" s="373"/>
      <c r="DD51" s="373"/>
      <c r="DE51" s="373"/>
      <c r="DF51" s="373"/>
      <c r="DG51" s="373"/>
      <c r="DH51" s="373"/>
      <c r="DI51" s="373"/>
      <c r="DJ51" s="373"/>
      <c r="DK51" s="373"/>
      <c r="DL51" s="373"/>
      <c r="DM51" s="373"/>
      <c r="DN51" s="373"/>
      <c r="DO51" s="373"/>
      <c r="DP51" s="373"/>
      <c r="DQ51" s="373"/>
      <c r="DR51" s="373"/>
      <c r="DS51" s="373"/>
      <c r="DT51" s="373"/>
      <c r="DU51" s="373"/>
      <c r="DV51" s="373"/>
      <c r="DW51" s="373"/>
      <c r="DX51" s="373"/>
      <c r="DY51" s="373"/>
      <c r="DZ51" s="373"/>
      <c r="EA51" s="373"/>
      <c r="EB51" s="373"/>
      <c r="EC51" s="373"/>
      <c r="ED51" s="373"/>
      <c r="EE51" s="373"/>
      <c r="EF51" s="373"/>
      <c r="EG51" s="373"/>
      <c r="EH51" s="373"/>
      <c r="EI51" s="373"/>
      <c r="EJ51" s="373"/>
      <c r="EK51" s="373"/>
      <c r="EL51" s="373"/>
      <c r="EM51" s="373"/>
      <c r="EN51" s="373"/>
      <c r="EO51" s="373"/>
      <c r="EP51" s="373"/>
      <c r="EQ51" s="373"/>
      <c r="ER51" s="373"/>
      <c r="ES51" s="373"/>
    </row>
    <row r="52" spans="1:149">
      <c r="A52" s="759" t="s">
        <v>968</v>
      </c>
      <c r="B52" s="760"/>
      <c r="C52" s="312" t="s">
        <v>1254</v>
      </c>
      <c r="D52" s="313">
        <f t="shared" ref="D52:H52" si="155">D12+D24+D36+D40+D44+D48</f>
        <v>580</v>
      </c>
      <c r="E52" s="314">
        <f t="shared" si="155"/>
        <v>0</v>
      </c>
      <c r="F52" s="314">
        <f t="shared" si="155"/>
        <v>0</v>
      </c>
      <c r="G52" s="314">
        <f t="shared" si="155"/>
        <v>0</v>
      </c>
      <c r="H52" s="314">
        <f t="shared" si="155"/>
        <v>0</v>
      </c>
      <c r="I52" s="314">
        <f t="shared" si="149"/>
        <v>0</v>
      </c>
      <c r="J52" s="314">
        <f t="shared" ref="J52:J55" si="156">J12+J24+J36+J40+J44+J48</f>
        <v>0</v>
      </c>
      <c r="K52" s="314">
        <f t="shared" ref="K52:U53" si="157">K12+K24+K36+K40+K44+K48</f>
        <v>0</v>
      </c>
      <c r="L52" s="314">
        <f t="shared" si="157"/>
        <v>0</v>
      </c>
      <c r="M52" s="314">
        <f t="shared" si="157"/>
        <v>0</v>
      </c>
      <c r="N52" s="314">
        <f t="shared" si="157"/>
        <v>0</v>
      </c>
      <c r="O52" s="314">
        <f t="shared" si="157"/>
        <v>0</v>
      </c>
      <c r="P52" s="314">
        <f t="shared" si="157"/>
        <v>45</v>
      </c>
      <c r="Q52" s="314">
        <f t="shared" si="157"/>
        <v>17</v>
      </c>
      <c r="R52" s="314">
        <f t="shared" si="157"/>
        <v>23</v>
      </c>
      <c r="S52" s="314">
        <f t="shared" si="157"/>
        <v>30</v>
      </c>
      <c r="T52" s="314">
        <f t="shared" si="157"/>
        <v>11</v>
      </c>
      <c r="U52" s="314">
        <f t="shared" si="157"/>
        <v>9</v>
      </c>
      <c r="V52" s="314">
        <f t="shared" si="150"/>
        <v>135</v>
      </c>
      <c r="W52" s="314">
        <f t="shared" ref="W52:W55" si="158">W12+W24+W36+W40+W44+W48</f>
        <v>14</v>
      </c>
      <c r="X52" s="314">
        <f t="shared" ref="X52:AH53" si="159">X12+X24+X36+X40+X44+X48</f>
        <v>9</v>
      </c>
      <c r="Y52" s="314">
        <f t="shared" si="159"/>
        <v>14</v>
      </c>
      <c r="Z52" s="314">
        <f t="shared" si="159"/>
        <v>14</v>
      </c>
      <c r="AA52" s="314">
        <f t="shared" si="159"/>
        <v>21</v>
      </c>
      <c r="AB52" s="314">
        <f t="shared" si="159"/>
        <v>19</v>
      </c>
      <c r="AC52" s="314">
        <f t="shared" si="159"/>
        <v>19</v>
      </c>
      <c r="AD52" s="314">
        <f t="shared" si="159"/>
        <v>19</v>
      </c>
      <c r="AE52" s="314">
        <f t="shared" si="159"/>
        <v>20</v>
      </c>
      <c r="AF52" s="314">
        <f t="shared" si="159"/>
        <v>18</v>
      </c>
      <c r="AG52" s="314">
        <f t="shared" si="159"/>
        <v>17</v>
      </c>
      <c r="AH52" s="314">
        <f t="shared" si="159"/>
        <v>16</v>
      </c>
      <c r="AI52" s="314">
        <f t="shared" si="151"/>
        <v>200</v>
      </c>
      <c r="AJ52" s="314">
        <f t="shared" ref="AJ52:AJ55" si="160">AJ12+AJ24+AJ36+AJ40+AJ44+AJ48</f>
        <v>15</v>
      </c>
      <c r="AK52" s="314">
        <f t="shared" ref="AK52:AU53" si="161">AK12+AK24+AK36+AK40+AK44+AK48</f>
        <v>13</v>
      </c>
      <c r="AL52" s="314">
        <f t="shared" si="161"/>
        <v>15</v>
      </c>
      <c r="AM52" s="314">
        <f t="shared" si="161"/>
        <v>14</v>
      </c>
      <c r="AN52" s="314">
        <f t="shared" si="161"/>
        <v>18</v>
      </c>
      <c r="AO52" s="314">
        <f t="shared" si="161"/>
        <v>16</v>
      </c>
      <c r="AP52" s="314">
        <f t="shared" si="161"/>
        <v>17</v>
      </c>
      <c r="AQ52" s="314">
        <f t="shared" si="161"/>
        <v>14</v>
      </c>
      <c r="AR52" s="314">
        <f t="shared" si="161"/>
        <v>17</v>
      </c>
      <c r="AS52" s="314">
        <f t="shared" si="161"/>
        <v>16</v>
      </c>
      <c r="AT52" s="314">
        <f t="shared" si="161"/>
        <v>12</v>
      </c>
      <c r="AU52" s="314">
        <f t="shared" si="161"/>
        <v>13</v>
      </c>
      <c r="AV52" s="314">
        <f t="shared" si="152"/>
        <v>180</v>
      </c>
      <c r="AW52" s="314">
        <f t="shared" ref="AW52:AW55" si="162">AW12+AW24+AW36+AW40+AW44+AW48</f>
        <v>12</v>
      </c>
      <c r="AX52" s="314">
        <f t="shared" ref="AX52:BH53" si="163">AX12+AX24+AX36+AX40+AX44+AX48</f>
        <v>9</v>
      </c>
      <c r="AY52" s="314">
        <f t="shared" si="163"/>
        <v>9</v>
      </c>
      <c r="AZ52" s="314">
        <f t="shared" si="163"/>
        <v>9</v>
      </c>
      <c r="BA52" s="314">
        <f t="shared" si="163"/>
        <v>10</v>
      </c>
      <c r="BB52" s="314">
        <f t="shared" si="163"/>
        <v>6</v>
      </c>
      <c r="BC52" s="314">
        <f t="shared" si="163"/>
        <v>5</v>
      </c>
      <c r="BD52" s="314">
        <f t="shared" si="163"/>
        <v>5</v>
      </c>
      <c r="BE52" s="314">
        <f t="shared" si="163"/>
        <v>0</v>
      </c>
      <c r="BF52" s="314">
        <f t="shared" si="163"/>
        <v>0</v>
      </c>
      <c r="BG52" s="314">
        <f t="shared" si="163"/>
        <v>0</v>
      </c>
      <c r="BH52" s="314">
        <f t="shared" si="163"/>
        <v>0</v>
      </c>
      <c r="BI52" s="314">
        <f t="shared" si="153"/>
        <v>65</v>
      </c>
      <c r="BJ52" s="367"/>
      <c r="BK52" s="367"/>
      <c r="BL52" s="367"/>
      <c r="BM52" s="367"/>
      <c r="BN52" s="367"/>
      <c r="BO52" s="367"/>
      <c r="BP52" s="384">
        <f t="shared" si="154"/>
        <v>580</v>
      </c>
      <c r="BQ52" s="373">
        <f>BP52-D52</f>
        <v>0</v>
      </c>
      <c r="BR52" s="373"/>
      <c r="BS52" s="373"/>
      <c r="BT52" s="373"/>
      <c r="BU52" s="373"/>
      <c r="BV52" s="373"/>
      <c r="BW52" s="373"/>
      <c r="BX52" s="373"/>
      <c r="BY52" s="373"/>
      <c r="BZ52" s="373"/>
      <c r="CA52" s="373"/>
      <c r="CB52" s="373"/>
      <c r="CC52" s="373"/>
      <c r="CD52" s="373"/>
      <c r="CE52" s="373"/>
      <c r="CF52" s="373"/>
      <c r="CG52" s="373"/>
      <c r="CH52" s="373"/>
      <c r="CI52" s="373"/>
      <c r="CJ52" s="373"/>
      <c r="CK52" s="373"/>
      <c r="CL52" s="373"/>
      <c r="CM52" s="373"/>
      <c r="CN52" s="373"/>
      <c r="CO52" s="373"/>
      <c r="CP52" s="373"/>
      <c r="CQ52" s="373"/>
      <c r="CR52" s="373"/>
      <c r="CS52" s="373"/>
      <c r="CT52" s="373"/>
      <c r="CU52" s="373"/>
      <c r="CV52" s="373"/>
      <c r="CW52" s="373"/>
      <c r="CX52" s="373"/>
      <c r="CY52" s="373"/>
      <c r="CZ52" s="373"/>
      <c r="DA52" s="373"/>
      <c r="DB52" s="373"/>
      <c r="DC52" s="373"/>
      <c r="DD52" s="373"/>
      <c r="DE52" s="373"/>
      <c r="DF52" s="373"/>
      <c r="DG52" s="373"/>
      <c r="DH52" s="373"/>
      <c r="DI52" s="373"/>
      <c r="DJ52" s="373"/>
      <c r="DK52" s="373"/>
      <c r="DL52" s="373"/>
      <c r="DM52" s="373"/>
      <c r="DN52" s="373"/>
      <c r="DO52" s="373"/>
      <c r="DP52" s="373"/>
      <c r="DQ52" s="373"/>
      <c r="DR52" s="373"/>
      <c r="DS52" s="373"/>
      <c r="DT52" s="373"/>
      <c r="DU52" s="373"/>
      <c r="DV52" s="373"/>
      <c r="DW52" s="373"/>
      <c r="DX52" s="373"/>
      <c r="DY52" s="373"/>
      <c r="DZ52" s="373"/>
      <c r="EA52" s="373"/>
      <c r="EB52" s="373"/>
      <c r="EC52" s="373"/>
      <c r="ED52" s="373"/>
      <c r="EE52" s="373"/>
      <c r="EF52" s="373"/>
      <c r="EG52" s="373"/>
      <c r="EH52" s="373"/>
      <c r="EI52" s="373"/>
      <c r="EJ52" s="373"/>
      <c r="EK52" s="373"/>
      <c r="EL52" s="373"/>
      <c r="EM52" s="373"/>
      <c r="EN52" s="373"/>
      <c r="EO52" s="373"/>
      <c r="EP52" s="373"/>
      <c r="EQ52" s="373"/>
      <c r="ER52" s="373"/>
      <c r="ES52" s="373"/>
    </row>
    <row r="53" spans="1:149">
      <c r="A53" s="759"/>
      <c r="B53" s="760"/>
      <c r="C53" s="312" t="s">
        <v>1255</v>
      </c>
      <c r="D53" s="313"/>
      <c r="E53" s="314">
        <f t="shared" ref="E53:H53" si="164">E13+E25+E37+E41+E45+E49</f>
        <v>0</v>
      </c>
      <c r="F53" s="314">
        <f t="shared" si="164"/>
        <v>0</v>
      </c>
      <c r="G53" s="314">
        <f t="shared" si="164"/>
        <v>0</v>
      </c>
      <c r="H53" s="314">
        <f t="shared" si="164"/>
        <v>0</v>
      </c>
      <c r="I53" s="314">
        <f t="shared" si="149"/>
        <v>0</v>
      </c>
      <c r="J53" s="314">
        <f t="shared" si="156"/>
        <v>0</v>
      </c>
      <c r="K53" s="314">
        <f t="shared" si="157"/>
        <v>0</v>
      </c>
      <c r="L53" s="314">
        <f t="shared" si="157"/>
        <v>0</v>
      </c>
      <c r="M53" s="314">
        <f t="shared" si="157"/>
        <v>0</v>
      </c>
      <c r="N53" s="314">
        <f t="shared" si="157"/>
        <v>0</v>
      </c>
      <c r="O53" s="314">
        <f t="shared" si="157"/>
        <v>0</v>
      </c>
      <c r="P53" s="314">
        <f t="shared" si="157"/>
        <v>7659.9</v>
      </c>
      <c r="Q53" s="314">
        <f t="shared" si="157"/>
        <v>2546.9499999999998</v>
      </c>
      <c r="R53" s="314">
        <f t="shared" si="157"/>
        <v>3709.7200000000003</v>
      </c>
      <c r="S53" s="314">
        <f t="shared" si="157"/>
        <v>4291.8999999999996</v>
      </c>
      <c r="T53" s="314">
        <f t="shared" si="157"/>
        <v>1533.31</v>
      </c>
      <c r="U53" s="314">
        <f t="shared" si="157"/>
        <v>1410.77</v>
      </c>
      <c r="V53" s="314">
        <f t="shared" si="150"/>
        <v>21152.550000000003</v>
      </c>
      <c r="W53" s="314">
        <f t="shared" si="158"/>
        <v>2252.77</v>
      </c>
      <c r="X53" s="314">
        <f t="shared" si="159"/>
        <v>1315.3600000000001</v>
      </c>
      <c r="Y53" s="314">
        <f t="shared" si="159"/>
        <v>2289.9499999999998</v>
      </c>
      <c r="Z53" s="314">
        <f t="shared" si="159"/>
        <v>2289.9499999999998</v>
      </c>
      <c r="AA53" s="314">
        <f t="shared" si="159"/>
        <v>3157.36</v>
      </c>
      <c r="AB53" s="314">
        <f t="shared" si="159"/>
        <v>3027.36</v>
      </c>
      <c r="AC53" s="314">
        <f t="shared" si="159"/>
        <v>3118.36</v>
      </c>
      <c r="AD53" s="314">
        <f t="shared" si="159"/>
        <v>3118.36</v>
      </c>
      <c r="AE53" s="314">
        <f t="shared" si="159"/>
        <v>2995.95</v>
      </c>
      <c r="AF53" s="314">
        <f t="shared" si="159"/>
        <v>2875.95</v>
      </c>
      <c r="AG53" s="314">
        <f t="shared" si="159"/>
        <v>2737.36</v>
      </c>
      <c r="AH53" s="314">
        <f t="shared" si="159"/>
        <v>2416.9499999999998</v>
      </c>
      <c r="AI53" s="314">
        <f t="shared" si="151"/>
        <v>31595.680000000004</v>
      </c>
      <c r="AJ53" s="314">
        <f t="shared" si="160"/>
        <v>2444.36</v>
      </c>
      <c r="AK53" s="314">
        <f t="shared" si="161"/>
        <v>2112.36</v>
      </c>
      <c r="AL53" s="314">
        <f t="shared" si="161"/>
        <v>2444.36</v>
      </c>
      <c r="AM53" s="314">
        <f t="shared" si="161"/>
        <v>2132.77</v>
      </c>
      <c r="AN53" s="314">
        <f t="shared" si="161"/>
        <v>4513.51</v>
      </c>
      <c r="AO53" s="314">
        <f t="shared" si="161"/>
        <v>2582.9499999999998</v>
      </c>
      <c r="AP53" s="314">
        <f t="shared" si="161"/>
        <v>2771.95</v>
      </c>
      <c r="AQ53" s="314">
        <f t="shared" si="161"/>
        <v>2256.9499999999998</v>
      </c>
      <c r="AR53" s="314">
        <f t="shared" si="161"/>
        <v>4274.51</v>
      </c>
      <c r="AS53" s="314">
        <f t="shared" si="161"/>
        <v>2588.9499999999998</v>
      </c>
      <c r="AT53" s="314">
        <f t="shared" si="161"/>
        <v>1957.95</v>
      </c>
      <c r="AU53" s="314">
        <f t="shared" si="161"/>
        <v>2100.9499999999998</v>
      </c>
      <c r="AV53" s="314">
        <f t="shared" si="152"/>
        <v>32181.570000000003</v>
      </c>
      <c r="AW53" s="314">
        <f t="shared" si="162"/>
        <v>1830.95</v>
      </c>
      <c r="AX53" s="314">
        <f t="shared" si="163"/>
        <v>1447.95</v>
      </c>
      <c r="AY53" s="314">
        <f t="shared" si="163"/>
        <v>1574.95</v>
      </c>
      <c r="AZ53" s="314">
        <f t="shared" si="163"/>
        <v>1493.95</v>
      </c>
      <c r="BA53" s="314">
        <f t="shared" si="163"/>
        <v>1763.95</v>
      </c>
      <c r="BB53" s="314">
        <f t="shared" si="163"/>
        <v>926.95</v>
      </c>
      <c r="BC53" s="314">
        <f t="shared" si="163"/>
        <v>692.95</v>
      </c>
      <c r="BD53" s="314">
        <f t="shared" si="163"/>
        <v>692.95</v>
      </c>
      <c r="BE53" s="314">
        <f t="shared" si="163"/>
        <v>0</v>
      </c>
      <c r="BF53" s="314">
        <f t="shared" si="163"/>
        <v>0</v>
      </c>
      <c r="BG53" s="314">
        <f t="shared" si="163"/>
        <v>0</v>
      </c>
      <c r="BH53" s="314">
        <f t="shared" si="163"/>
        <v>0</v>
      </c>
      <c r="BI53" s="314">
        <f t="shared" si="153"/>
        <v>10424.600000000002</v>
      </c>
      <c r="BJ53" s="367"/>
      <c r="BK53" s="367"/>
      <c r="BL53" s="367"/>
      <c r="BM53" s="367"/>
      <c r="BN53" s="367"/>
      <c r="BO53" s="367"/>
      <c r="BP53" s="384">
        <f t="shared" si="154"/>
        <v>95354.400000000023</v>
      </c>
      <c r="BQ53" s="373"/>
      <c r="BR53" s="373"/>
      <c r="BS53" s="373"/>
      <c r="BT53" s="373"/>
      <c r="BU53" s="373"/>
      <c r="BV53" s="373"/>
      <c r="BW53" s="373"/>
      <c r="BX53" s="373"/>
      <c r="BY53" s="373"/>
      <c r="BZ53" s="373"/>
      <c r="CA53" s="373"/>
      <c r="CB53" s="373"/>
      <c r="CC53" s="373"/>
      <c r="CD53" s="373"/>
      <c r="CE53" s="373"/>
      <c r="CF53" s="373"/>
      <c r="CG53" s="373"/>
      <c r="CH53" s="373"/>
      <c r="CI53" s="373"/>
      <c r="CJ53" s="373"/>
      <c r="CK53" s="373"/>
      <c r="CL53" s="373"/>
      <c r="CM53" s="373"/>
      <c r="CN53" s="373"/>
      <c r="CO53" s="373"/>
      <c r="CP53" s="373"/>
      <c r="CQ53" s="373"/>
      <c r="CR53" s="373"/>
      <c r="CS53" s="373"/>
      <c r="CT53" s="373"/>
      <c r="CU53" s="373"/>
      <c r="CV53" s="373"/>
      <c r="CW53" s="373"/>
      <c r="CX53" s="373"/>
      <c r="CY53" s="373"/>
      <c r="CZ53" s="373"/>
      <c r="DA53" s="373"/>
      <c r="DB53" s="373"/>
      <c r="DC53" s="373"/>
      <c r="DD53" s="373"/>
      <c r="DE53" s="373"/>
      <c r="DF53" s="373"/>
      <c r="DG53" s="373"/>
      <c r="DH53" s="373"/>
      <c r="DI53" s="373"/>
      <c r="DJ53" s="373"/>
      <c r="DK53" s="373"/>
      <c r="DL53" s="373"/>
      <c r="DM53" s="373"/>
      <c r="DN53" s="373"/>
      <c r="DO53" s="373"/>
      <c r="DP53" s="373"/>
      <c r="DQ53" s="373"/>
      <c r="DR53" s="373"/>
      <c r="DS53" s="373"/>
      <c r="DT53" s="373"/>
      <c r="DU53" s="373"/>
      <c r="DV53" s="373"/>
      <c r="DW53" s="373"/>
      <c r="DX53" s="373"/>
      <c r="DY53" s="373"/>
      <c r="DZ53" s="373"/>
      <c r="EA53" s="373"/>
      <c r="EB53" s="373"/>
      <c r="EC53" s="373"/>
      <c r="ED53" s="373"/>
      <c r="EE53" s="373"/>
      <c r="EF53" s="373"/>
      <c r="EG53" s="373"/>
      <c r="EH53" s="373"/>
      <c r="EI53" s="373"/>
      <c r="EJ53" s="373"/>
      <c r="EK53" s="373"/>
      <c r="EL53" s="373"/>
      <c r="EM53" s="373"/>
      <c r="EN53" s="373"/>
      <c r="EO53" s="373"/>
      <c r="EP53" s="373"/>
      <c r="EQ53" s="373"/>
      <c r="ER53" s="373"/>
      <c r="ES53" s="373"/>
    </row>
    <row r="54" spans="1:149" s="278" customFormat="1">
      <c r="A54" s="759"/>
      <c r="B54" s="760"/>
      <c r="C54" s="770" t="s">
        <v>1256</v>
      </c>
      <c r="D54" s="771"/>
      <c r="E54" s="315" t="e">
        <f t="shared" ref="E54:BI54" si="165">E55/E53*10000</f>
        <v>#DIV/0!</v>
      </c>
      <c r="F54" s="315" t="e">
        <f t="shared" si="165"/>
        <v>#DIV/0!</v>
      </c>
      <c r="G54" s="315" t="e">
        <f t="shared" si="165"/>
        <v>#DIV/0!</v>
      </c>
      <c r="H54" s="315" t="e">
        <f t="shared" si="165"/>
        <v>#DIV/0!</v>
      </c>
      <c r="I54" s="315" t="e">
        <f t="shared" si="165"/>
        <v>#DIV/0!</v>
      </c>
      <c r="J54" s="315" t="e">
        <f t="shared" si="165"/>
        <v>#DIV/0!</v>
      </c>
      <c r="K54" s="315" t="e">
        <f t="shared" si="165"/>
        <v>#DIV/0!</v>
      </c>
      <c r="L54" s="315" t="e">
        <f t="shared" si="165"/>
        <v>#DIV/0!</v>
      </c>
      <c r="M54" s="315" t="e">
        <f t="shared" si="165"/>
        <v>#DIV/0!</v>
      </c>
      <c r="N54" s="315" t="e">
        <f t="shared" si="165"/>
        <v>#DIV/0!</v>
      </c>
      <c r="O54" s="315" t="e">
        <f t="shared" si="165"/>
        <v>#DIV/0!</v>
      </c>
      <c r="P54" s="315">
        <f t="shared" si="165"/>
        <v>11744.8999334195</v>
      </c>
      <c r="Q54" s="315">
        <f t="shared" si="165"/>
        <v>11094.931781150006</v>
      </c>
      <c r="R54" s="315">
        <f t="shared" si="165"/>
        <v>11557.124796480593</v>
      </c>
      <c r="S54" s="315">
        <f t="shared" si="165"/>
        <v>11496.602437149051</v>
      </c>
      <c r="T54" s="315">
        <f t="shared" si="165"/>
        <v>10938.389823323398</v>
      </c>
      <c r="U54" s="315">
        <f t="shared" si="165"/>
        <v>11846.253110003758</v>
      </c>
      <c r="V54" s="315">
        <f t="shared" si="165"/>
        <v>11531.623444927443</v>
      </c>
      <c r="W54" s="315">
        <f t="shared" si="165"/>
        <v>12631.180058328193</v>
      </c>
      <c r="X54" s="315">
        <f t="shared" si="165"/>
        <v>11954.220137452865</v>
      </c>
      <c r="Y54" s="315">
        <f t="shared" si="165"/>
        <v>12615.476975479816</v>
      </c>
      <c r="Z54" s="315">
        <f t="shared" si="165"/>
        <v>12615.476975479816</v>
      </c>
      <c r="AA54" s="315">
        <f t="shared" si="165"/>
        <v>12608.924227835914</v>
      </c>
      <c r="AB54" s="315">
        <f t="shared" si="165"/>
        <v>12879.910549125309</v>
      </c>
      <c r="AC54" s="315">
        <f t="shared" si="165"/>
        <v>13013.091496812425</v>
      </c>
      <c r="AD54" s="315">
        <f t="shared" si="165"/>
        <v>13056.383483626007</v>
      </c>
      <c r="AE54" s="315">
        <f t="shared" si="165"/>
        <v>12732.294764598877</v>
      </c>
      <c r="AF54" s="315">
        <f t="shared" si="165"/>
        <v>13064.827796032616</v>
      </c>
      <c r="AG54" s="315">
        <f t="shared" si="165"/>
        <v>13136.459216179093</v>
      </c>
      <c r="AH54" s="315">
        <f t="shared" si="165"/>
        <v>12719.898425701816</v>
      </c>
      <c r="AI54" s="315">
        <f t="shared" si="165"/>
        <v>12801.61094807898</v>
      </c>
      <c r="AJ54" s="315">
        <f t="shared" si="165"/>
        <v>13164.434862295242</v>
      </c>
      <c r="AK54" s="315">
        <f t="shared" si="165"/>
        <v>13130.860743433885</v>
      </c>
      <c r="AL54" s="315">
        <f t="shared" si="165"/>
        <v>13164.434862295242</v>
      </c>
      <c r="AM54" s="315">
        <f t="shared" si="165"/>
        <v>13025.3733407728</v>
      </c>
      <c r="AN54" s="315">
        <f t="shared" si="165"/>
        <v>15670.219961847873</v>
      </c>
      <c r="AO54" s="315">
        <f t="shared" si="165"/>
        <v>13332.616388238257</v>
      </c>
      <c r="AP54" s="315">
        <f t="shared" si="165"/>
        <v>13398.371002362959</v>
      </c>
      <c r="AQ54" s="315">
        <f t="shared" si="165"/>
        <v>13166.157646381178</v>
      </c>
      <c r="AR54" s="315">
        <f t="shared" si="165"/>
        <v>15898.860571153185</v>
      </c>
      <c r="AS54" s="315">
        <f t="shared" si="165"/>
        <v>13400.553313119219</v>
      </c>
      <c r="AT54" s="315">
        <f t="shared" si="165"/>
        <v>13458.340866722849</v>
      </c>
      <c r="AU54" s="315">
        <f t="shared" si="165"/>
        <v>13424.421571193983</v>
      </c>
      <c r="AV54" s="315">
        <f t="shared" si="165"/>
        <v>13955.273608465963</v>
      </c>
      <c r="AW54" s="315">
        <f t="shared" si="165"/>
        <v>13229.377372402307</v>
      </c>
      <c r="AX54" s="315">
        <f t="shared" si="165"/>
        <v>13435.299216133155</v>
      </c>
      <c r="AY54" s="315">
        <f t="shared" si="165"/>
        <v>13985.689386964666</v>
      </c>
      <c r="AZ54" s="315">
        <f t="shared" si="165"/>
        <v>13608.617758291777</v>
      </c>
      <c r="BA54" s="315">
        <f t="shared" si="165"/>
        <v>14051.188809206607</v>
      </c>
      <c r="BB54" s="315">
        <f t="shared" si="165"/>
        <v>13004.040671017852</v>
      </c>
      <c r="BC54" s="315">
        <f t="shared" si="165"/>
        <v>12249.999999999998</v>
      </c>
      <c r="BD54" s="315">
        <f t="shared" si="165"/>
        <v>12249.999999999998</v>
      </c>
      <c r="BE54" s="315" t="e">
        <f t="shared" si="165"/>
        <v>#DIV/0!</v>
      </c>
      <c r="BF54" s="315" t="e">
        <f t="shared" si="165"/>
        <v>#DIV/0!</v>
      </c>
      <c r="BG54" s="315" t="e">
        <f t="shared" si="165"/>
        <v>#DIV/0!</v>
      </c>
      <c r="BH54" s="315" t="e">
        <f t="shared" si="165"/>
        <v>#DIV/0!</v>
      </c>
      <c r="BI54" s="315">
        <f t="shared" si="165"/>
        <v>13415.410759165819</v>
      </c>
      <c r="BJ54" s="315"/>
      <c r="BK54" s="315"/>
      <c r="BL54" s="315"/>
      <c r="BM54" s="315"/>
      <c r="BN54" s="315"/>
      <c r="BO54" s="315"/>
      <c r="BP54" s="385">
        <f>BP55/BP53*10000</f>
        <v>12976.346660458246</v>
      </c>
    </row>
    <row r="55" spans="1:149">
      <c r="A55" s="761"/>
      <c r="B55" s="762"/>
      <c r="C55" s="772" t="s">
        <v>1257</v>
      </c>
      <c r="D55" s="772"/>
      <c r="E55" s="316">
        <f t="shared" ref="E55:H55" si="166">E15+E27+E39+E43+E47+E51</f>
        <v>0</v>
      </c>
      <c r="F55" s="316">
        <f t="shared" si="166"/>
        <v>0</v>
      </c>
      <c r="G55" s="316">
        <f t="shared" si="166"/>
        <v>0</v>
      </c>
      <c r="H55" s="316">
        <f t="shared" si="166"/>
        <v>0</v>
      </c>
      <c r="I55" s="316">
        <f>SUM(E55:H55)</f>
        <v>0</v>
      </c>
      <c r="J55" s="316">
        <f t="shared" si="156"/>
        <v>0</v>
      </c>
      <c r="K55" s="316">
        <f t="shared" ref="K55:U55" si="167">K15+K27+K39+K43+K47+K51</f>
        <v>0</v>
      </c>
      <c r="L55" s="316">
        <f t="shared" si="167"/>
        <v>0</v>
      </c>
      <c r="M55" s="316">
        <f t="shared" si="167"/>
        <v>0</v>
      </c>
      <c r="N55" s="316">
        <f t="shared" si="167"/>
        <v>0</v>
      </c>
      <c r="O55" s="316">
        <f t="shared" si="167"/>
        <v>0</v>
      </c>
      <c r="P55" s="316">
        <f t="shared" si="167"/>
        <v>8996.4759000000013</v>
      </c>
      <c r="Q55" s="316">
        <f t="shared" si="167"/>
        <v>2825.8236500000003</v>
      </c>
      <c r="R55" s="316">
        <f t="shared" si="167"/>
        <v>4287.3696999999993</v>
      </c>
      <c r="S55" s="316">
        <f t="shared" si="167"/>
        <v>4934.2268000000004</v>
      </c>
      <c r="T55" s="316">
        <f t="shared" si="167"/>
        <v>1677.19425</v>
      </c>
      <c r="U55" s="316">
        <f t="shared" si="167"/>
        <v>1671.2338500000001</v>
      </c>
      <c r="V55" s="346">
        <f>SUM(J55:U55)</f>
        <v>24392.324150000004</v>
      </c>
      <c r="W55" s="316">
        <f t="shared" si="158"/>
        <v>2845.5143500000004</v>
      </c>
      <c r="X55" s="316">
        <f t="shared" ref="X55:AH55" si="168">X15+X27+X39+X43+X47+X51</f>
        <v>1572.4103</v>
      </c>
      <c r="Y55" s="316">
        <f t="shared" si="168"/>
        <v>2888.8811500000002</v>
      </c>
      <c r="Z55" s="316">
        <f t="shared" si="168"/>
        <v>2888.8811500000002</v>
      </c>
      <c r="AA55" s="316">
        <f t="shared" si="168"/>
        <v>3981.0913</v>
      </c>
      <c r="AB55" s="316">
        <f t="shared" si="168"/>
        <v>3899.2125999999998</v>
      </c>
      <c r="AC55" s="316">
        <f t="shared" si="168"/>
        <v>4057.9503999999997</v>
      </c>
      <c r="AD55" s="316">
        <f t="shared" si="168"/>
        <v>4071.4503999999997</v>
      </c>
      <c r="AE55" s="316">
        <f t="shared" si="168"/>
        <v>3814.5318500000003</v>
      </c>
      <c r="AF55" s="316">
        <f t="shared" si="168"/>
        <v>3757.3791500000002</v>
      </c>
      <c r="AG55" s="316">
        <f t="shared" si="168"/>
        <v>3595.9218000000001</v>
      </c>
      <c r="AH55" s="316">
        <f t="shared" si="168"/>
        <v>3074.3358500000004</v>
      </c>
      <c r="AI55" s="316">
        <f>SUM(W55:AH55)</f>
        <v>40447.560300000012</v>
      </c>
      <c r="AJ55" s="316">
        <f t="shared" si="160"/>
        <v>3217.8618000000001</v>
      </c>
      <c r="AK55" s="316">
        <f t="shared" ref="AK55:AU55" si="169">AK15+AK27+AK39+AK43+AK47+AK51</f>
        <v>2773.7105000000001</v>
      </c>
      <c r="AL55" s="316">
        <f t="shared" si="169"/>
        <v>3217.8618000000001</v>
      </c>
      <c r="AM55" s="316">
        <f t="shared" si="169"/>
        <v>2778.0125500000004</v>
      </c>
      <c r="AN55" s="316">
        <f t="shared" si="169"/>
        <v>7072.7694499999998</v>
      </c>
      <c r="AO55" s="316">
        <f t="shared" si="169"/>
        <v>3443.7481500000004</v>
      </c>
      <c r="AP55" s="316">
        <f t="shared" si="169"/>
        <v>3713.9614500000002</v>
      </c>
      <c r="AQ55" s="316">
        <f t="shared" si="169"/>
        <v>2971.53595</v>
      </c>
      <c r="AR55" s="316">
        <f t="shared" si="169"/>
        <v>6795.9838500000005</v>
      </c>
      <c r="AS55" s="316">
        <f t="shared" si="169"/>
        <v>3469.3362499999998</v>
      </c>
      <c r="AT55" s="316">
        <f t="shared" si="169"/>
        <v>2635.0758500000002</v>
      </c>
      <c r="AU55" s="316">
        <f t="shared" si="169"/>
        <v>2820.4038499999997</v>
      </c>
      <c r="AV55" s="316">
        <f>SUM(AJ55:AU55)</f>
        <v>44910.261450000005</v>
      </c>
      <c r="AW55" s="316">
        <f t="shared" si="162"/>
        <v>2422.2328500000003</v>
      </c>
      <c r="AX55" s="316">
        <f t="shared" ref="AX55:BH55" si="170">AX15+AX27+AX39+AX43+AX47+AX51</f>
        <v>1945.3641500000001</v>
      </c>
      <c r="AY55" s="316">
        <f t="shared" si="170"/>
        <v>2202.6761500000002</v>
      </c>
      <c r="AZ55" s="316">
        <f t="shared" si="170"/>
        <v>2033.05945</v>
      </c>
      <c r="BA55" s="316">
        <f t="shared" si="170"/>
        <v>2478.5594499999997</v>
      </c>
      <c r="BB55" s="316">
        <f t="shared" si="170"/>
        <v>1205.4095499999999</v>
      </c>
      <c r="BC55" s="316">
        <f t="shared" si="170"/>
        <v>848.86374999999998</v>
      </c>
      <c r="BD55" s="316">
        <f t="shared" si="170"/>
        <v>848.86374999999998</v>
      </c>
      <c r="BE55" s="316">
        <f t="shared" si="170"/>
        <v>0</v>
      </c>
      <c r="BF55" s="316">
        <f t="shared" si="170"/>
        <v>0</v>
      </c>
      <c r="BG55" s="316">
        <f t="shared" si="170"/>
        <v>0</v>
      </c>
      <c r="BH55" s="316">
        <f t="shared" si="170"/>
        <v>0</v>
      </c>
      <c r="BI55" s="316">
        <f>SUM(AW55:BH55)</f>
        <v>13985.029100000003</v>
      </c>
      <c r="BJ55" s="368"/>
      <c r="BK55" s="368"/>
      <c r="BL55" s="368"/>
      <c r="BM55" s="368"/>
      <c r="BN55" s="368"/>
      <c r="BO55" s="368"/>
      <c r="BP55" s="386">
        <f>I55+V55+AI55+AV55+BI55</f>
        <v>123735.17500000002</v>
      </c>
      <c r="BQ55" s="373"/>
      <c r="BR55" s="373">
        <v>118237.8316</v>
      </c>
      <c r="BS55" s="373"/>
      <c r="BT55" s="373"/>
      <c r="BU55" s="373"/>
      <c r="BV55" s="373"/>
      <c r="BW55" s="373"/>
      <c r="BX55" s="373"/>
      <c r="BY55" s="373"/>
      <c r="BZ55" s="373"/>
      <c r="CA55" s="373"/>
      <c r="CB55" s="373"/>
      <c r="CC55" s="373"/>
      <c r="CD55" s="373"/>
      <c r="CE55" s="373"/>
      <c r="CF55" s="373"/>
      <c r="CG55" s="373"/>
      <c r="CH55" s="373"/>
      <c r="CI55" s="373"/>
      <c r="CJ55" s="373"/>
      <c r="CK55" s="373"/>
      <c r="CL55" s="373"/>
      <c r="CM55" s="373"/>
      <c r="CN55" s="373"/>
      <c r="CO55" s="373"/>
      <c r="CP55" s="373"/>
      <c r="CQ55" s="373"/>
      <c r="CR55" s="373"/>
      <c r="CS55" s="373"/>
      <c r="CT55" s="373"/>
      <c r="CU55" s="373"/>
      <c r="CV55" s="373"/>
      <c r="CW55" s="373"/>
      <c r="CX55" s="373"/>
      <c r="CY55" s="373"/>
      <c r="CZ55" s="373"/>
      <c r="DA55" s="373"/>
      <c r="DB55" s="373"/>
      <c r="DC55" s="373"/>
      <c r="DD55" s="373"/>
      <c r="DE55" s="373"/>
      <c r="DF55" s="373"/>
      <c r="DG55" s="373"/>
      <c r="DH55" s="373"/>
      <c r="DI55" s="373"/>
      <c r="DJ55" s="373"/>
      <c r="DK55" s="373"/>
      <c r="DL55" s="373"/>
      <c r="DM55" s="373"/>
      <c r="DN55" s="373"/>
      <c r="DO55" s="373"/>
      <c r="DP55" s="373"/>
      <c r="DQ55" s="373"/>
      <c r="DR55" s="373"/>
      <c r="DS55" s="373"/>
      <c r="DT55" s="373"/>
      <c r="DU55" s="373"/>
      <c r="DV55" s="373"/>
      <c r="DW55" s="373"/>
      <c r="DX55" s="373"/>
      <c r="DY55" s="373"/>
      <c r="DZ55" s="373"/>
      <c r="EA55" s="373"/>
      <c r="EB55" s="373"/>
      <c r="EC55" s="373"/>
      <c r="ED55" s="373"/>
      <c r="EE55" s="373"/>
      <c r="EF55" s="373"/>
      <c r="EG55" s="373"/>
      <c r="EH55" s="373"/>
      <c r="EI55" s="373"/>
      <c r="EJ55" s="373"/>
      <c r="EK55" s="373"/>
      <c r="EL55" s="373"/>
      <c r="EM55" s="373"/>
      <c r="EN55" s="373"/>
      <c r="EO55" s="373"/>
      <c r="EP55" s="373"/>
      <c r="EQ55" s="373"/>
      <c r="ER55" s="373"/>
      <c r="ES55" s="373"/>
    </row>
  </sheetData>
  <mergeCells count="49">
    <mergeCell ref="BJ1:BO1"/>
    <mergeCell ref="A3:D3"/>
    <mergeCell ref="C6:D6"/>
    <mergeCell ref="C7:D7"/>
    <mergeCell ref="C10:D10"/>
    <mergeCell ref="E1:I1"/>
    <mergeCell ref="J1:V1"/>
    <mergeCell ref="W1:AI1"/>
    <mergeCell ref="AJ1:AV1"/>
    <mergeCell ref="AW1:BI1"/>
    <mergeCell ref="C11:D11"/>
    <mergeCell ref="C14:D14"/>
    <mergeCell ref="C15:D15"/>
    <mergeCell ref="C18:D18"/>
    <mergeCell ref="C19:D19"/>
    <mergeCell ref="C22:D22"/>
    <mergeCell ref="C23:D23"/>
    <mergeCell ref="C26:D26"/>
    <mergeCell ref="C27:D27"/>
    <mergeCell ref="C30:D30"/>
    <mergeCell ref="C31:D31"/>
    <mergeCell ref="C34:D34"/>
    <mergeCell ref="C35:D35"/>
    <mergeCell ref="C38:D38"/>
    <mergeCell ref="C39:D39"/>
    <mergeCell ref="A4:A15"/>
    <mergeCell ref="A16:A27"/>
    <mergeCell ref="A28:A39"/>
    <mergeCell ref="B4:B7"/>
    <mergeCell ref="B8:B11"/>
    <mergeCell ref="B12:B15"/>
    <mergeCell ref="B16:B19"/>
    <mergeCell ref="B20:B23"/>
    <mergeCell ref="B24:B27"/>
    <mergeCell ref="B28:B31"/>
    <mergeCell ref="B32:B35"/>
    <mergeCell ref="B36:B39"/>
    <mergeCell ref="A52:B55"/>
    <mergeCell ref="A40:B43"/>
    <mergeCell ref="A44:B47"/>
    <mergeCell ref="C51:D51"/>
    <mergeCell ref="C54:D54"/>
    <mergeCell ref="C55:D55"/>
    <mergeCell ref="A48:B51"/>
    <mergeCell ref="C42:D42"/>
    <mergeCell ref="C43:D43"/>
    <mergeCell ref="C46:D46"/>
    <mergeCell ref="C47:D47"/>
    <mergeCell ref="C50:D50"/>
  </mergeCells>
  <phoneticPr fontId="40"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177"/>
  <sheetViews>
    <sheetView workbookViewId="0">
      <pane xSplit="2" ySplit="4" topLeftCell="C8" activePane="bottomRight" state="frozen"/>
      <selection pane="topRight"/>
      <selection pane="bottomLeft"/>
      <selection pane="bottomRight" activeCell="G26" sqref="G26"/>
    </sheetView>
  </sheetViews>
  <sheetFormatPr defaultColWidth="8.875" defaultRowHeight="14.25" outlineLevelRow="2"/>
  <cols>
    <col min="2" max="2" width="20.375" customWidth="1"/>
    <col min="3" max="4" width="12.625" customWidth="1"/>
    <col min="5" max="5" width="12.125" customWidth="1"/>
    <col min="6" max="6" width="10.625" customWidth="1"/>
    <col min="7" max="7" width="18" style="12" customWidth="1"/>
  </cols>
  <sheetData>
    <row r="1" spans="1:8" s="200" customFormat="1" ht="22.5">
      <c r="A1" s="796" t="s">
        <v>1269</v>
      </c>
      <c r="B1" s="796"/>
      <c r="C1" s="796"/>
      <c r="D1" s="796"/>
      <c r="E1" s="796"/>
      <c r="F1" s="796"/>
      <c r="G1" s="796"/>
      <c r="H1" s="796"/>
    </row>
    <row r="3" spans="1:8" s="201" customFormat="1" ht="28.5" customHeight="1">
      <c r="A3" s="803" t="s">
        <v>996</v>
      </c>
      <c r="B3" s="804"/>
      <c r="C3" s="202" t="s">
        <v>1270</v>
      </c>
      <c r="D3" s="273" t="s">
        <v>1271</v>
      </c>
      <c r="E3" s="224" t="s">
        <v>1004</v>
      </c>
      <c r="F3" s="797" t="s">
        <v>1272</v>
      </c>
      <c r="G3" s="799" t="s">
        <v>1273</v>
      </c>
      <c r="H3" s="234"/>
    </row>
    <row r="4" spans="1:8" s="201" customFormat="1" ht="28.5" customHeight="1">
      <c r="A4" s="805"/>
      <c r="B4" s="806"/>
      <c r="C4" s="274">
        <v>42095</v>
      </c>
      <c r="D4" s="275">
        <v>42401</v>
      </c>
      <c r="E4" s="224" t="s">
        <v>1274</v>
      </c>
      <c r="F4" s="798"/>
      <c r="G4" s="800"/>
      <c r="H4" s="234"/>
    </row>
    <row r="5" spans="1:8" ht="16.5" customHeight="1">
      <c r="A5" s="211" t="s">
        <v>1011</v>
      </c>
      <c r="B5" s="212" t="s">
        <v>1012</v>
      </c>
      <c r="C5" s="213">
        <f>C6+C7+C8+C9+C10+C11+C12</f>
        <v>41940.302300000003</v>
      </c>
      <c r="D5" s="213">
        <v>41940.285418084997</v>
      </c>
      <c r="E5" s="213">
        <v>41966.709756999997</v>
      </c>
      <c r="F5" s="213">
        <f t="shared" ref="F5" si="0">F6+F7+F8+F9+F10+F11+F12</f>
        <v>-1.6881915000144687E-2</v>
      </c>
      <c r="G5" s="228"/>
    </row>
    <row r="6" spans="1:8" ht="16.5" customHeight="1" outlineLevel="1">
      <c r="A6" s="214">
        <v>1.1000000000000001</v>
      </c>
      <c r="B6" s="215" t="s">
        <v>970</v>
      </c>
      <c r="C6" s="216">
        <f>成本明细!E5</f>
        <v>36610</v>
      </c>
      <c r="D6" s="216">
        <v>36610</v>
      </c>
      <c r="E6" s="216">
        <v>36610</v>
      </c>
      <c r="F6" s="216">
        <f>D6-C6</f>
        <v>0</v>
      </c>
      <c r="G6" s="230"/>
    </row>
    <row r="7" spans="1:8" ht="16.5" customHeight="1" outlineLevel="1">
      <c r="A7" s="214">
        <v>1.2</v>
      </c>
      <c r="B7" s="215" t="s">
        <v>1013</v>
      </c>
      <c r="C7" s="216">
        <f>成本明细!E9</f>
        <v>2423.2062000000001</v>
      </c>
      <c r="D7" s="216">
        <v>2423.2061699999999</v>
      </c>
      <c r="E7" s="216">
        <v>2439.28334</v>
      </c>
      <c r="F7" s="216">
        <f t="shared" ref="F7:F12" si="1">D7-C7</f>
        <v>-3.0000000151630957E-5</v>
      </c>
      <c r="G7" s="230"/>
    </row>
    <row r="8" spans="1:8" ht="16.5" customHeight="1" outlineLevel="1">
      <c r="A8" s="214">
        <v>1.3</v>
      </c>
      <c r="B8" s="215" t="s">
        <v>442</v>
      </c>
      <c r="C8" s="216">
        <f>成本明细!E13</f>
        <v>1166.8925999999999</v>
      </c>
      <c r="D8" s="216">
        <v>1166.8926449999999</v>
      </c>
      <c r="E8" s="216">
        <v>1196.7564170000001</v>
      </c>
      <c r="F8" s="216">
        <f t="shared" si="1"/>
        <v>4.500000000007276E-5</v>
      </c>
      <c r="G8" s="230"/>
    </row>
    <row r="9" spans="1:8" ht="16.5" customHeight="1" outlineLevel="1">
      <c r="A9" s="214">
        <v>1.4</v>
      </c>
      <c r="B9" s="215" t="s">
        <v>1014</v>
      </c>
      <c r="C9" s="216">
        <f>成本明细!E16</f>
        <v>183.0669</v>
      </c>
      <c r="D9" s="216">
        <v>183.05</v>
      </c>
      <c r="E9" s="216">
        <v>183.05</v>
      </c>
      <c r="F9" s="216">
        <f t="shared" si="1"/>
        <v>-1.6899999999992588E-2</v>
      </c>
      <c r="G9" s="230"/>
    </row>
    <row r="10" spans="1:8" ht="16.5" customHeight="1" outlineLevel="1">
      <c r="A10" s="214">
        <v>1.5</v>
      </c>
      <c r="B10" s="235" t="s">
        <v>1275</v>
      </c>
      <c r="C10" s="216">
        <f>成本明细!E19</f>
        <v>19.5166</v>
      </c>
      <c r="D10" s="216">
        <v>19.516603085</v>
      </c>
      <c r="E10" s="216">
        <v>0</v>
      </c>
      <c r="F10" s="216">
        <f t="shared" si="1"/>
        <v>3.0849999994586597E-6</v>
      </c>
      <c r="G10" s="230"/>
    </row>
    <row r="11" spans="1:8" ht="16.5" customHeight="1" outlineLevel="1">
      <c r="A11" s="214">
        <v>1.6</v>
      </c>
      <c r="B11" s="215" t="s">
        <v>1276</v>
      </c>
      <c r="C11" s="216">
        <f>成本明细!E22</f>
        <v>73.22</v>
      </c>
      <c r="D11" s="216">
        <v>73.22</v>
      </c>
      <c r="E11" s="216">
        <v>73.22</v>
      </c>
      <c r="F11" s="216">
        <f t="shared" si="1"/>
        <v>0</v>
      </c>
      <c r="G11" s="230"/>
    </row>
    <row r="12" spans="1:8" ht="16.5" customHeight="1" outlineLevel="1">
      <c r="A12" s="214">
        <v>1.7</v>
      </c>
      <c r="B12" s="215" t="s">
        <v>1277</v>
      </c>
      <c r="C12" s="216">
        <f>成本明细!E25</f>
        <v>1464.4</v>
      </c>
      <c r="D12" s="216">
        <v>1464.4</v>
      </c>
      <c r="E12" s="216">
        <v>1464.4</v>
      </c>
      <c r="F12" s="216">
        <f t="shared" si="1"/>
        <v>0</v>
      </c>
      <c r="G12" s="230"/>
    </row>
    <row r="13" spans="1:8" ht="16.5" customHeight="1">
      <c r="A13" s="218" t="s">
        <v>1016</v>
      </c>
      <c r="B13" s="219" t="s">
        <v>1017</v>
      </c>
      <c r="C13" s="213">
        <f>C14+C18+C25+C33+C38+C45+C52+C59</f>
        <v>2630.6102000000005</v>
      </c>
      <c r="D13" s="213">
        <v>2935.0879903732798</v>
      </c>
      <c r="E13" s="213">
        <v>2507.0942279999999</v>
      </c>
      <c r="F13" s="213">
        <f>F14+F18+F25+F33+F38+F45+F52+F59</f>
        <v>216.77377537327976</v>
      </c>
      <c r="G13" s="228"/>
    </row>
    <row r="14" spans="1:8" ht="16.5" customHeight="1" outlineLevel="1">
      <c r="A14" s="220">
        <v>2.1</v>
      </c>
      <c r="B14" s="221" t="s">
        <v>1278</v>
      </c>
      <c r="C14" s="222">
        <f>SUM(C15:C17)</f>
        <v>137.88589999999999</v>
      </c>
      <c r="D14" s="222">
        <v>137.88584489153999</v>
      </c>
      <c r="E14" s="222">
        <v>130.65629999999999</v>
      </c>
      <c r="F14" s="222">
        <f t="shared" ref="F14" si="2">SUM(F15:F17)</f>
        <v>-5.5108459999786419E-5</v>
      </c>
      <c r="G14" s="232"/>
    </row>
    <row r="15" spans="1:8" ht="16.5" customHeight="1" outlineLevel="2">
      <c r="A15" s="214" t="s">
        <v>1279</v>
      </c>
      <c r="B15" s="215" t="s">
        <v>1020</v>
      </c>
      <c r="C15" s="216">
        <f>成本明细!E30</f>
        <v>120.96</v>
      </c>
      <c r="D15" s="216">
        <v>120.96</v>
      </c>
      <c r="E15" s="216">
        <v>113.2375</v>
      </c>
      <c r="F15" s="216">
        <f t="shared" ref="F15:F66" si="3">D15-C15</f>
        <v>0</v>
      </c>
      <c r="G15" s="230"/>
    </row>
    <row r="16" spans="1:8" ht="16.5" customHeight="1" outlineLevel="2">
      <c r="A16" s="214" t="s">
        <v>1280</v>
      </c>
      <c r="B16" s="215" t="s">
        <v>1281</v>
      </c>
      <c r="C16" s="216">
        <f>成本明细!E34</f>
        <v>15.922000000000001</v>
      </c>
      <c r="D16" s="216">
        <v>15.921979392600001</v>
      </c>
      <c r="E16" s="216">
        <v>16.418800000000001</v>
      </c>
      <c r="F16" s="216">
        <f t="shared" si="3"/>
        <v>-2.0607399999761356E-5</v>
      </c>
      <c r="G16" s="230"/>
    </row>
    <row r="17" spans="1:7" ht="16.5" customHeight="1" outlineLevel="2">
      <c r="A17" s="214" t="s">
        <v>1282</v>
      </c>
      <c r="B17" s="215" t="s">
        <v>1046</v>
      </c>
      <c r="C17" s="216">
        <f>成本明细!E41</f>
        <v>1.0039</v>
      </c>
      <c r="D17" s="216">
        <v>1.00386549894</v>
      </c>
      <c r="E17" s="216">
        <v>1</v>
      </c>
      <c r="F17" s="216">
        <f t="shared" si="3"/>
        <v>-3.4501060000025063E-5</v>
      </c>
      <c r="G17" s="230"/>
    </row>
    <row r="18" spans="1:7" ht="16.5" customHeight="1" outlineLevel="1">
      <c r="A18" s="220">
        <v>2.2000000000000002</v>
      </c>
      <c r="B18" s="221" t="s">
        <v>1023</v>
      </c>
      <c r="C18" s="222">
        <f>SUM(C19:C24)</f>
        <v>1253.9101000000001</v>
      </c>
      <c r="D18" s="222">
        <v>1453.4849224240199</v>
      </c>
      <c r="E18" s="222">
        <v>1281.7934</v>
      </c>
      <c r="F18" s="222">
        <f t="shared" ref="F18" si="4">SUM(F19:F24)</f>
        <v>199.14322242401988</v>
      </c>
      <c r="G18" s="232"/>
    </row>
    <row r="19" spans="1:7" ht="16.5" customHeight="1" outlineLevel="2">
      <c r="A19" s="214" t="s">
        <v>1283</v>
      </c>
      <c r="B19" s="215" t="s">
        <v>1284</v>
      </c>
      <c r="C19" s="216">
        <f>成本明细!E46</f>
        <v>765.07500000000005</v>
      </c>
      <c r="D19" s="216">
        <v>948.89</v>
      </c>
      <c r="E19" s="216">
        <v>780</v>
      </c>
      <c r="F19" s="216">
        <f t="shared" si="3"/>
        <v>183.81499999999994</v>
      </c>
      <c r="G19" s="230"/>
    </row>
    <row r="20" spans="1:7" ht="16.5" customHeight="1" outlineLevel="2">
      <c r="A20" s="214" t="s">
        <v>1285</v>
      </c>
      <c r="B20" s="215" t="s">
        <v>1286</v>
      </c>
      <c r="C20" s="216">
        <f>成本明细!E49</f>
        <v>70.431600000000003</v>
      </c>
      <c r="D20" s="216">
        <v>73.329949999999997</v>
      </c>
      <c r="E20" s="216">
        <v>73.328999999999994</v>
      </c>
      <c r="F20" s="216">
        <f t="shared" si="3"/>
        <v>2.8983499999999935</v>
      </c>
      <c r="G20" s="230" t="s">
        <v>1287</v>
      </c>
    </row>
    <row r="21" spans="1:7" ht="16.5" customHeight="1" outlineLevel="2">
      <c r="A21" s="214" t="s">
        <v>1288</v>
      </c>
      <c r="B21" s="215" t="s">
        <v>1289</v>
      </c>
      <c r="C21" s="216">
        <f>成本明细!E52</f>
        <v>268.35750000000002</v>
      </c>
      <c r="D21" s="216">
        <v>268.35745524191998</v>
      </c>
      <c r="E21" s="216">
        <v>268.35750000000002</v>
      </c>
      <c r="F21" s="216">
        <f t="shared" si="3"/>
        <v>-4.4758080036899628E-5</v>
      </c>
      <c r="G21" s="230"/>
    </row>
    <row r="22" spans="1:7" ht="16.5" customHeight="1" outlineLevel="2">
      <c r="A22" s="214" t="s">
        <v>1290</v>
      </c>
      <c r="B22" s="215" t="s">
        <v>1029</v>
      </c>
      <c r="C22" s="216">
        <f>成本明细!E55</f>
        <v>49.958199999999998</v>
      </c>
      <c r="D22" s="216">
        <v>49.778221242599997</v>
      </c>
      <c r="E22" s="216">
        <v>49.78</v>
      </c>
      <c r="F22" s="216">
        <f t="shared" si="3"/>
        <v>-0.17997875740000069</v>
      </c>
      <c r="G22" s="230"/>
    </row>
    <row r="23" spans="1:7" ht="16.5" customHeight="1" outlineLevel="2">
      <c r="A23" s="214" t="s">
        <v>1291</v>
      </c>
      <c r="B23" s="215" t="s">
        <v>1292</v>
      </c>
      <c r="C23" s="216">
        <f>成本明细!E59</f>
        <v>77.356999999999999</v>
      </c>
      <c r="D23" s="216">
        <v>89.966935639499994</v>
      </c>
      <c r="E23" s="216">
        <v>89.968000000000004</v>
      </c>
      <c r="F23" s="216">
        <f t="shared" si="3"/>
        <v>12.609935639499994</v>
      </c>
      <c r="G23" s="230" t="s">
        <v>1293</v>
      </c>
    </row>
    <row r="24" spans="1:7" ht="16.5" customHeight="1" outlineLevel="2">
      <c r="A24" s="214" t="s">
        <v>1294</v>
      </c>
      <c r="B24" s="215" t="s">
        <v>1055</v>
      </c>
      <c r="C24" s="216">
        <f>成本明细!E64</f>
        <v>22.730799999999999</v>
      </c>
      <c r="D24" s="216">
        <v>22.7307603</v>
      </c>
      <c r="E24" s="216">
        <v>20.358899999999998</v>
      </c>
      <c r="F24" s="216">
        <f t="shared" si="3"/>
        <v>-3.9699999998532576E-5</v>
      </c>
      <c r="G24" s="230"/>
    </row>
    <row r="25" spans="1:7" ht="16.5" customHeight="1" outlineLevel="1">
      <c r="A25" s="220">
        <v>2.2999999999999998</v>
      </c>
      <c r="B25" s="221" t="s">
        <v>1295</v>
      </c>
      <c r="C25" s="222">
        <f>SUM(C26:C32)</f>
        <v>856.80799999999999</v>
      </c>
      <c r="D25" s="222">
        <v>872.73927721860002</v>
      </c>
      <c r="E25" s="222">
        <v>834.97069999999997</v>
      </c>
      <c r="F25" s="222">
        <f t="shared" ref="F25" si="5">SUM(F26:F32)</f>
        <v>15.931277218599931</v>
      </c>
      <c r="G25" s="232"/>
    </row>
    <row r="26" spans="1:7" ht="16.5" customHeight="1" outlineLevel="2">
      <c r="A26" s="214" t="s">
        <v>1296</v>
      </c>
      <c r="B26" s="215" t="s">
        <v>1297</v>
      </c>
      <c r="C26" s="216">
        <f>成本明细!E76</f>
        <v>50.815800000000003</v>
      </c>
      <c r="D26" s="216">
        <v>77.620085900999996</v>
      </c>
      <c r="E26" s="216">
        <v>65.617699999999999</v>
      </c>
      <c r="F26" s="216">
        <f t="shared" si="3"/>
        <v>26.804285900999993</v>
      </c>
      <c r="G26" s="230" t="s">
        <v>1298</v>
      </c>
    </row>
    <row r="27" spans="1:7" ht="16.5" customHeight="1" outlineLevel="2">
      <c r="A27" s="214" t="s">
        <v>1299</v>
      </c>
      <c r="B27" s="215" t="s">
        <v>1300</v>
      </c>
      <c r="C27" s="216">
        <f>成本明细!E84</f>
        <v>5.9741</v>
      </c>
      <c r="D27" s="216">
        <v>5.9740877147999996</v>
      </c>
      <c r="E27" s="216">
        <v>5.9504999999999999</v>
      </c>
      <c r="F27" s="216">
        <f t="shared" si="3"/>
        <v>-1.2285200000405894E-5</v>
      </c>
      <c r="G27" s="230"/>
    </row>
    <row r="28" spans="1:7" ht="16.5" customHeight="1" outlineLevel="2">
      <c r="A28" s="214" t="s">
        <v>1301</v>
      </c>
      <c r="B28" s="215" t="s">
        <v>1302</v>
      </c>
      <c r="C28" s="216">
        <f>成本明细!E88</f>
        <v>0</v>
      </c>
      <c r="D28" s="216">
        <v>0</v>
      </c>
      <c r="E28" s="216">
        <v>0</v>
      </c>
      <c r="F28" s="216">
        <f t="shared" si="3"/>
        <v>0</v>
      </c>
      <c r="G28" s="230"/>
    </row>
    <row r="29" spans="1:7" ht="16.5" customHeight="1" outlineLevel="2">
      <c r="A29" s="214" t="s">
        <v>1303</v>
      </c>
      <c r="B29" s="215" t="s">
        <v>1304</v>
      </c>
      <c r="C29" s="216">
        <f>成本明细!E91</f>
        <v>698.71460000000002</v>
      </c>
      <c r="D29" s="216">
        <v>674.99976657599996</v>
      </c>
      <c r="E29" s="216">
        <v>675</v>
      </c>
      <c r="F29" s="216">
        <f t="shared" si="3"/>
        <v>-23.714833424000062</v>
      </c>
      <c r="G29" s="230" t="s">
        <v>1305</v>
      </c>
    </row>
    <row r="30" spans="1:7" ht="16.5" customHeight="1" outlineLevel="2">
      <c r="A30" s="214" t="s">
        <v>1306</v>
      </c>
      <c r="B30" s="215" t="s">
        <v>1307</v>
      </c>
      <c r="C30" s="216">
        <f>成本明细!E94</f>
        <v>46.545299999999997</v>
      </c>
      <c r="D30" s="216">
        <v>46.545287999999999</v>
      </c>
      <c r="E30" s="216">
        <v>33.799999999999997</v>
      </c>
      <c r="F30" s="216">
        <f t="shared" si="3"/>
        <v>-1.1999999998124622E-5</v>
      </c>
      <c r="G30" s="230"/>
    </row>
    <row r="31" spans="1:7" ht="16.5" customHeight="1" outlineLevel="2">
      <c r="A31" s="214" t="s">
        <v>1308</v>
      </c>
      <c r="B31" s="215" t="s">
        <v>1065</v>
      </c>
      <c r="C31" s="216">
        <f>成本明细!E98</f>
        <v>39.757800000000003</v>
      </c>
      <c r="D31" s="216">
        <v>52.599666336600002</v>
      </c>
      <c r="E31" s="216">
        <v>39.602499999999999</v>
      </c>
      <c r="F31" s="216">
        <f t="shared" si="3"/>
        <v>12.841866336599999</v>
      </c>
      <c r="G31" s="230" t="s">
        <v>1309</v>
      </c>
    </row>
    <row r="32" spans="1:7" ht="16.5" customHeight="1" outlineLevel="2">
      <c r="A32" s="214" t="s">
        <v>1310</v>
      </c>
      <c r="B32" s="215" t="s">
        <v>1311</v>
      </c>
      <c r="C32" s="216">
        <f>成本明细!E103</f>
        <v>15.000400000000001</v>
      </c>
      <c r="D32" s="216">
        <v>15.0003826902</v>
      </c>
      <c r="E32" s="216">
        <v>15</v>
      </c>
      <c r="F32" s="216">
        <f t="shared" si="3"/>
        <v>-1.7309800000475661E-5</v>
      </c>
      <c r="G32" s="230"/>
    </row>
    <row r="33" spans="1:7" ht="16.5" customHeight="1" outlineLevel="1">
      <c r="A33" s="220">
        <v>2.4</v>
      </c>
      <c r="B33" s="221" t="s">
        <v>1312</v>
      </c>
      <c r="C33" s="222">
        <f>SUM(C34:C37)</f>
        <v>122.2251</v>
      </c>
      <c r="D33" s="222">
        <v>123.9245020356</v>
      </c>
      <c r="E33" s="222">
        <v>115.674882</v>
      </c>
      <c r="F33" s="222">
        <f t="shared" ref="F33" si="6">SUM(F34:F37)</f>
        <v>1.6994020355999915</v>
      </c>
      <c r="G33" s="232"/>
    </row>
    <row r="34" spans="1:7" ht="16.5" customHeight="1" outlineLevel="2">
      <c r="A34" s="214" t="s">
        <v>1313</v>
      </c>
      <c r="B34" s="215" t="s">
        <v>1314</v>
      </c>
      <c r="C34" s="216">
        <f>成本明细!E109</f>
        <v>29.1769</v>
      </c>
      <c r="D34" s="216">
        <v>30.873489530400001</v>
      </c>
      <c r="E34" s="216">
        <v>30.8733</v>
      </c>
      <c r="F34" s="216">
        <f t="shared" si="3"/>
        <v>1.6965895304000007</v>
      </c>
      <c r="G34" s="230"/>
    </row>
    <row r="35" spans="1:7" ht="16.5" customHeight="1" outlineLevel="2">
      <c r="A35" s="214" t="s">
        <v>1315</v>
      </c>
      <c r="B35" s="215" t="s">
        <v>1316</v>
      </c>
      <c r="C35" s="216">
        <f>成本明细!E114</f>
        <v>23.272600000000001</v>
      </c>
      <c r="D35" s="216">
        <v>23.272644</v>
      </c>
      <c r="E35" s="216">
        <v>24.611152000000001</v>
      </c>
      <c r="F35" s="216">
        <f t="shared" si="3"/>
        <v>4.3999999999044803E-5</v>
      </c>
      <c r="G35" s="230"/>
    </row>
    <row r="36" spans="1:7" ht="16.5" customHeight="1" outlineLevel="2">
      <c r="A36" s="214" t="s">
        <v>1317</v>
      </c>
      <c r="B36" s="215" t="s">
        <v>1318</v>
      </c>
      <c r="C36" s="216">
        <f>成本明细!E124</f>
        <v>9.3091000000000008</v>
      </c>
      <c r="D36" s="216">
        <v>9.3090575999999992</v>
      </c>
      <c r="E36" s="216">
        <v>9.2210000000000001</v>
      </c>
      <c r="F36" s="216">
        <f t="shared" si="3"/>
        <v>-4.2400000001663329E-5</v>
      </c>
      <c r="G36" s="230"/>
    </row>
    <row r="37" spans="1:7" ht="16.5" customHeight="1" outlineLevel="2">
      <c r="A37" s="214" t="s">
        <v>1319</v>
      </c>
      <c r="B37" s="215" t="s">
        <v>1320</v>
      </c>
      <c r="C37" s="216">
        <f>成本明细!E129</f>
        <v>60.466500000000003</v>
      </c>
      <c r="D37" s="216">
        <v>60.469310905199997</v>
      </c>
      <c r="E37" s="216">
        <v>50.969430000000003</v>
      </c>
      <c r="F37" s="216">
        <f t="shared" si="3"/>
        <v>2.8109051999933854E-3</v>
      </c>
      <c r="G37" s="230" t="s">
        <v>1321</v>
      </c>
    </row>
    <row r="38" spans="1:7" ht="16.5" customHeight="1" outlineLevel="1">
      <c r="A38" s="220">
        <v>2.5</v>
      </c>
      <c r="B38" s="221" t="s">
        <v>1322</v>
      </c>
      <c r="C38" s="222">
        <f>SUM(C39:C42)</f>
        <v>57.151299999999999</v>
      </c>
      <c r="D38" s="222">
        <v>144.42374505012</v>
      </c>
      <c r="E38" s="222">
        <v>33.75</v>
      </c>
      <c r="F38" s="222">
        <f t="shared" ref="F38" si="7">SUM(F39:F42)</f>
        <v>3.0050119997682145E-5</v>
      </c>
      <c r="G38" s="232"/>
    </row>
    <row r="39" spans="1:7" ht="16.5" customHeight="1" outlineLevel="2">
      <c r="A39" s="214" t="s">
        <v>1323</v>
      </c>
      <c r="B39" s="215" t="s">
        <v>1042</v>
      </c>
      <c r="C39" s="216">
        <f>成本明细!E134</f>
        <v>23.3413</v>
      </c>
      <c r="D39" s="216">
        <v>23.341298299799998</v>
      </c>
      <c r="E39" s="216">
        <v>23.25</v>
      </c>
      <c r="F39" s="216">
        <f t="shared" si="3"/>
        <v>-1.7002000021193453E-6</v>
      </c>
      <c r="G39" s="230"/>
    </row>
    <row r="40" spans="1:7" ht="16.5" customHeight="1" outlineLevel="2">
      <c r="A40" s="214" t="s">
        <v>1324</v>
      </c>
      <c r="B40" s="215" t="s">
        <v>1325</v>
      </c>
      <c r="C40" s="216">
        <f>成本明细!E138</f>
        <v>23.272600000000001</v>
      </c>
      <c r="D40" s="216">
        <v>23.272644</v>
      </c>
      <c r="E40" s="216">
        <v>0</v>
      </c>
      <c r="F40" s="216">
        <f t="shared" si="3"/>
        <v>4.3999999999044803E-5</v>
      </c>
      <c r="G40" s="230"/>
    </row>
    <row r="41" spans="1:7" ht="16.5" customHeight="1" outlineLevel="2">
      <c r="A41" s="214" t="s">
        <v>1326</v>
      </c>
      <c r="B41" s="215" t="s">
        <v>1327</v>
      </c>
      <c r="C41" s="216">
        <f>成本明细!E141</f>
        <v>0</v>
      </c>
      <c r="D41" s="216">
        <v>0</v>
      </c>
      <c r="E41" s="216">
        <v>0</v>
      </c>
      <c r="F41" s="216">
        <f t="shared" si="3"/>
        <v>0</v>
      </c>
      <c r="G41" s="230"/>
    </row>
    <row r="42" spans="1:7" ht="16.5" customHeight="1" outlineLevel="2">
      <c r="A42" s="214" t="s">
        <v>1328</v>
      </c>
      <c r="B42" s="215" t="s">
        <v>1329</v>
      </c>
      <c r="C42" s="216">
        <f>成本明细!E144</f>
        <v>10.5374</v>
      </c>
      <c r="D42" s="216">
        <v>10.537387750320001</v>
      </c>
      <c r="E42" s="216">
        <v>10.5</v>
      </c>
      <c r="F42" s="216">
        <f t="shared" si="3"/>
        <v>-1.2249679999243313E-5</v>
      </c>
      <c r="G42" s="230"/>
    </row>
    <row r="43" spans="1:7" ht="16.5" customHeight="1" outlineLevel="2">
      <c r="A43" s="214" t="s">
        <v>1330</v>
      </c>
      <c r="B43" s="223" t="s">
        <v>1331</v>
      </c>
      <c r="C43" s="216">
        <f>成本明细!E143</f>
        <v>0</v>
      </c>
      <c r="D43" s="216">
        <v>52.363449000000003</v>
      </c>
      <c r="E43" s="216">
        <v>0</v>
      </c>
      <c r="F43" s="216">
        <f t="shared" si="3"/>
        <v>52.363449000000003</v>
      </c>
      <c r="G43" s="230" t="s">
        <v>1332</v>
      </c>
    </row>
    <row r="44" spans="1:7" ht="16.5" customHeight="1" outlineLevel="2">
      <c r="A44" s="214" t="s">
        <v>1333</v>
      </c>
      <c r="B44" s="223" t="s">
        <v>1334</v>
      </c>
      <c r="C44" s="216">
        <f>成本明细!E146</f>
        <v>0</v>
      </c>
      <c r="D44" s="216">
        <v>34.908965999999999</v>
      </c>
      <c r="E44" s="216">
        <v>0</v>
      </c>
      <c r="F44" s="216">
        <f t="shared" si="3"/>
        <v>34.908965999999999</v>
      </c>
      <c r="G44" s="230" t="s">
        <v>1332</v>
      </c>
    </row>
    <row r="45" spans="1:7" ht="16.5" customHeight="1" outlineLevel="1">
      <c r="A45" s="220">
        <v>2.6</v>
      </c>
      <c r="B45" s="221" t="s">
        <v>1335</v>
      </c>
      <c r="C45" s="222">
        <f>SUM(C46:C51)</f>
        <v>86.796300000000016</v>
      </c>
      <c r="D45" s="222">
        <v>86.796199953400006</v>
      </c>
      <c r="E45" s="222">
        <v>80.407815999999997</v>
      </c>
      <c r="F45" s="222">
        <f t="shared" ref="F45" si="8">SUM(F46:F51)</f>
        <v>-1.0004660000273446E-4</v>
      </c>
      <c r="G45" s="232"/>
    </row>
    <row r="46" spans="1:7" ht="16.5" customHeight="1" outlineLevel="2">
      <c r="A46" s="214" t="s">
        <v>1336</v>
      </c>
      <c r="B46" s="215" t="s">
        <v>1057</v>
      </c>
      <c r="C46" s="216">
        <f>成本明细!E148</f>
        <v>27.927199999999999</v>
      </c>
      <c r="D46" s="216">
        <v>27.927172800000001</v>
      </c>
      <c r="E46" s="216">
        <v>27.82771</v>
      </c>
      <c r="F46" s="216">
        <f t="shared" si="3"/>
        <v>-2.7199999998117619E-5</v>
      </c>
      <c r="G46" s="230"/>
    </row>
    <row r="47" spans="1:7" ht="16.5" customHeight="1" outlineLevel="2">
      <c r="A47" s="214" t="s">
        <v>1337</v>
      </c>
      <c r="B47" s="215" t="s">
        <v>1059</v>
      </c>
      <c r="C47" s="216">
        <f>成本明细!E152</f>
        <v>10.4727</v>
      </c>
      <c r="D47" s="216">
        <v>10.472689799999999</v>
      </c>
      <c r="E47" s="216">
        <v>10.363690999999999</v>
      </c>
      <c r="F47" s="216">
        <f t="shared" si="3"/>
        <v>-1.0200000000182285E-5</v>
      </c>
      <c r="G47" s="230"/>
    </row>
    <row r="48" spans="1:7" ht="16.5" customHeight="1" outlineLevel="2">
      <c r="A48" s="214" t="s">
        <v>1338</v>
      </c>
      <c r="B48" s="215" t="s">
        <v>1339</v>
      </c>
      <c r="C48" s="216">
        <f>成本明细!E156</f>
        <v>34.032800000000002</v>
      </c>
      <c r="D48" s="216">
        <v>34.032750953399997</v>
      </c>
      <c r="E48" s="216">
        <v>33.9</v>
      </c>
      <c r="F48" s="216">
        <f t="shared" si="3"/>
        <v>-4.9046600004487573E-5</v>
      </c>
      <c r="G48" s="230"/>
    </row>
    <row r="49" spans="1:7" ht="16.5" customHeight="1" outlineLevel="2">
      <c r="A49" s="214" t="s">
        <v>1340</v>
      </c>
      <c r="B49" s="215" t="s">
        <v>1341</v>
      </c>
      <c r="C49" s="216">
        <f>成本明细!E159</f>
        <v>8.1454000000000004</v>
      </c>
      <c r="D49" s="216">
        <v>8.1454254000000006</v>
      </c>
      <c r="E49" s="216">
        <v>8.3164149999999992</v>
      </c>
      <c r="F49" s="216">
        <f t="shared" si="3"/>
        <v>2.5400000000175282E-5</v>
      </c>
      <c r="G49" s="230"/>
    </row>
    <row r="50" spans="1:7" ht="16.5" customHeight="1" outlineLevel="2">
      <c r="A50" s="214" t="s">
        <v>1342</v>
      </c>
      <c r="B50" s="215" t="s">
        <v>1343</v>
      </c>
      <c r="C50" s="216">
        <f>成本明细!E162</f>
        <v>0.4</v>
      </c>
      <c r="D50" s="216">
        <v>0.4</v>
      </c>
      <c r="E50" s="216">
        <v>0</v>
      </c>
      <c r="F50" s="216">
        <f t="shared" si="3"/>
        <v>0</v>
      </c>
      <c r="G50" s="230"/>
    </row>
    <row r="51" spans="1:7" ht="16.5" customHeight="1" outlineLevel="2">
      <c r="A51" s="214" t="s">
        <v>1344</v>
      </c>
      <c r="B51" s="215" t="s">
        <v>1345</v>
      </c>
      <c r="C51" s="216">
        <f>成本明细!E165</f>
        <v>5.8182</v>
      </c>
      <c r="D51" s="216">
        <v>5.8181609999999999</v>
      </c>
      <c r="E51" s="216">
        <v>0</v>
      </c>
      <c r="F51" s="216">
        <f t="shared" si="3"/>
        <v>-3.900000000012227E-5</v>
      </c>
      <c r="G51" s="230"/>
    </row>
    <row r="52" spans="1:7" ht="16.5" customHeight="1" outlineLevel="1">
      <c r="A52" s="220">
        <v>2.7</v>
      </c>
      <c r="B52" s="221" t="s">
        <v>1346</v>
      </c>
      <c r="C52" s="222">
        <f>SUM(C53:C58)</f>
        <v>50.6023</v>
      </c>
      <c r="D52" s="222">
        <v>50.602304400000001</v>
      </c>
      <c r="E52" s="222">
        <v>2.1981000000000002</v>
      </c>
      <c r="F52" s="222">
        <f t="shared" ref="F52" si="9">SUM(F53:F58)</f>
        <v>4.4000000025690156E-6</v>
      </c>
      <c r="G52" s="232"/>
    </row>
    <row r="53" spans="1:7" ht="16.5" customHeight="1" outlineLevel="2">
      <c r="A53" s="214" t="s">
        <v>1347</v>
      </c>
      <c r="B53" s="215" t="s">
        <v>1043</v>
      </c>
      <c r="C53" s="216">
        <f>成本明细!E169</f>
        <v>10.392799999999999</v>
      </c>
      <c r="D53" s="216">
        <v>10.392825</v>
      </c>
      <c r="E53" s="216">
        <v>0</v>
      </c>
      <c r="F53" s="216">
        <f t="shared" si="3"/>
        <v>2.5000000000829914E-5</v>
      </c>
      <c r="G53" s="230"/>
    </row>
    <row r="54" spans="1:7" ht="16.5" customHeight="1" outlineLevel="2">
      <c r="A54" s="214" t="s">
        <v>1348</v>
      </c>
      <c r="B54" s="215" t="s">
        <v>1349</v>
      </c>
      <c r="C54" s="216">
        <f>成本明细!E172</f>
        <v>5.8182</v>
      </c>
      <c r="D54" s="216">
        <v>5.8181609999999999</v>
      </c>
      <c r="E54" s="216">
        <v>0</v>
      </c>
      <c r="F54" s="216">
        <f t="shared" si="3"/>
        <v>-3.900000000012227E-5</v>
      </c>
      <c r="G54" s="230"/>
    </row>
    <row r="55" spans="1:7" ht="16.5" customHeight="1" outlineLevel="2">
      <c r="A55" s="214" t="s">
        <v>1350</v>
      </c>
      <c r="B55" s="215" t="s">
        <v>1045</v>
      </c>
      <c r="C55" s="216">
        <f>成本明细!E175</f>
        <v>10.392799999999999</v>
      </c>
      <c r="D55" s="216">
        <v>10.392825</v>
      </c>
      <c r="E55" s="216">
        <v>0</v>
      </c>
      <c r="F55" s="216">
        <f t="shared" si="3"/>
        <v>2.5000000000829914E-5</v>
      </c>
      <c r="G55" s="230"/>
    </row>
    <row r="56" spans="1:7" ht="16.5" customHeight="1" outlineLevel="2">
      <c r="A56" s="214" t="s">
        <v>1351</v>
      </c>
      <c r="B56" s="215" t="s">
        <v>1077</v>
      </c>
      <c r="C56" s="216">
        <f>成本明细!E178</f>
        <v>13.9636</v>
      </c>
      <c r="D56" s="216">
        <v>13.963586400000001</v>
      </c>
      <c r="E56" s="216">
        <v>0</v>
      </c>
      <c r="F56" s="216">
        <f t="shared" si="3"/>
        <v>-1.3599999999058809E-5</v>
      </c>
      <c r="G56" s="230"/>
    </row>
    <row r="57" spans="1:7" ht="16.5" customHeight="1" outlineLevel="2">
      <c r="A57" s="214" t="s">
        <v>1352</v>
      </c>
      <c r="B57" s="215" t="s">
        <v>1085</v>
      </c>
      <c r="C57" s="216">
        <f>成本明细!E181</f>
        <v>7.75</v>
      </c>
      <c r="D57" s="216">
        <v>7.75</v>
      </c>
      <c r="E57" s="216">
        <v>1.9644999999999999</v>
      </c>
      <c r="F57" s="216">
        <f t="shared" si="3"/>
        <v>0</v>
      </c>
      <c r="G57" s="230"/>
    </row>
    <row r="58" spans="1:7" ht="16.5" customHeight="1" outlineLevel="2">
      <c r="A58" s="214" t="s">
        <v>1353</v>
      </c>
      <c r="B58" s="215" t="s">
        <v>1067</v>
      </c>
      <c r="C58" s="216">
        <f>成本明细!E184</f>
        <v>2.2848999999999999</v>
      </c>
      <c r="D58" s="216">
        <v>2.284907</v>
      </c>
      <c r="E58" s="216">
        <v>0.2336</v>
      </c>
      <c r="F58" s="216">
        <f t="shared" si="3"/>
        <v>7.0000000000902673E-6</v>
      </c>
      <c r="G58" s="230"/>
    </row>
    <row r="59" spans="1:7" ht="16.5" customHeight="1" outlineLevel="1">
      <c r="A59" s="220">
        <v>2.8</v>
      </c>
      <c r="B59" s="221" t="s">
        <v>1354</v>
      </c>
      <c r="C59" s="222">
        <f>SUM(C60:C66)</f>
        <v>65.231200000000001</v>
      </c>
      <c r="D59" s="222">
        <v>65.231194400000007</v>
      </c>
      <c r="E59" s="222">
        <v>27.64303</v>
      </c>
      <c r="F59" s="222">
        <f t="shared" ref="F59" si="10">SUM(F60:F66)</f>
        <v>-5.6000000041578346E-6</v>
      </c>
      <c r="G59" s="232"/>
    </row>
    <row r="60" spans="1:7" ht="16.5" customHeight="1" outlineLevel="2">
      <c r="A60" s="214" t="s">
        <v>1355</v>
      </c>
      <c r="B60" s="215" t="s">
        <v>1061</v>
      </c>
      <c r="C60" s="216">
        <f>成本明细!E188</f>
        <v>5.8182</v>
      </c>
      <c r="D60" s="216">
        <v>5.8181609999999999</v>
      </c>
      <c r="E60" s="216">
        <v>1.612876</v>
      </c>
      <c r="F60" s="216">
        <f t="shared" si="3"/>
        <v>-3.900000000012227E-5</v>
      </c>
      <c r="G60" s="230"/>
    </row>
    <row r="61" spans="1:7" ht="16.5" customHeight="1" outlineLevel="2">
      <c r="A61" s="214" t="s">
        <v>1356</v>
      </c>
      <c r="B61" s="215" t="s">
        <v>1063</v>
      </c>
      <c r="C61" s="216">
        <f>成本明细!E193</f>
        <v>3</v>
      </c>
      <c r="D61" s="216">
        <v>3</v>
      </c>
      <c r="E61" s="216">
        <v>2.4</v>
      </c>
      <c r="F61" s="216">
        <f t="shared" si="3"/>
        <v>0</v>
      </c>
      <c r="G61" s="230"/>
    </row>
    <row r="62" spans="1:7" ht="16.5" customHeight="1" outlineLevel="2">
      <c r="A62" s="214" t="s">
        <v>1357</v>
      </c>
      <c r="B62" s="215" t="s">
        <v>1358</v>
      </c>
      <c r="C62" s="216">
        <f>成本明细!E198</f>
        <v>5.5439999999999996</v>
      </c>
      <c r="D62" s="216">
        <v>5.5439999999999996</v>
      </c>
      <c r="E62" s="216">
        <v>2.5680000000000001</v>
      </c>
      <c r="F62" s="216">
        <f t="shared" si="3"/>
        <v>0</v>
      </c>
      <c r="G62" s="230"/>
    </row>
    <row r="63" spans="1:7" ht="16.5" customHeight="1" outlineLevel="2">
      <c r="A63" s="214" t="s">
        <v>1359</v>
      </c>
      <c r="B63" s="215" t="s">
        <v>1360</v>
      </c>
      <c r="C63" s="216">
        <f>成本明细!E203</f>
        <v>0</v>
      </c>
      <c r="D63" s="216">
        <v>0</v>
      </c>
      <c r="E63" s="216">
        <v>0</v>
      </c>
      <c r="F63" s="216">
        <f t="shared" si="3"/>
        <v>0</v>
      </c>
      <c r="G63" s="230"/>
    </row>
    <row r="64" spans="1:7" ht="16.5" customHeight="1" outlineLevel="2">
      <c r="A64" s="214" t="s">
        <v>1361</v>
      </c>
      <c r="B64" s="215" t="s">
        <v>1069</v>
      </c>
      <c r="C64" s="216">
        <f>成本明细!E206</f>
        <v>0.32</v>
      </c>
      <c r="D64" s="216">
        <v>0.32</v>
      </c>
      <c r="E64" s="216">
        <v>0</v>
      </c>
      <c r="F64" s="216">
        <f t="shared" si="3"/>
        <v>0</v>
      </c>
      <c r="G64" s="230"/>
    </row>
    <row r="65" spans="1:7" ht="16.5" customHeight="1" outlineLevel="2">
      <c r="A65" s="214" t="s">
        <v>1362</v>
      </c>
      <c r="B65" s="215" t="s">
        <v>1363</v>
      </c>
      <c r="C65" s="216">
        <f>成本明细!E209</f>
        <v>17.287700000000001</v>
      </c>
      <c r="D65" s="216">
        <v>17.287738399999999</v>
      </c>
      <c r="E65" s="216">
        <v>8.1518990000000002</v>
      </c>
      <c r="F65" s="216">
        <f t="shared" si="3"/>
        <v>3.8399999997551504E-5</v>
      </c>
      <c r="G65" s="230"/>
    </row>
    <row r="66" spans="1:7" ht="16.5" customHeight="1" outlineLevel="2">
      <c r="A66" s="214" t="s">
        <v>1364</v>
      </c>
      <c r="B66" s="215" t="s">
        <v>1365</v>
      </c>
      <c r="C66" s="216">
        <f>成本明细!E213</f>
        <v>33.261299999999999</v>
      </c>
      <c r="D66" s="216">
        <v>33.261294999999997</v>
      </c>
      <c r="E66" s="216">
        <v>12.910254999999999</v>
      </c>
      <c r="F66" s="216">
        <f t="shared" si="3"/>
        <v>-5.0000000015870683E-6</v>
      </c>
      <c r="G66" s="230"/>
    </row>
    <row r="67" spans="1:7" ht="16.5" customHeight="1">
      <c r="A67" s="211" t="s">
        <v>1087</v>
      </c>
      <c r="B67" s="212" t="s">
        <v>1088</v>
      </c>
      <c r="C67" s="213">
        <f>C68+C76+C85+C94+C98+C101</f>
        <v>38963.131499999996</v>
      </c>
      <c r="D67" s="213">
        <v>41932.170860200698</v>
      </c>
      <c r="E67" s="213">
        <v>32227.812999999998</v>
      </c>
      <c r="F67" s="213">
        <f t="shared" ref="F67" si="11">F68+F76+F85+F94+F98+F101</f>
        <v>2969.0393602007553</v>
      </c>
      <c r="G67" s="228"/>
    </row>
    <row r="68" spans="1:7" ht="16.5" customHeight="1" outlineLevel="1">
      <c r="A68" s="220">
        <v>3.1</v>
      </c>
      <c r="B68" s="221" t="s">
        <v>1366</v>
      </c>
      <c r="C68" s="222">
        <f>SUM(C69:C75)</f>
        <v>1180.8724</v>
      </c>
      <c r="D68" s="222">
        <v>1797.9616260753</v>
      </c>
      <c r="E68" s="222">
        <v>836.21410000000003</v>
      </c>
      <c r="F68" s="222">
        <f t="shared" ref="F68" si="12">SUM(F69:F75)</f>
        <v>617.08922607529985</v>
      </c>
      <c r="G68" s="232"/>
    </row>
    <row r="69" spans="1:7" ht="16.5" customHeight="1" outlineLevel="2">
      <c r="A69" s="214" t="s">
        <v>1367</v>
      </c>
      <c r="B69" s="215" t="s">
        <v>1090</v>
      </c>
      <c r="C69" s="216">
        <f>成本明细!E229</f>
        <v>103.92829999999999</v>
      </c>
      <c r="D69" s="216">
        <v>700.00041361499996</v>
      </c>
      <c r="E69" s="216">
        <v>576.46600000000001</v>
      </c>
      <c r="F69" s="216">
        <f t="shared" ref="F69:F101" si="13">D69-C69</f>
        <v>596.07211361499992</v>
      </c>
      <c r="G69" s="230" t="s">
        <v>1368</v>
      </c>
    </row>
    <row r="70" spans="1:7" ht="16.5" customHeight="1" outlineLevel="2">
      <c r="A70" s="214" t="s">
        <v>1369</v>
      </c>
      <c r="B70" s="215" t="s">
        <v>1370</v>
      </c>
      <c r="C70" s="216">
        <f>成本明细!E232</f>
        <v>6.2175000000000002</v>
      </c>
      <c r="D70" s="216">
        <v>18.4898749575</v>
      </c>
      <c r="E70" s="216">
        <v>18.494</v>
      </c>
      <c r="F70" s="216">
        <f t="shared" si="13"/>
        <v>12.272374957499999</v>
      </c>
      <c r="G70" s="230" t="s">
        <v>1371</v>
      </c>
    </row>
    <row r="71" spans="1:7" ht="16.5" customHeight="1" outlineLevel="2">
      <c r="A71" s="214" t="s">
        <v>1372</v>
      </c>
      <c r="B71" s="217" t="s">
        <v>1373</v>
      </c>
      <c r="C71" s="216">
        <f>成本明细!E236</f>
        <v>232.72640000000001</v>
      </c>
      <c r="D71" s="216">
        <v>232.72644</v>
      </c>
      <c r="E71" s="216">
        <v>0</v>
      </c>
      <c r="F71" s="216">
        <f t="shared" si="13"/>
        <v>3.9999999984274837E-5</v>
      </c>
      <c r="G71" s="230"/>
    </row>
    <row r="72" spans="1:7" ht="16.5" customHeight="1" outlineLevel="2">
      <c r="A72" s="214" t="s">
        <v>1374</v>
      </c>
      <c r="B72" s="215" t="s">
        <v>1375</v>
      </c>
      <c r="C72" s="216">
        <f>成本明细!E239</f>
        <v>290.90809999999999</v>
      </c>
      <c r="D72" s="216">
        <v>290.90805</v>
      </c>
      <c r="E72" s="216">
        <v>191.61779999999999</v>
      </c>
      <c r="F72" s="216">
        <f t="shared" si="13"/>
        <v>-4.9999999987448973E-5</v>
      </c>
      <c r="G72" s="230"/>
    </row>
    <row r="73" spans="1:7" ht="16.5" customHeight="1" outlineLevel="2">
      <c r="A73" s="214" t="s">
        <v>1376</v>
      </c>
      <c r="B73" s="217" t="s">
        <v>1377</v>
      </c>
      <c r="C73" s="216">
        <f>成本明细!E245</f>
        <v>506.18</v>
      </c>
      <c r="D73" s="216">
        <v>506.18000699999999</v>
      </c>
      <c r="E73" s="216">
        <v>0</v>
      </c>
      <c r="F73" s="216">
        <f t="shared" si="13"/>
        <v>6.999999982326699E-6</v>
      </c>
      <c r="G73" s="230"/>
    </row>
    <row r="74" spans="1:7" ht="16.5" customHeight="1" outlineLevel="2">
      <c r="A74" s="214" t="s">
        <v>1378</v>
      </c>
      <c r="B74" s="215" t="s">
        <v>1083</v>
      </c>
      <c r="C74" s="216">
        <f>成本明细!E248</f>
        <v>8.3303999999999991</v>
      </c>
      <c r="D74" s="216">
        <v>8.3304429197999994</v>
      </c>
      <c r="E74" s="216">
        <v>8.3102999999999998</v>
      </c>
      <c r="F74" s="216">
        <f t="shared" si="13"/>
        <v>4.2919800000262853E-5</v>
      </c>
      <c r="G74" s="230"/>
    </row>
    <row r="75" spans="1:7" ht="16.5" customHeight="1" outlineLevel="2">
      <c r="A75" s="214" t="s">
        <v>1379</v>
      </c>
      <c r="B75" s="215" t="s">
        <v>1380</v>
      </c>
      <c r="C75" s="216">
        <f>成本明细!E252</f>
        <v>32.581699999999998</v>
      </c>
      <c r="D75" s="216">
        <v>41.326397583000002</v>
      </c>
      <c r="E75" s="216">
        <v>41.326000000000001</v>
      </c>
      <c r="F75" s="216">
        <f t="shared" si="13"/>
        <v>8.7446975830000042</v>
      </c>
      <c r="G75" s="230" t="s">
        <v>1381</v>
      </c>
    </row>
    <row r="76" spans="1:7" ht="16.5" customHeight="1" outlineLevel="1">
      <c r="A76" s="220">
        <v>3.2</v>
      </c>
      <c r="B76" s="221" t="s">
        <v>1092</v>
      </c>
      <c r="C76" s="222">
        <f>SUM(C77:C84)</f>
        <v>31196.5327</v>
      </c>
      <c r="D76" s="222">
        <v>32973.187353707799</v>
      </c>
      <c r="E76" s="222">
        <v>28491.1669</v>
      </c>
      <c r="F76" s="222">
        <f>SUM(F77:F84)</f>
        <v>1776.6546537077993</v>
      </c>
      <c r="G76" s="232"/>
    </row>
    <row r="77" spans="1:7" ht="16.5" customHeight="1" outlineLevel="2">
      <c r="A77" s="214" t="s">
        <v>1382</v>
      </c>
      <c r="B77" s="217" t="s">
        <v>1383</v>
      </c>
      <c r="C77" s="216">
        <f>成本明细!E258</f>
        <v>22311.427500000002</v>
      </c>
      <c r="D77" s="216">
        <v>23739.602181709401</v>
      </c>
      <c r="E77" s="216">
        <v>23520.0072</v>
      </c>
      <c r="F77" s="216">
        <f t="shared" si="13"/>
        <v>1428.174681709399</v>
      </c>
      <c r="G77" s="230" t="s">
        <v>1384</v>
      </c>
    </row>
    <row r="78" spans="1:7" ht="16.5" customHeight="1" outlineLevel="2">
      <c r="A78" s="214" t="s">
        <v>1385</v>
      </c>
      <c r="B78" s="217" t="s">
        <v>1123</v>
      </c>
      <c r="C78" s="216">
        <f>成本明细!E266</f>
        <v>0</v>
      </c>
      <c r="D78" s="216">
        <v>338.54020018</v>
      </c>
      <c r="E78" s="216">
        <v>14.901400000000001</v>
      </c>
      <c r="F78" s="216">
        <f t="shared" si="13"/>
        <v>338.54020018</v>
      </c>
      <c r="G78" s="230" t="s">
        <v>1386</v>
      </c>
    </row>
    <row r="79" spans="1:7" ht="16.5" customHeight="1" outlineLevel="2">
      <c r="A79" s="214" t="s">
        <v>1387</v>
      </c>
      <c r="B79" s="215" t="s">
        <v>1388</v>
      </c>
      <c r="C79" s="216">
        <f>成本明细!E270</f>
        <v>411.1046</v>
      </c>
      <c r="D79" s="216">
        <v>421.04436900000002</v>
      </c>
      <c r="E79" s="216">
        <v>421.04739999999998</v>
      </c>
      <c r="F79" s="216">
        <f t="shared" si="13"/>
        <v>9.9397690000000125</v>
      </c>
      <c r="G79" s="230" t="s">
        <v>1389</v>
      </c>
    </row>
    <row r="80" spans="1:7" ht="16.5" customHeight="1" outlineLevel="2">
      <c r="A80" s="214" t="s">
        <v>1390</v>
      </c>
      <c r="B80" s="215" t="s">
        <v>1391</v>
      </c>
      <c r="C80" s="216">
        <f>成本明细!E274</f>
        <v>6308.5837000000001</v>
      </c>
      <c r="D80" s="216">
        <v>6308.5836811536001</v>
      </c>
      <c r="E80" s="216">
        <v>3443.8905</v>
      </c>
      <c r="F80" s="216">
        <f t="shared" si="13"/>
        <v>-1.8846400053007528E-5</v>
      </c>
      <c r="G80" s="230"/>
    </row>
    <row r="81" spans="1:7" ht="16.5" customHeight="1" outlineLevel="2">
      <c r="A81" s="214" t="s">
        <v>1392</v>
      </c>
      <c r="B81" s="215" t="s">
        <v>1393</v>
      </c>
      <c r="C81" s="216">
        <f>成本明细!E279</f>
        <v>1263.4931999999999</v>
      </c>
      <c r="D81" s="216">
        <v>1263.4932416648001</v>
      </c>
      <c r="E81" s="216">
        <v>680.13869999999997</v>
      </c>
      <c r="F81" s="216">
        <f t="shared" si="13"/>
        <v>4.166480016465357E-5</v>
      </c>
      <c r="G81" s="230"/>
    </row>
    <row r="82" spans="1:7" ht="16.5" customHeight="1" outlineLevel="2">
      <c r="A82" s="214" t="s">
        <v>1394</v>
      </c>
      <c r="B82" s="215" t="s">
        <v>1395</v>
      </c>
      <c r="C82" s="216">
        <f>成本明细!E282</f>
        <v>46.870800000000003</v>
      </c>
      <c r="D82" s="216">
        <v>46.870800000000003</v>
      </c>
      <c r="E82" s="216">
        <v>1.2235</v>
      </c>
      <c r="F82" s="216">
        <f t="shared" si="13"/>
        <v>0</v>
      </c>
      <c r="G82" s="230"/>
    </row>
    <row r="83" spans="1:7" ht="16.5" customHeight="1" outlineLevel="2">
      <c r="A83" s="214" t="s">
        <v>1396</v>
      </c>
      <c r="B83" s="215" t="s">
        <v>1397</v>
      </c>
      <c r="C83" s="216">
        <f>成本明细!E285</f>
        <v>389.6</v>
      </c>
      <c r="D83" s="216">
        <v>389.6</v>
      </c>
      <c r="E83" s="216">
        <v>204.95820000000001</v>
      </c>
      <c r="F83" s="216">
        <f t="shared" si="13"/>
        <v>0</v>
      </c>
      <c r="G83" s="230"/>
    </row>
    <row r="84" spans="1:7" ht="16.5" customHeight="1" outlineLevel="2">
      <c r="A84" s="214" t="s">
        <v>1398</v>
      </c>
      <c r="B84" s="215" t="s">
        <v>1399</v>
      </c>
      <c r="C84" s="216">
        <f>成本明细!E292</f>
        <v>465.4529</v>
      </c>
      <c r="D84" s="216">
        <v>465.45287999999999</v>
      </c>
      <c r="E84" s="216">
        <v>205</v>
      </c>
      <c r="F84" s="216">
        <f t="shared" si="13"/>
        <v>-2.0000000006348273E-5</v>
      </c>
      <c r="G84" s="230"/>
    </row>
    <row r="85" spans="1:7" ht="16.5" customHeight="1" outlineLevel="1">
      <c r="A85" s="220">
        <v>3.3</v>
      </c>
      <c r="B85" s="221" t="s">
        <v>1400</v>
      </c>
      <c r="C85" s="222">
        <f>SUM(C86:C93)</f>
        <v>1174.7043000000001</v>
      </c>
      <c r="D85" s="222">
        <v>1174.7043200000001</v>
      </c>
      <c r="E85" s="222">
        <v>104.31959999999999</v>
      </c>
      <c r="F85" s="222">
        <f t="shared" ref="F85" si="14">SUM(F86:F93)</f>
        <v>1.9999999977926564E-5</v>
      </c>
      <c r="G85" s="232"/>
    </row>
    <row r="86" spans="1:7" ht="16.5" customHeight="1" outlineLevel="2">
      <c r="A86" s="214" t="s">
        <v>1401</v>
      </c>
      <c r="B86" s="215" t="s">
        <v>1106</v>
      </c>
      <c r="C86" s="216">
        <f>成本明细!E298</f>
        <v>27</v>
      </c>
      <c r="D86" s="216">
        <v>27</v>
      </c>
      <c r="E86" s="216">
        <v>0</v>
      </c>
      <c r="F86" s="216">
        <f t="shared" si="13"/>
        <v>0</v>
      </c>
      <c r="G86" s="230"/>
    </row>
    <row r="87" spans="1:7" ht="16.5" customHeight="1" outlineLevel="2">
      <c r="A87" s="214" t="s">
        <v>1402</v>
      </c>
      <c r="B87" s="215" t="s">
        <v>1403</v>
      </c>
      <c r="C87" s="216">
        <f>成本明细!E301</f>
        <v>174.9</v>
      </c>
      <c r="D87" s="216">
        <v>174.9</v>
      </c>
      <c r="E87" s="216">
        <v>51.3</v>
      </c>
      <c r="F87" s="216">
        <f t="shared" si="13"/>
        <v>0</v>
      </c>
      <c r="G87" s="230"/>
    </row>
    <row r="88" spans="1:7" ht="16.5" customHeight="1" outlineLevel="2">
      <c r="A88" s="214" t="s">
        <v>1404</v>
      </c>
      <c r="B88" s="215" t="s">
        <v>1405</v>
      </c>
      <c r="C88" s="216">
        <f>成本明细!E304</f>
        <v>253.36060000000001</v>
      </c>
      <c r="D88" s="216">
        <v>253.36063999999999</v>
      </c>
      <c r="E88" s="216">
        <v>0</v>
      </c>
      <c r="F88" s="216">
        <f t="shared" si="13"/>
        <v>3.9999999984274837E-5</v>
      </c>
      <c r="G88" s="230"/>
    </row>
    <row r="89" spans="1:7" ht="16.5" customHeight="1" outlineLevel="2">
      <c r="A89" s="214" t="s">
        <v>1406</v>
      </c>
      <c r="B89" s="215" t="s">
        <v>1407</v>
      </c>
      <c r="C89" s="216">
        <f>成本明细!E307</f>
        <v>217</v>
      </c>
      <c r="D89" s="216">
        <v>217</v>
      </c>
      <c r="E89" s="216">
        <v>0</v>
      </c>
      <c r="F89" s="216">
        <f t="shared" si="13"/>
        <v>0</v>
      </c>
      <c r="G89" s="230"/>
    </row>
    <row r="90" spans="1:7" ht="16.5" customHeight="1" outlineLevel="2">
      <c r="A90" s="214" t="s">
        <v>1408</v>
      </c>
      <c r="B90" s="215" t="s">
        <v>1409</v>
      </c>
      <c r="C90" s="216">
        <f>成本明细!E310</f>
        <v>53.118400000000001</v>
      </c>
      <c r="D90" s="216">
        <v>53.118400000000001</v>
      </c>
      <c r="E90" s="216">
        <v>53.019599999999997</v>
      </c>
      <c r="F90" s="216">
        <f t="shared" si="13"/>
        <v>0</v>
      </c>
      <c r="G90" s="230"/>
    </row>
    <row r="91" spans="1:7" ht="16.5" customHeight="1" outlineLevel="2">
      <c r="A91" s="214" t="s">
        <v>1410</v>
      </c>
      <c r="B91" s="235" t="s">
        <v>1411</v>
      </c>
      <c r="C91" s="216">
        <f>成本明细!E313</f>
        <v>0</v>
      </c>
      <c r="D91" s="216">
        <v>0</v>
      </c>
      <c r="E91" s="216">
        <v>0</v>
      </c>
      <c r="F91" s="216">
        <f t="shared" si="13"/>
        <v>0</v>
      </c>
      <c r="G91" s="230" t="s">
        <v>1412</v>
      </c>
    </row>
    <row r="92" spans="1:7" ht="16.5" customHeight="1" outlineLevel="2">
      <c r="A92" s="214" t="s">
        <v>1413</v>
      </c>
      <c r="B92" s="215" t="s">
        <v>1414</v>
      </c>
      <c r="C92" s="216">
        <f>成本明细!E316</f>
        <v>150.08000000000001</v>
      </c>
      <c r="D92" s="216">
        <v>150.08000000000001</v>
      </c>
      <c r="E92" s="216">
        <v>0</v>
      </c>
      <c r="F92" s="216">
        <f t="shared" si="13"/>
        <v>0</v>
      </c>
      <c r="G92" s="230"/>
    </row>
    <row r="93" spans="1:7" ht="16.5" customHeight="1" outlineLevel="2">
      <c r="A93" s="214" t="s">
        <v>1415</v>
      </c>
      <c r="B93" s="215" t="s">
        <v>1416</v>
      </c>
      <c r="C93" s="216">
        <f>成本明细!E319</f>
        <v>299.24529999999999</v>
      </c>
      <c r="D93" s="216">
        <v>299.24527999999998</v>
      </c>
      <c r="E93" s="216">
        <v>0</v>
      </c>
      <c r="F93" s="216">
        <f t="shared" si="13"/>
        <v>-2.0000000006348273E-5</v>
      </c>
      <c r="G93" s="230"/>
    </row>
    <row r="94" spans="1:7" ht="16.5" customHeight="1" outlineLevel="1">
      <c r="A94" s="220">
        <v>3.4</v>
      </c>
      <c r="B94" s="221" t="s">
        <v>1128</v>
      </c>
      <c r="C94" s="222">
        <f>SUM(C95:C97)</f>
        <v>5021.1818999999996</v>
      </c>
      <c r="D94" s="222">
        <v>5410.2420821262003</v>
      </c>
      <c r="E94" s="222">
        <v>2538.9866999999999</v>
      </c>
      <c r="F94" s="222">
        <f t="shared" ref="F94" si="15">SUM(F95:F97)</f>
        <v>389.06018212619983</v>
      </c>
      <c r="G94" s="232"/>
    </row>
    <row r="95" spans="1:7" ht="18.75" customHeight="1" outlineLevel="2">
      <c r="A95" s="214" t="s">
        <v>1417</v>
      </c>
      <c r="B95" s="217" t="s">
        <v>1418</v>
      </c>
      <c r="C95" s="216">
        <f>成本明细!E323</f>
        <v>3607.2791999999999</v>
      </c>
      <c r="D95" s="216">
        <v>4120.7898232367997</v>
      </c>
      <c r="E95" s="216">
        <v>1320.7901999999999</v>
      </c>
      <c r="F95" s="216">
        <f t="shared" si="13"/>
        <v>513.5106232367998</v>
      </c>
      <c r="G95" s="230" t="s">
        <v>1419</v>
      </c>
    </row>
    <row r="96" spans="1:7" ht="16.5" customHeight="1" outlineLevel="2">
      <c r="A96" s="214" t="s">
        <v>1420</v>
      </c>
      <c r="B96" s="215" t="s">
        <v>1421</v>
      </c>
      <c r="C96" s="216">
        <f>成本明细!E328</f>
        <v>1092.6505999999999</v>
      </c>
      <c r="D96" s="216">
        <v>968.20017200999996</v>
      </c>
      <c r="E96" s="216">
        <v>908.19650000000001</v>
      </c>
      <c r="F96" s="216">
        <f t="shared" si="13"/>
        <v>-124.45042798999998</v>
      </c>
      <c r="G96" s="230" t="s">
        <v>1422</v>
      </c>
    </row>
    <row r="97" spans="1:7" ht="16.5" customHeight="1" outlineLevel="2">
      <c r="A97" s="214" t="s">
        <v>1423</v>
      </c>
      <c r="B97" s="215" t="s">
        <v>719</v>
      </c>
      <c r="C97" s="216">
        <f>成本明细!E333</f>
        <v>321.25209999999998</v>
      </c>
      <c r="D97" s="216">
        <v>321.2520868794</v>
      </c>
      <c r="E97" s="216">
        <v>310</v>
      </c>
      <c r="F97" s="216">
        <f t="shared" si="13"/>
        <v>-1.3120599987814785E-5</v>
      </c>
      <c r="G97" s="230"/>
    </row>
    <row r="98" spans="1:7" ht="16.5" customHeight="1" outlineLevel="1">
      <c r="A98" s="220">
        <v>3.5</v>
      </c>
      <c r="B98" s="221" t="s">
        <v>1424</v>
      </c>
      <c r="C98" s="222">
        <f>SUM(C99:C100)</f>
        <v>276.07889999999998</v>
      </c>
      <c r="D98" s="222">
        <v>276.07890600000002</v>
      </c>
      <c r="E98" s="222">
        <v>257.12569999999999</v>
      </c>
      <c r="F98" s="222">
        <f t="shared" ref="F98" si="16">SUM(F99:F100)</f>
        <v>6.0000000416948751E-6</v>
      </c>
      <c r="G98" s="232"/>
    </row>
    <row r="99" spans="1:7" ht="16.5" customHeight="1" outlineLevel="2">
      <c r="A99" s="214" t="s">
        <v>1425</v>
      </c>
      <c r="B99" s="215" t="s">
        <v>1082</v>
      </c>
      <c r="C99" s="216">
        <f>成本明细!E338</f>
        <v>258.07889999999998</v>
      </c>
      <c r="D99" s="216">
        <v>258.07890600000002</v>
      </c>
      <c r="E99" s="216">
        <v>257.12569999999999</v>
      </c>
      <c r="F99" s="216">
        <f t="shared" si="13"/>
        <v>6.0000000416948751E-6</v>
      </c>
      <c r="G99" s="230"/>
    </row>
    <row r="100" spans="1:7" ht="16.5" customHeight="1" outlineLevel="2">
      <c r="A100" s="214" t="s">
        <v>1426</v>
      </c>
      <c r="B100" s="215" t="s">
        <v>1427</v>
      </c>
      <c r="C100" s="216">
        <f>成本明细!E340</f>
        <v>18</v>
      </c>
      <c r="D100" s="216">
        <v>18</v>
      </c>
      <c r="E100" s="216">
        <v>0</v>
      </c>
      <c r="F100" s="216">
        <f t="shared" si="13"/>
        <v>0</v>
      </c>
      <c r="G100" s="230"/>
    </row>
    <row r="101" spans="1:7" ht="16.5" customHeight="1" outlineLevel="1">
      <c r="A101" s="220">
        <v>3.6</v>
      </c>
      <c r="B101" s="221" t="s">
        <v>1428</v>
      </c>
      <c r="C101" s="222">
        <f>成本明细!E344</f>
        <v>113.76130000000001</v>
      </c>
      <c r="D101" s="222">
        <v>299.996572291456</v>
      </c>
      <c r="E101" s="222">
        <v>0</v>
      </c>
      <c r="F101" s="222">
        <f t="shared" si="13"/>
        <v>186.235272291456</v>
      </c>
      <c r="G101" s="232" t="s">
        <v>1429</v>
      </c>
    </row>
    <row r="102" spans="1:7" ht="16.5" customHeight="1">
      <c r="A102" s="211" t="s">
        <v>1132</v>
      </c>
      <c r="B102" s="212" t="s">
        <v>973</v>
      </c>
      <c r="C102" s="213">
        <f>C103+C111+C121+C126+C129+C133+C140+C144+C148</f>
        <v>6779.9151999999985</v>
      </c>
      <c r="D102" s="213">
        <v>6905.5237545263999</v>
      </c>
      <c r="E102" s="213">
        <v>4192.1717230000004</v>
      </c>
      <c r="F102" s="213">
        <f t="shared" ref="F102" si="17">F103+F111+F121+F126+F129+F133+F140+F144+F148</f>
        <v>125.6085545264</v>
      </c>
      <c r="G102" s="228"/>
    </row>
    <row r="103" spans="1:7" ht="16.5" customHeight="1" outlineLevel="1">
      <c r="A103" s="220">
        <v>4.0999999999999996</v>
      </c>
      <c r="B103" s="221" t="s">
        <v>1134</v>
      </c>
      <c r="C103" s="222">
        <f>SUM(C104:C110)</f>
        <v>1602.2636</v>
      </c>
      <c r="D103" s="222">
        <v>1602.2636107999999</v>
      </c>
      <c r="E103" s="222">
        <v>700.67899999999997</v>
      </c>
      <c r="F103" s="222">
        <f t="shared" ref="F103" si="18">SUM(F104:F110)</f>
        <v>1.0800000039168367E-5</v>
      </c>
      <c r="G103" s="232"/>
    </row>
    <row r="104" spans="1:7" ht="16.5" customHeight="1" outlineLevel="2">
      <c r="A104" s="214" t="s">
        <v>1430</v>
      </c>
      <c r="B104" s="215" t="s">
        <v>1135</v>
      </c>
      <c r="C104" s="216">
        <f>成本明细!E351</f>
        <v>1240.6784</v>
      </c>
      <c r="D104" s="216">
        <v>1240.6784078000001</v>
      </c>
      <c r="E104" s="216">
        <v>666.09900000000005</v>
      </c>
      <c r="F104" s="216">
        <f t="shared" ref="F104:F151" si="19">D104-C104</f>
        <v>7.8000000485189958E-6</v>
      </c>
      <c r="G104" s="230"/>
    </row>
    <row r="105" spans="1:7" ht="16.5" customHeight="1" outlineLevel="2">
      <c r="A105" s="214" t="s">
        <v>1431</v>
      </c>
      <c r="B105" s="215" t="s">
        <v>1432</v>
      </c>
      <c r="C105" s="216">
        <f>成本明细!E354</f>
        <v>0</v>
      </c>
      <c r="D105" s="216">
        <v>0</v>
      </c>
      <c r="E105" s="216">
        <v>0</v>
      </c>
      <c r="F105" s="216">
        <f t="shared" si="19"/>
        <v>0</v>
      </c>
      <c r="G105" s="230"/>
    </row>
    <row r="106" spans="1:7" ht="16.5" customHeight="1" outlineLevel="2">
      <c r="A106" s="214" t="s">
        <v>1433</v>
      </c>
      <c r="B106" s="215" t="s">
        <v>1434</v>
      </c>
      <c r="C106" s="216">
        <f>成本明细!E357</f>
        <v>10.392799999999999</v>
      </c>
      <c r="D106" s="216">
        <v>10.392825</v>
      </c>
      <c r="E106" s="216">
        <v>0</v>
      </c>
      <c r="F106" s="216">
        <f t="shared" si="19"/>
        <v>2.5000000000829914E-5</v>
      </c>
      <c r="G106" s="230"/>
    </row>
    <row r="107" spans="1:7" ht="16.5" customHeight="1" outlineLevel="2">
      <c r="A107" s="214" t="s">
        <v>1435</v>
      </c>
      <c r="B107" s="215" t="s">
        <v>1436</v>
      </c>
      <c r="C107" s="216">
        <f>成本明细!E360</f>
        <v>13.7094</v>
      </c>
      <c r="D107" s="216">
        <v>13.709441999999999</v>
      </c>
      <c r="E107" s="216">
        <v>0</v>
      </c>
      <c r="F107" s="216">
        <f t="shared" si="19"/>
        <v>4.1999999998765247E-5</v>
      </c>
      <c r="G107" s="230"/>
    </row>
    <row r="108" spans="1:7" ht="16.5" customHeight="1" outlineLevel="2">
      <c r="A108" s="214" t="s">
        <v>1437</v>
      </c>
      <c r="B108" s="215" t="s">
        <v>1139</v>
      </c>
      <c r="C108" s="216">
        <f>成本明细!E363</f>
        <v>93.090599999999995</v>
      </c>
      <c r="D108" s="216">
        <v>93.090575999999999</v>
      </c>
      <c r="E108" s="216">
        <v>0</v>
      </c>
      <c r="F108" s="216">
        <f t="shared" si="19"/>
        <v>-2.3999999996249244E-5</v>
      </c>
      <c r="G108" s="230"/>
    </row>
    <row r="109" spans="1:7" ht="45" customHeight="1" outlineLevel="2">
      <c r="A109" s="214" t="s">
        <v>1438</v>
      </c>
      <c r="B109" s="215" t="s">
        <v>1439</v>
      </c>
      <c r="C109" s="216">
        <f>成本明细!E366</f>
        <v>46.545299999999997</v>
      </c>
      <c r="D109" s="216">
        <v>46.545287999999999</v>
      </c>
      <c r="E109" s="216">
        <v>34.58</v>
      </c>
      <c r="F109" s="216">
        <f t="shared" si="19"/>
        <v>-1.1999999998124622E-5</v>
      </c>
      <c r="G109" s="230"/>
    </row>
    <row r="110" spans="1:7" ht="16.5" customHeight="1" outlineLevel="2">
      <c r="A110" s="214" t="s">
        <v>1440</v>
      </c>
      <c r="B110" s="215" t="s">
        <v>1141</v>
      </c>
      <c r="C110" s="216">
        <f>成本明细!E370</f>
        <v>197.84710000000001</v>
      </c>
      <c r="D110" s="216">
        <v>197.847072</v>
      </c>
      <c r="E110" s="216">
        <v>0</v>
      </c>
      <c r="F110" s="216">
        <f t="shared" si="19"/>
        <v>-2.8000000014571924E-5</v>
      </c>
      <c r="G110" s="230"/>
    </row>
    <row r="111" spans="1:7" ht="16.5" customHeight="1" outlineLevel="1">
      <c r="A111" s="220">
        <v>4.2</v>
      </c>
      <c r="B111" s="221" t="s">
        <v>1441</v>
      </c>
      <c r="C111" s="222">
        <f>SUM(C112:C120)</f>
        <v>1056.3637000000001</v>
      </c>
      <c r="D111" s="222">
        <v>1056.3636383264</v>
      </c>
      <c r="E111" s="222">
        <v>640.32034599999997</v>
      </c>
      <c r="F111" s="222">
        <f t="shared" ref="F111" si="20">SUM(F112:F120)</f>
        <v>-6.1673600022515984E-5</v>
      </c>
      <c r="G111" s="232"/>
    </row>
    <row r="112" spans="1:7" ht="16.5" customHeight="1" outlineLevel="2">
      <c r="A112" s="214" t="s">
        <v>1442</v>
      </c>
      <c r="B112" s="215" t="s">
        <v>1143</v>
      </c>
      <c r="C112" s="216">
        <f>成本明细!E374</f>
        <v>371.68799999999999</v>
      </c>
      <c r="D112" s="216">
        <v>371.68800570000002</v>
      </c>
      <c r="E112" s="216">
        <v>188.894046</v>
      </c>
      <c r="F112" s="216">
        <f t="shared" si="19"/>
        <v>5.7000000310836185E-6</v>
      </c>
      <c r="G112" s="230"/>
    </row>
    <row r="113" spans="1:7" ht="16.5" customHeight="1" outlineLevel="2">
      <c r="A113" s="214" t="s">
        <v>1443</v>
      </c>
      <c r="B113" s="215" t="s">
        <v>1444</v>
      </c>
      <c r="C113" s="216">
        <f>成本明细!E377</f>
        <v>311.78480000000002</v>
      </c>
      <c r="D113" s="216">
        <v>311.78474999999997</v>
      </c>
      <c r="E113" s="216">
        <v>185.75</v>
      </c>
      <c r="F113" s="216">
        <f t="shared" si="19"/>
        <v>-5.0000000044292392E-5</v>
      </c>
      <c r="G113" s="230"/>
    </row>
    <row r="114" spans="1:7" ht="16.5" customHeight="1" outlineLevel="2">
      <c r="A114" s="214" t="s">
        <v>1445</v>
      </c>
      <c r="B114" s="215" t="s">
        <v>1446</v>
      </c>
      <c r="C114" s="216">
        <f>成本明细!E380</f>
        <v>95.015000000000001</v>
      </c>
      <c r="D114" s="216">
        <v>95.015000000000001</v>
      </c>
      <c r="E114" s="216">
        <v>56.575000000000003</v>
      </c>
      <c r="F114" s="216">
        <f t="shared" si="19"/>
        <v>0</v>
      </c>
      <c r="G114" s="230"/>
    </row>
    <row r="115" spans="1:7" ht="16.5" customHeight="1" outlineLevel="2">
      <c r="A115" s="214" t="s">
        <v>1447</v>
      </c>
      <c r="B115" s="215" t="s">
        <v>1448</v>
      </c>
      <c r="C115" s="216">
        <f>成本明细!E383</f>
        <v>51.964100000000002</v>
      </c>
      <c r="D115" s="216">
        <v>51.964125000000003</v>
      </c>
      <c r="E115" s="216">
        <v>25</v>
      </c>
      <c r="F115" s="216">
        <f t="shared" si="19"/>
        <v>2.5000000000829914E-5</v>
      </c>
      <c r="G115" s="230"/>
    </row>
    <row r="116" spans="1:7" ht="16.5" customHeight="1" outlineLevel="2">
      <c r="A116" s="214" t="s">
        <v>1449</v>
      </c>
      <c r="B116" s="215" t="s">
        <v>642</v>
      </c>
      <c r="C116" s="216">
        <f>成本明细!E386</f>
        <v>27.123100000000001</v>
      </c>
      <c r="D116" s="216">
        <v>27.1231029498</v>
      </c>
      <c r="E116" s="216">
        <v>27.123000000000001</v>
      </c>
      <c r="F116" s="216">
        <f t="shared" si="19"/>
        <v>2.9497999989303025E-6</v>
      </c>
      <c r="G116" s="230"/>
    </row>
    <row r="117" spans="1:7" ht="16.5" customHeight="1" outlineLevel="2">
      <c r="A117" s="214" t="s">
        <v>1450</v>
      </c>
      <c r="B117" s="215" t="s">
        <v>639</v>
      </c>
      <c r="C117" s="216">
        <f>成本明细!E390</f>
        <v>52.977800000000002</v>
      </c>
      <c r="D117" s="216">
        <v>52.977846801600002</v>
      </c>
      <c r="E117" s="216">
        <v>52.978299999999997</v>
      </c>
      <c r="F117" s="216">
        <f t="shared" si="19"/>
        <v>4.6801599999923837E-5</v>
      </c>
      <c r="G117" s="230"/>
    </row>
    <row r="118" spans="1:7" ht="16.5" customHeight="1" outlineLevel="2">
      <c r="A118" s="214" t="s">
        <v>1451</v>
      </c>
      <c r="B118" s="215" t="s">
        <v>1452</v>
      </c>
      <c r="C118" s="216">
        <f>成本明细!E393</f>
        <v>66.000100000000003</v>
      </c>
      <c r="D118" s="216">
        <v>66.000054751799993</v>
      </c>
      <c r="E118" s="216">
        <v>66</v>
      </c>
      <c r="F118" s="216">
        <f t="shared" si="19"/>
        <v>-4.5248200009950779E-5</v>
      </c>
      <c r="G118" s="230"/>
    </row>
    <row r="119" spans="1:7" ht="16.5" customHeight="1" outlineLevel="2">
      <c r="A119" s="214" t="s">
        <v>1453</v>
      </c>
      <c r="B119" s="215" t="s">
        <v>1454</v>
      </c>
      <c r="C119" s="216">
        <f>成本明细!E396</f>
        <v>37.999600000000001</v>
      </c>
      <c r="D119" s="216">
        <v>37.999573123200001</v>
      </c>
      <c r="E119" s="216">
        <v>38</v>
      </c>
      <c r="F119" s="216">
        <f t="shared" si="19"/>
        <v>-2.687679999979764E-5</v>
      </c>
      <c r="G119" s="230"/>
    </row>
    <row r="120" spans="1:7" ht="16.5" customHeight="1" outlineLevel="2">
      <c r="A120" s="214" t="s">
        <v>1455</v>
      </c>
      <c r="B120" s="215" t="s">
        <v>1456</v>
      </c>
      <c r="C120" s="216">
        <f>成本明细!E399</f>
        <v>41.811199999999999</v>
      </c>
      <c r="D120" s="216">
        <v>41.81118</v>
      </c>
      <c r="E120" s="216">
        <v>0</v>
      </c>
      <c r="F120" s="216">
        <f t="shared" si="19"/>
        <v>-1.9999999999242846E-5</v>
      </c>
      <c r="G120" s="230"/>
    </row>
    <row r="121" spans="1:7" ht="16.5" customHeight="1" outlineLevel="1">
      <c r="A121" s="220">
        <v>4.3</v>
      </c>
      <c r="B121" s="221" t="s">
        <v>1457</v>
      </c>
      <c r="C121" s="222">
        <f>SUM(C122:C125)</f>
        <v>603.73799999999994</v>
      </c>
      <c r="D121" s="222">
        <v>603.73795670000004</v>
      </c>
      <c r="E121" s="222">
        <v>302.67500000000001</v>
      </c>
      <c r="F121" s="222">
        <f t="shared" ref="F121" si="21">SUM(F122:F125)</f>
        <v>-4.3300000008628103E-5</v>
      </c>
      <c r="G121" s="232"/>
    </row>
    <row r="122" spans="1:7" ht="16.5" customHeight="1" outlineLevel="2">
      <c r="A122" s="214" t="s">
        <v>1458</v>
      </c>
      <c r="B122" s="215" t="s">
        <v>1459</v>
      </c>
      <c r="C122" s="216">
        <f>成本明细!E404</f>
        <v>259.05529999999999</v>
      </c>
      <c r="D122" s="216">
        <v>259.05527669999998</v>
      </c>
      <c r="E122" s="216">
        <v>131.6</v>
      </c>
      <c r="F122" s="216">
        <f t="shared" si="19"/>
        <v>-2.3300000009385258E-5</v>
      </c>
      <c r="G122" s="230"/>
    </row>
    <row r="123" spans="1:7" ht="16.5" customHeight="1" outlineLevel="2">
      <c r="A123" s="214" t="s">
        <v>1460</v>
      </c>
      <c r="B123" s="215" t="s">
        <v>1461</v>
      </c>
      <c r="C123" s="216">
        <f>成本明细!E407</f>
        <v>207.85650000000001</v>
      </c>
      <c r="D123" s="216">
        <v>207.85650000000001</v>
      </c>
      <c r="E123" s="216">
        <v>114.5</v>
      </c>
      <c r="F123" s="216">
        <f t="shared" si="19"/>
        <v>0</v>
      </c>
      <c r="G123" s="230"/>
    </row>
    <row r="124" spans="1:7" ht="16.5" customHeight="1" outlineLevel="2">
      <c r="A124" s="214" t="s">
        <v>1462</v>
      </c>
      <c r="B124" s="215" t="s">
        <v>1446</v>
      </c>
      <c r="C124" s="216">
        <f>成本明细!E410</f>
        <v>95.015000000000001</v>
      </c>
      <c r="D124" s="216">
        <v>95.015000000000001</v>
      </c>
      <c r="E124" s="216">
        <v>56.575000000000003</v>
      </c>
      <c r="F124" s="216">
        <f t="shared" si="19"/>
        <v>0</v>
      </c>
      <c r="G124" s="230"/>
    </row>
    <row r="125" spans="1:7" ht="16.5" customHeight="1" outlineLevel="2">
      <c r="A125" s="214" t="s">
        <v>1463</v>
      </c>
      <c r="B125" s="215" t="s">
        <v>1456</v>
      </c>
      <c r="C125" s="216">
        <f>成本明细!E413</f>
        <v>41.811199999999999</v>
      </c>
      <c r="D125" s="216">
        <v>41.81118</v>
      </c>
      <c r="E125" s="216">
        <v>0</v>
      </c>
      <c r="F125" s="216">
        <f t="shared" si="19"/>
        <v>-1.9999999999242846E-5</v>
      </c>
      <c r="G125" s="230"/>
    </row>
    <row r="126" spans="1:7" ht="16.5" customHeight="1" outlineLevel="1">
      <c r="A126" s="220">
        <v>4.4000000000000004</v>
      </c>
      <c r="B126" s="221" t="s">
        <v>1159</v>
      </c>
      <c r="C126" s="222">
        <f>SUM(C127:C128)</f>
        <v>623.56949999999995</v>
      </c>
      <c r="D126" s="222">
        <v>623.56949999999995</v>
      </c>
      <c r="E126" s="222">
        <v>335.88299999999998</v>
      </c>
      <c r="F126" s="222">
        <f t="shared" ref="F126" si="22">SUM(F127:F128)</f>
        <v>0</v>
      </c>
      <c r="G126" s="232"/>
    </row>
    <row r="127" spans="1:7" ht="16.5" customHeight="1" outlineLevel="2">
      <c r="A127" s="214" t="s">
        <v>1464</v>
      </c>
      <c r="B127" s="215" t="s">
        <v>1160</v>
      </c>
      <c r="C127" s="216">
        <f>成本明细!E417</f>
        <v>623.56949999999995</v>
      </c>
      <c r="D127" s="216">
        <v>623.56949999999995</v>
      </c>
      <c r="E127" s="216">
        <v>335.88299999999998</v>
      </c>
      <c r="F127" s="216">
        <f t="shared" si="19"/>
        <v>0</v>
      </c>
      <c r="G127" s="230"/>
    </row>
    <row r="128" spans="1:7" ht="16.5" customHeight="1" outlineLevel="2">
      <c r="A128" s="214" t="s">
        <v>1465</v>
      </c>
      <c r="B128" s="215" t="s">
        <v>1161</v>
      </c>
      <c r="C128" s="216">
        <f>成本明细!E422</f>
        <v>0</v>
      </c>
      <c r="D128" s="216">
        <v>0</v>
      </c>
      <c r="E128" s="216">
        <v>0</v>
      </c>
      <c r="F128" s="216">
        <f t="shared" si="19"/>
        <v>0</v>
      </c>
      <c r="G128" s="230"/>
    </row>
    <row r="129" spans="1:7" ht="16.5" customHeight="1" outlineLevel="1">
      <c r="A129" s="220">
        <v>4.5</v>
      </c>
      <c r="B129" s="221" t="s">
        <v>1154</v>
      </c>
      <c r="C129" s="222">
        <f>SUM(C130:C132)</f>
        <v>1760.8277</v>
      </c>
      <c r="D129" s="222">
        <v>1760.827648</v>
      </c>
      <c r="E129" s="222">
        <v>1727.5215969999999</v>
      </c>
      <c r="F129" s="222">
        <f t="shared" ref="F129" si="23">SUM(F130:F132)</f>
        <v>-5.1999999982399459E-5</v>
      </c>
      <c r="G129" s="232"/>
    </row>
    <row r="130" spans="1:7" ht="16.5" customHeight="1" outlineLevel="2">
      <c r="A130" s="214" t="s">
        <v>1466</v>
      </c>
      <c r="B130" s="215" t="s">
        <v>1467</v>
      </c>
      <c r="C130" s="216">
        <f>成本明细!E426</f>
        <v>1326.4929</v>
      </c>
      <c r="D130" s="216">
        <v>1326.492898</v>
      </c>
      <c r="E130" s="216">
        <v>1325.2746239999999</v>
      </c>
      <c r="F130" s="216">
        <f t="shared" si="19"/>
        <v>-1.9999999949504854E-6</v>
      </c>
      <c r="G130" s="230"/>
    </row>
    <row r="131" spans="1:7" ht="16.5" customHeight="1" outlineLevel="2">
      <c r="A131" s="214" t="s">
        <v>1468</v>
      </c>
      <c r="B131" s="215" t="s">
        <v>1156</v>
      </c>
      <c r="C131" s="216">
        <f>成本明细!E429</f>
        <v>319.39479999999998</v>
      </c>
      <c r="D131" s="216">
        <v>319.39474999999999</v>
      </c>
      <c r="E131" s="216">
        <v>287.30697300000003</v>
      </c>
      <c r="F131" s="216">
        <f t="shared" si="19"/>
        <v>-4.9999999987448973E-5</v>
      </c>
      <c r="G131" s="230"/>
    </row>
    <row r="132" spans="1:7" ht="16.5" customHeight="1" outlineLevel="2">
      <c r="A132" s="214" t="s">
        <v>1469</v>
      </c>
      <c r="B132" s="215" t="s">
        <v>1157</v>
      </c>
      <c r="C132" s="216">
        <f>成本明细!E432</f>
        <v>114.94</v>
      </c>
      <c r="D132" s="216">
        <v>114.94</v>
      </c>
      <c r="E132" s="216">
        <v>114.94</v>
      </c>
      <c r="F132" s="216">
        <f t="shared" si="19"/>
        <v>0</v>
      </c>
      <c r="G132" s="230"/>
    </row>
    <row r="133" spans="1:7" ht="16.5" customHeight="1" outlineLevel="1">
      <c r="A133" s="220">
        <v>4.5999999999999996</v>
      </c>
      <c r="B133" s="221" t="s">
        <v>1147</v>
      </c>
      <c r="C133" s="222">
        <f>SUM(C134:C139)</f>
        <v>790.33480000000009</v>
      </c>
      <c r="D133" s="222">
        <v>771.89919269999996</v>
      </c>
      <c r="E133" s="222">
        <v>430.10278</v>
      </c>
      <c r="F133" s="222">
        <f t="shared" ref="F133" si="24">SUM(F134:F139)</f>
        <v>-18.435607299999994</v>
      </c>
      <c r="G133" s="232"/>
    </row>
    <row r="134" spans="1:7" ht="16.5" customHeight="1" outlineLevel="2">
      <c r="A134" s="214" t="s">
        <v>1470</v>
      </c>
      <c r="B134" s="215" t="s">
        <v>1471</v>
      </c>
      <c r="C134" s="216">
        <f>成本明细!E436</f>
        <v>228.28550000000001</v>
      </c>
      <c r="D134" s="216">
        <v>228.28545800000001</v>
      </c>
      <c r="E134" s="216">
        <v>187.06358</v>
      </c>
      <c r="F134" s="216">
        <f t="shared" si="19"/>
        <v>-4.2000000007647031E-5</v>
      </c>
      <c r="G134" s="230"/>
    </row>
    <row r="135" spans="1:7" ht="16.5" customHeight="1" outlineLevel="2">
      <c r="A135" s="214" t="s">
        <v>1472</v>
      </c>
      <c r="B135" s="215" t="s">
        <v>1148</v>
      </c>
      <c r="C135" s="216">
        <f>成本明细!E440</f>
        <v>482.18869999999998</v>
      </c>
      <c r="D135" s="216">
        <v>482.1887347</v>
      </c>
      <c r="E135" s="216">
        <v>243.03919999999999</v>
      </c>
      <c r="F135" s="216">
        <f t="shared" si="19"/>
        <v>3.4700000014709076E-5</v>
      </c>
      <c r="G135" s="230"/>
    </row>
    <row r="136" spans="1:7" ht="16.5" customHeight="1" outlineLevel="2">
      <c r="A136" s="214" t="s">
        <v>1473</v>
      </c>
      <c r="B136" s="215" t="s">
        <v>1474</v>
      </c>
      <c r="C136" s="216">
        <f>成本明细!E443</f>
        <v>18.435600000000001</v>
      </c>
      <c r="D136" s="216">
        <v>0</v>
      </c>
      <c r="E136" s="216">
        <v>0</v>
      </c>
      <c r="F136" s="216">
        <f t="shared" si="19"/>
        <v>-18.435600000000001</v>
      </c>
      <c r="G136" s="230" t="s">
        <v>1475</v>
      </c>
    </row>
    <row r="137" spans="1:7" ht="16.5" customHeight="1" outlineLevel="2">
      <c r="A137" s="214" t="s">
        <v>1476</v>
      </c>
      <c r="B137" s="215" t="s">
        <v>1477</v>
      </c>
      <c r="C137" s="216">
        <f>成本明细!E446</f>
        <v>29.25</v>
      </c>
      <c r="D137" s="216">
        <v>29.25</v>
      </c>
      <c r="E137" s="216">
        <v>0</v>
      </c>
      <c r="F137" s="216">
        <f t="shared" si="19"/>
        <v>0</v>
      </c>
      <c r="G137" s="230"/>
    </row>
    <row r="138" spans="1:7" ht="16.5" customHeight="1" outlineLevel="2">
      <c r="A138" s="214" t="s">
        <v>1478</v>
      </c>
      <c r="B138" s="215" t="s">
        <v>1479</v>
      </c>
      <c r="C138" s="216">
        <f>成本明细!E449</f>
        <v>26.324999999999999</v>
      </c>
      <c r="D138" s="216">
        <v>26.324999999999999</v>
      </c>
      <c r="E138" s="216">
        <v>0</v>
      </c>
      <c r="F138" s="216">
        <f t="shared" si="19"/>
        <v>0</v>
      </c>
      <c r="G138" s="230"/>
    </row>
    <row r="139" spans="1:7" ht="16.5" customHeight="1" outlineLevel="2">
      <c r="A139" s="214" t="s">
        <v>1480</v>
      </c>
      <c r="B139" s="215" t="s">
        <v>1153</v>
      </c>
      <c r="C139" s="216">
        <f>成本明细!E452</f>
        <v>5.85</v>
      </c>
      <c r="D139" s="216">
        <v>5.85</v>
      </c>
      <c r="E139" s="216">
        <v>0</v>
      </c>
      <c r="F139" s="216">
        <f t="shared" si="19"/>
        <v>0</v>
      </c>
      <c r="G139" s="230"/>
    </row>
    <row r="140" spans="1:7" ht="16.5" customHeight="1" outlineLevel="1">
      <c r="A140" s="220">
        <v>4.7</v>
      </c>
      <c r="B140" s="221" t="s">
        <v>1162</v>
      </c>
      <c r="C140" s="222">
        <f>SUM(C141:C143)</f>
        <v>65.409499999999994</v>
      </c>
      <c r="D140" s="222">
        <v>174.54482999999999</v>
      </c>
      <c r="E140" s="222">
        <v>54.99</v>
      </c>
      <c r="F140" s="222">
        <f t="shared" ref="F140" si="25">SUM(F141:F143)</f>
        <v>109.13533</v>
      </c>
      <c r="G140" s="232"/>
    </row>
    <row r="141" spans="1:7" ht="16.5" customHeight="1" outlineLevel="2">
      <c r="A141" s="214" t="s">
        <v>1481</v>
      </c>
      <c r="B141" s="215" t="s">
        <v>1163</v>
      </c>
      <c r="C141" s="216">
        <f>成本明细!E456</f>
        <v>34.902999999999999</v>
      </c>
      <c r="D141" s="216">
        <v>0</v>
      </c>
      <c r="E141" s="216">
        <v>0</v>
      </c>
      <c r="F141" s="216">
        <f t="shared" si="19"/>
        <v>-34.902999999999999</v>
      </c>
      <c r="G141" s="801" t="s">
        <v>1482</v>
      </c>
    </row>
    <row r="142" spans="1:7" ht="16.5" customHeight="1" outlineLevel="2">
      <c r="A142" s="214" t="s">
        <v>1483</v>
      </c>
      <c r="B142" s="215" t="s">
        <v>1164</v>
      </c>
      <c r="C142" s="216">
        <f>成本明细!E459</f>
        <v>30.506499999999999</v>
      </c>
      <c r="D142" s="216">
        <v>0</v>
      </c>
      <c r="E142" s="216">
        <v>0</v>
      </c>
      <c r="F142" s="216">
        <f t="shared" si="19"/>
        <v>-30.506499999999999</v>
      </c>
      <c r="G142" s="802"/>
    </row>
    <row r="143" spans="1:7" ht="16.5" customHeight="1" outlineLevel="2">
      <c r="A143" s="214" t="s">
        <v>1484</v>
      </c>
      <c r="B143" s="215" t="s">
        <v>1485</v>
      </c>
      <c r="C143" s="216">
        <f>成本明细!E462</f>
        <v>0</v>
      </c>
      <c r="D143" s="216">
        <v>174.54482999999999</v>
      </c>
      <c r="E143" s="216">
        <v>54.99</v>
      </c>
      <c r="F143" s="216">
        <f t="shared" si="19"/>
        <v>174.54482999999999</v>
      </c>
      <c r="G143" s="230" t="s">
        <v>1486</v>
      </c>
    </row>
    <row r="144" spans="1:7" ht="16.5" customHeight="1" outlineLevel="1">
      <c r="A144" s="220">
        <v>4.8</v>
      </c>
      <c r="B144" s="221" t="s">
        <v>1487</v>
      </c>
      <c r="C144" s="222">
        <f>SUM(C145:C147)</f>
        <v>244.36270000000002</v>
      </c>
      <c r="D144" s="222">
        <v>244.362762</v>
      </c>
      <c r="E144" s="222">
        <v>0</v>
      </c>
      <c r="F144" s="222">
        <f t="shared" ref="F144" si="26">SUM(F145:F147)</f>
        <v>6.1999999976691811E-5</v>
      </c>
      <c r="G144" s="232"/>
    </row>
    <row r="145" spans="1:7" ht="16.5" customHeight="1" outlineLevel="2">
      <c r="A145" s="214" t="s">
        <v>1488</v>
      </c>
      <c r="B145" s="215" t="s">
        <v>1489</v>
      </c>
      <c r="C145" s="216">
        <f>成本明细!E467</f>
        <v>58.181600000000003</v>
      </c>
      <c r="D145" s="216">
        <v>58.181609999999999</v>
      </c>
      <c r="E145" s="216">
        <v>0</v>
      </c>
      <c r="F145" s="216">
        <f t="shared" si="19"/>
        <v>9.9999999960687092E-6</v>
      </c>
      <c r="G145" s="230"/>
    </row>
    <row r="146" spans="1:7" ht="16.5" customHeight="1" outlineLevel="2">
      <c r="A146" s="214" t="s">
        <v>1490</v>
      </c>
      <c r="B146" s="215" t="s">
        <v>1491</v>
      </c>
      <c r="C146" s="216">
        <f>成本明细!E470</f>
        <v>174.54480000000001</v>
      </c>
      <c r="D146" s="216">
        <v>174.54482999999999</v>
      </c>
      <c r="E146" s="216">
        <v>0</v>
      </c>
      <c r="F146" s="216">
        <f t="shared" si="19"/>
        <v>2.99999999811007E-5</v>
      </c>
      <c r="G146" s="230"/>
    </row>
    <row r="147" spans="1:7" ht="16.5" customHeight="1" outlineLevel="2">
      <c r="A147" s="214" t="s">
        <v>1492</v>
      </c>
      <c r="B147" s="215" t="s">
        <v>1493</v>
      </c>
      <c r="C147" s="216">
        <f>成本明细!E473</f>
        <v>11.6363</v>
      </c>
      <c r="D147" s="216">
        <v>11.636322</v>
      </c>
      <c r="E147" s="216">
        <v>0</v>
      </c>
      <c r="F147" s="216">
        <f t="shared" si="19"/>
        <v>2.1999999999522402E-5</v>
      </c>
      <c r="G147" s="230"/>
    </row>
    <row r="148" spans="1:7" ht="16.5" customHeight="1" outlineLevel="1">
      <c r="A148" s="220">
        <v>4.9000000000000004</v>
      </c>
      <c r="B148" s="221" t="s">
        <v>1166</v>
      </c>
      <c r="C148" s="222">
        <f>SUM(C149:C151)</f>
        <v>33.045699999999997</v>
      </c>
      <c r="D148" s="222">
        <v>67.954616000000001</v>
      </c>
      <c r="E148" s="222">
        <v>0</v>
      </c>
      <c r="F148" s="222">
        <f t="shared" ref="F148" si="27">SUM(F149:F151)</f>
        <v>34.908916000000005</v>
      </c>
      <c r="G148" s="232"/>
    </row>
    <row r="149" spans="1:7" ht="16.5" customHeight="1" outlineLevel="2">
      <c r="A149" s="214" t="s">
        <v>1494</v>
      </c>
      <c r="B149" s="215" t="s">
        <v>1167</v>
      </c>
      <c r="C149" s="216">
        <f>成本明细!E477</f>
        <v>12.26</v>
      </c>
      <c r="D149" s="216">
        <v>12.26</v>
      </c>
      <c r="E149" s="216">
        <v>0</v>
      </c>
      <c r="F149" s="216">
        <f t="shared" si="19"/>
        <v>0</v>
      </c>
      <c r="G149" s="230"/>
    </row>
    <row r="150" spans="1:7" ht="16.5" customHeight="1" outlineLevel="2">
      <c r="A150" s="214" t="s">
        <v>1495</v>
      </c>
      <c r="B150" s="215" t="s">
        <v>1496</v>
      </c>
      <c r="C150" s="216">
        <f>成本明细!E480</f>
        <v>20.785699999999999</v>
      </c>
      <c r="D150" s="216">
        <v>20.78565</v>
      </c>
      <c r="E150" s="216">
        <v>0</v>
      </c>
      <c r="F150" s="216">
        <f t="shared" si="19"/>
        <v>-4.9999999998107114E-5</v>
      </c>
      <c r="G150" s="230"/>
    </row>
    <row r="151" spans="1:7" ht="16.5" customHeight="1" outlineLevel="2">
      <c r="A151" s="214" t="s">
        <v>1497</v>
      </c>
      <c r="B151" s="215" t="s">
        <v>1498</v>
      </c>
      <c r="C151" s="216">
        <f>成本明细!E483</f>
        <v>0</v>
      </c>
      <c r="D151" s="216">
        <v>34.908965999999999</v>
      </c>
      <c r="E151" s="216">
        <v>0</v>
      </c>
      <c r="F151" s="216">
        <f t="shared" si="19"/>
        <v>34.908965999999999</v>
      </c>
      <c r="G151" s="230" t="s">
        <v>1499</v>
      </c>
    </row>
    <row r="152" spans="1:7" ht="16.5" customHeight="1">
      <c r="A152" s="218" t="s">
        <v>1169</v>
      </c>
      <c r="B152" s="219" t="s">
        <v>1170</v>
      </c>
      <c r="C152" s="213">
        <f>C153+C154+C159</f>
        <v>793.55269999999996</v>
      </c>
      <c r="D152" s="213">
        <v>859.55211492900003</v>
      </c>
      <c r="E152" s="213">
        <v>648.17530499999998</v>
      </c>
      <c r="F152" s="213">
        <f t="shared" ref="F152" si="28">F153+F154+F159</f>
        <v>65.999414929000039</v>
      </c>
      <c r="G152" s="228"/>
    </row>
    <row r="153" spans="1:7" ht="16.5" customHeight="1" outlineLevel="1">
      <c r="A153" s="220">
        <v>5.0999999999999996</v>
      </c>
      <c r="B153" s="221" t="s">
        <v>1500</v>
      </c>
      <c r="C153" s="222">
        <f>成本明细!E486</f>
        <v>648.05309999999997</v>
      </c>
      <c r="D153" s="222">
        <v>648.05305950000002</v>
      </c>
      <c r="E153" s="222">
        <v>648.17530499999998</v>
      </c>
      <c r="F153" s="222">
        <f>D153-C153</f>
        <v>-4.0499999954590749E-5</v>
      </c>
      <c r="G153" s="232"/>
    </row>
    <row r="154" spans="1:7" ht="16.5" customHeight="1" outlineLevel="1">
      <c r="A154" s="220">
        <v>5.2</v>
      </c>
      <c r="B154" s="221" t="s">
        <v>1172</v>
      </c>
      <c r="C154" s="222">
        <f>SUM(C155:C158)</f>
        <v>145.49959999999999</v>
      </c>
      <c r="D154" s="222">
        <v>145.49955</v>
      </c>
      <c r="E154" s="222">
        <v>0</v>
      </c>
      <c r="F154" s="222">
        <f t="shared" ref="F154" si="29">SUM(F155:F158)</f>
        <v>-5.0000000001659828E-5</v>
      </c>
      <c r="G154" s="232"/>
    </row>
    <row r="155" spans="1:7" ht="16.5" customHeight="1" outlineLevel="2">
      <c r="A155" s="214" t="s">
        <v>1501</v>
      </c>
      <c r="B155" s="215" t="s">
        <v>1173</v>
      </c>
      <c r="C155" s="216">
        <f>成本明细!E491</f>
        <v>62.356999999999999</v>
      </c>
      <c r="D155" s="216">
        <v>62.356949999999998</v>
      </c>
      <c r="E155" s="216">
        <v>0</v>
      </c>
      <c r="F155" s="216">
        <f t="shared" ref="F155:F161" si="30">D155-C155</f>
        <v>-5.0000000001659828E-5</v>
      </c>
      <c r="G155" s="230"/>
    </row>
    <row r="156" spans="1:7" ht="16.5" customHeight="1" outlineLevel="2">
      <c r="A156" s="214" t="s">
        <v>1502</v>
      </c>
      <c r="B156" s="215" t="s">
        <v>1176</v>
      </c>
      <c r="C156" s="216">
        <f>成本明细!E494</f>
        <v>62.356999999999999</v>
      </c>
      <c r="D156" s="216">
        <v>62.356949999999998</v>
      </c>
      <c r="E156" s="216">
        <v>0</v>
      </c>
      <c r="F156" s="216">
        <f t="shared" si="30"/>
        <v>-5.0000000001659828E-5</v>
      </c>
      <c r="G156" s="230"/>
    </row>
    <row r="157" spans="1:7" ht="16.5" customHeight="1" outlineLevel="2">
      <c r="A157" s="214" t="s">
        <v>1503</v>
      </c>
      <c r="B157" s="215" t="s">
        <v>1174</v>
      </c>
      <c r="C157" s="216">
        <f>成本明细!E497</f>
        <v>10.392799999999999</v>
      </c>
      <c r="D157" s="216">
        <v>10.392825</v>
      </c>
      <c r="E157" s="216">
        <v>0</v>
      </c>
      <c r="F157" s="216">
        <f t="shared" si="30"/>
        <v>2.5000000000829914E-5</v>
      </c>
      <c r="G157" s="230"/>
    </row>
    <row r="158" spans="1:7" ht="16.5" customHeight="1" outlineLevel="2">
      <c r="A158" s="214" t="s">
        <v>1504</v>
      </c>
      <c r="B158" s="215" t="s">
        <v>1175</v>
      </c>
      <c r="C158" s="216">
        <f>成本明细!E500</f>
        <v>10.392799999999999</v>
      </c>
      <c r="D158" s="216">
        <v>10.392825</v>
      </c>
      <c r="E158" s="216">
        <v>0</v>
      </c>
      <c r="F158" s="216">
        <f t="shared" si="30"/>
        <v>2.5000000000829914E-5</v>
      </c>
      <c r="G158" s="230"/>
    </row>
    <row r="159" spans="1:7" ht="16.5" customHeight="1" outlineLevel="1">
      <c r="A159" s="220">
        <v>5.3</v>
      </c>
      <c r="B159" s="221" t="s">
        <v>1177</v>
      </c>
      <c r="C159" s="222">
        <f>成本明细!E503</f>
        <v>0</v>
      </c>
      <c r="D159" s="222">
        <v>65.999505428999996</v>
      </c>
      <c r="E159" s="222">
        <v>0</v>
      </c>
      <c r="F159" s="222">
        <f t="shared" si="30"/>
        <v>65.999505428999996</v>
      </c>
      <c r="G159" s="232" t="s">
        <v>1505</v>
      </c>
    </row>
    <row r="160" spans="1:7" ht="16.5" customHeight="1">
      <c r="A160" s="211" t="s">
        <v>1178</v>
      </c>
      <c r="B160" s="212" t="s">
        <v>1506</v>
      </c>
      <c r="C160" s="213">
        <f>成本明细!E510</f>
        <v>194.81569999999999</v>
      </c>
      <c r="D160" s="213">
        <v>209.66085430100401</v>
      </c>
      <c r="E160" s="213">
        <v>31.764900000000001</v>
      </c>
      <c r="F160" s="213">
        <f t="shared" si="30"/>
        <v>14.845154301004015</v>
      </c>
      <c r="G160" s="228"/>
    </row>
    <row r="161" spans="1:8" ht="16.5" customHeight="1">
      <c r="A161" s="236" t="s">
        <v>1180</v>
      </c>
      <c r="B161" s="237" t="s">
        <v>1181</v>
      </c>
      <c r="C161" s="238">
        <f>C5+C13+C67+C102+C152+C160</f>
        <v>91302.327600000004</v>
      </c>
      <c r="D161" s="238">
        <v>94782.280992415399</v>
      </c>
      <c r="E161" s="238">
        <v>81573.728912999999</v>
      </c>
      <c r="F161" s="238">
        <f t="shared" si="30"/>
        <v>3479.9533924153948</v>
      </c>
      <c r="G161" s="257"/>
    </row>
    <row r="162" spans="1:8">
      <c r="A162" s="239" t="s">
        <v>1182</v>
      </c>
      <c r="B162" s="240" t="s">
        <v>1185</v>
      </c>
      <c r="C162" s="241"/>
      <c r="D162" s="241"/>
      <c r="E162" s="258"/>
      <c r="F162" s="259"/>
      <c r="G162" s="259"/>
      <c r="H162" s="2"/>
    </row>
    <row r="163" spans="1:8">
      <c r="A163" s="242" t="s">
        <v>1184</v>
      </c>
      <c r="B163" s="243" t="s">
        <v>1507</v>
      </c>
      <c r="C163" s="244"/>
      <c r="D163" s="244"/>
      <c r="E163" s="260"/>
      <c r="F163" s="260"/>
      <c r="G163" s="260"/>
      <c r="H163" s="2"/>
    </row>
    <row r="164" spans="1:8">
      <c r="A164" s="245" t="s">
        <v>1186</v>
      </c>
      <c r="B164" s="246" t="s">
        <v>979</v>
      </c>
      <c r="C164" s="247"/>
      <c r="D164" s="247"/>
      <c r="E164" s="261"/>
      <c r="F164" s="263"/>
      <c r="G164" s="262"/>
      <c r="H164" s="2"/>
    </row>
    <row r="165" spans="1:8">
      <c r="A165" s="245" t="s">
        <v>1187</v>
      </c>
      <c r="B165" s="246" t="s">
        <v>1188</v>
      </c>
      <c r="C165" s="247"/>
      <c r="D165" s="247"/>
      <c r="E165" s="261"/>
      <c r="F165" s="263"/>
      <c r="G165" s="262"/>
      <c r="H165" s="2"/>
    </row>
    <row r="166" spans="1:8">
      <c r="A166" s="245" t="s">
        <v>1189</v>
      </c>
      <c r="B166" s="248" t="s">
        <v>1183</v>
      </c>
      <c r="C166" s="247"/>
      <c r="D166" s="247"/>
      <c r="E166" s="261"/>
      <c r="F166" s="262"/>
      <c r="G166" s="262"/>
      <c r="H166" s="2"/>
    </row>
    <row r="167" spans="1:8" ht="14.25" customHeight="1">
      <c r="A167" s="245" t="s">
        <v>1191</v>
      </c>
      <c r="B167" s="246" t="s">
        <v>1508</v>
      </c>
      <c r="C167" s="247"/>
      <c r="D167" s="247"/>
      <c r="E167" s="261"/>
      <c r="F167" s="262"/>
      <c r="G167" s="262"/>
      <c r="H167" s="2"/>
    </row>
    <row r="168" spans="1:8">
      <c r="A168" s="245" t="s">
        <v>1193</v>
      </c>
      <c r="B168" s="246" t="s">
        <v>1509</v>
      </c>
      <c r="C168" s="247"/>
      <c r="D168" s="247"/>
      <c r="E168" s="262"/>
      <c r="F168" s="262"/>
      <c r="G168" s="262"/>
      <c r="H168" s="2"/>
    </row>
    <row r="169" spans="1:8">
      <c r="A169" s="245" t="s">
        <v>1195</v>
      </c>
      <c r="B169" s="246" t="s">
        <v>1194</v>
      </c>
      <c r="C169" s="249"/>
      <c r="D169" s="249"/>
      <c r="E169" s="265"/>
      <c r="F169" s="263"/>
      <c r="G169" s="263"/>
      <c r="H169" s="2"/>
    </row>
    <row r="170" spans="1:8">
      <c r="A170" s="245" t="s">
        <v>1197</v>
      </c>
      <c r="B170" s="246" t="s">
        <v>1196</v>
      </c>
      <c r="C170" s="249"/>
      <c r="D170" s="249"/>
      <c r="E170" s="263"/>
      <c r="F170" s="263"/>
      <c r="G170" s="263"/>
      <c r="H170" s="2"/>
    </row>
    <row r="171" spans="1:8">
      <c r="A171" s="250" t="s">
        <v>1199</v>
      </c>
      <c r="B171" s="251" t="s">
        <v>1202</v>
      </c>
      <c r="C171" s="252"/>
      <c r="D171" s="252"/>
      <c r="E171" s="267"/>
      <c r="F171" s="267"/>
      <c r="G171" s="267"/>
      <c r="H171" s="2"/>
    </row>
    <row r="172" spans="1:8">
      <c r="A172" s="245" t="s">
        <v>1201</v>
      </c>
      <c r="B172" s="246" t="s">
        <v>1510</v>
      </c>
      <c r="C172" s="253"/>
      <c r="D172" s="253"/>
      <c r="E172" s="268"/>
      <c r="F172" s="268"/>
      <c r="G172" s="268"/>
      <c r="H172" s="2"/>
    </row>
    <row r="173" spans="1:8">
      <c r="A173" s="242" t="s">
        <v>1203</v>
      </c>
      <c r="B173" s="243" t="s">
        <v>1511</v>
      </c>
      <c r="C173" s="254"/>
      <c r="D173" s="254"/>
      <c r="E173" s="269"/>
      <c r="F173" s="269"/>
      <c r="G173" s="269"/>
      <c r="H173" s="2"/>
    </row>
    <row r="174" spans="1:8">
      <c r="A174" s="245" t="s">
        <v>1205</v>
      </c>
      <c r="B174" s="246" t="s">
        <v>1200</v>
      </c>
      <c r="C174" s="249"/>
      <c r="D174" s="249"/>
      <c r="E174" s="263"/>
      <c r="F174" s="263"/>
      <c r="G174" s="263"/>
      <c r="H174" s="2"/>
    </row>
    <row r="175" spans="1:8">
      <c r="A175" s="250" t="s">
        <v>1512</v>
      </c>
      <c r="B175" s="251" t="s">
        <v>1513</v>
      </c>
      <c r="C175" s="252"/>
      <c r="D175" s="252"/>
      <c r="E175" s="267"/>
      <c r="F175" s="267"/>
      <c r="G175" s="267"/>
      <c r="H175" s="2"/>
    </row>
    <row r="176" spans="1:8">
      <c r="A176" s="245" t="s">
        <v>1514</v>
      </c>
      <c r="B176" s="246" t="s">
        <v>1204</v>
      </c>
      <c r="C176" s="255"/>
      <c r="D176" s="255"/>
      <c r="E176" s="268"/>
      <c r="F176" s="268"/>
      <c r="G176" s="268"/>
      <c r="H176" s="2"/>
    </row>
    <row r="177" spans="1:8">
      <c r="A177" s="242" t="s">
        <v>1515</v>
      </c>
      <c r="B177" s="243" t="s">
        <v>1206</v>
      </c>
      <c r="C177" s="256"/>
      <c r="D177" s="256"/>
      <c r="E177" s="269"/>
      <c r="F177" s="269"/>
      <c r="G177" s="269"/>
      <c r="H177" s="2"/>
    </row>
  </sheetData>
  <mergeCells count="5">
    <mergeCell ref="A1:H1"/>
    <mergeCell ref="F3:F4"/>
    <mergeCell ref="G3:G4"/>
    <mergeCell ref="G141:G142"/>
    <mergeCell ref="A3:B4"/>
  </mergeCells>
  <phoneticPr fontId="4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封面</vt:lpstr>
      <vt:lpstr>台帐使用说明</vt:lpstr>
      <vt:lpstr>Sheet1</vt:lpstr>
      <vt:lpstr>Chart1</vt:lpstr>
      <vt:lpstr>拨款台帐</vt:lpstr>
      <vt:lpstr>合同台帐</vt:lpstr>
      <vt:lpstr>简表</vt:lpstr>
      <vt:lpstr>销售价格测算</vt:lpstr>
      <vt:lpstr>给吕妍成本（2016年2月）</vt:lpstr>
      <vt:lpstr>动态成本</vt:lpstr>
      <vt:lpstr>成本明细</vt:lpstr>
      <vt:lpstr>往来款台账</vt:lpstr>
      <vt:lpstr>税金</vt:lpstr>
      <vt:lpstr>封面!Print_Area</vt:lpstr>
      <vt:lpstr>拨款台帐!Print_Titles</vt:lpstr>
      <vt:lpstr>成本明细!Print_Titles</vt:lpstr>
      <vt:lpstr>合同台帐!Print_Titles</vt:lpstr>
      <vt:lpstr>简表!Print_Titles</vt:lpstr>
    </vt:vector>
  </TitlesOfParts>
  <Company>天津顺驰发展股份有限公司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王晨</dc:creator>
  <cp:lastModifiedBy>rio</cp:lastModifiedBy>
  <cp:lastPrinted>2015-12-30T07:08:00Z</cp:lastPrinted>
  <dcterms:created xsi:type="dcterms:W3CDTF">2001-02-11T03:26:00Z</dcterms:created>
  <dcterms:modified xsi:type="dcterms:W3CDTF">2016-10-30T13:24:08Z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